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/>
  </bookViews>
  <sheets>
    <sheet name="WEEKLY REPORT (2)" sheetId="3" r:id="rId1"/>
    <sheet name="THE AGE OF ANALYSIS" sheetId="5" r:id="rId2"/>
    <sheet name="WEEKLY REPOR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3" l="1"/>
  <c r="J6" i="3"/>
  <c r="J4" i="5" l="1"/>
  <c r="J126" i="5" s="1"/>
  <c r="H674" i="5" l="1"/>
  <c r="H647" i="5"/>
  <c r="H629" i="5"/>
  <c r="H607" i="5"/>
  <c r="H584" i="5"/>
  <c r="H567" i="5"/>
  <c r="H544" i="5"/>
  <c r="H484" i="5"/>
  <c r="H461" i="5"/>
  <c r="H448" i="5"/>
  <c r="H354" i="5"/>
  <c r="H348" i="5"/>
  <c r="I334" i="5"/>
  <c r="I333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H249" i="5"/>
  <c r="I248" i="5"/>
  <c r="I218" i="5"/>
  <c r="I217" i="5"/>
  <c r="H126" i="5"/>
  <c r="H51" i="5"/>
  <c r="D51" i="5"/>
  <c r="H40" i="5"/>
  <c r="G40" i="5"/>
  <c r="F40" i="5"/>
  <c r="E40" i="5"/>
  <c r="D40" i="5"/>
  <c r="J686" i="5"/>
  <c r="H689" i="5" l="1"/>
  <c r="J224" i="5"/>
  <c r="J244" i="5"/>
  <c r="P686" i="5"/>
  <c r="O686" i="5"/>
  <c r="N686" i="5"/>
  <c r="M686" i="5"/>
  <c r="K686" i="5"/>
  <c r="L686" i="5"/>
  <c r="J255" i="5"/>
  <c r="P255" i="5" s="1"/>
  <c r="J263" i="5"/>
  <c r="L263" i="5" s="1"/>
  <c r="J257" i="5"/>
  <c r="P257" i="5" s="1"/>
  <c r="J217" i="5"/>
  <c r="K217" i="5" s="1"/>
  <c r="J265" i="5"/>
  <c r="P265" i="5" s="1"/>
  <c r="J7" i="5"/>
  <c r="N7" i="5" s="1"/>
  <c r="J47" i="5"/>
  <c r="J55" i="5"/>
  <c r="J63" i="5"/>
  <c r="J71" i="5"/>
  <c r="J79" i="5"/>
  <c r="J95" i="5"/>
  <c r="J103" i="5"/>
  <c r="J111" i="5"/>
  <c r="J119" i="5"/>
  <c r="J135" i="5"/>
  <c r="J151" i="5"/>
  <c r="J159" i="5"/>
  <c r="J175" i="5"/>
  <c r="J191" i="5"/>
  <c r="J199" i="5"/>
  <c r="J207" i="5"/>
  <c r="J231" i="5"/>
  <c r="J239" i="5"/>
  <c r="J271" i="5"/>
  <c r="J295" i="5"/>
  <c r="J319" i="5"/>
  <c r="J335" i="5"/>
  <c r="J359" i="5"/>
  <c r="J48" i="5"/>
  <c r="J80" i="5"/>
  <c r="J104" i="5"/>
  <c r="J112" i="5"/>
  <c r="J120" i="5"/>
  <c r="J136" i="5"/>
  <c r="J152" i="5"/>
  <c r="J160" i="5"/>
  <c r="J176" i="5"/>
  <c r="J192" i="5"/>
  <c r="J200" i="5"/>
  <c r="J208" i="5"/>
  <c r="J240" i="5"/>
  <c r="J272" i="5"/>
  <c r="J296" i="5"/>
  <c r="J304" i="5"/>
  <c r="J320" i="5"/>
  <c r="J336" i="5"/>
  <c r="J360" i="5"/>
  <c r="J368" i="5"/>
  <c r="J376" i="5"/>
  <c r="J384" i="5"/>
  <c r="J392" i="5"/>
  <c r="J400" i="5"/>
  <c r="J440" i="5"/>
  <c r="J448" i="5"/>
  <c r="J456" i="5"/>
  <c r="J464" i="5"/>
  <c r="J472" i="5"/>
  <c r="J480" i="5"/>
  <c r="J488" i="5"/>
  <c r="J496" i="5"/>
  <c r="J504" i="5"/>
  <c r="J512" i="5"/>
  <c r="J520" i="5"/>
  <c r="J528" i="5"/>
  <c r="J536" i="5"/>
  <c r="J544" i="5"/>
  <c r="J552" i="5"/>
  <c r="J560" i="5"/>
  <c r="J568" i="5"/>
  <c r="J576" i="5"/>
  <c r="J584" i="5"/>
  <c r="J592" i="5"/>
  <c r="J608" i="5"/>
  <c r="J616" i="5"/>
  <c r="J624" i="5"/>
  <c r="J632" i="5"/>
  <c r="J640" i="5"/>
  <c r="J648" i="5"/>
  <c r="J656" i="5"/>
  <c r="J664" i="5"/>
  <c r="J672" i="5"/>
  <c r="J680" i="5"/>
  <c r="J81" i="5"/>
  <c r="J105" i="5"/>
  <c r="J113" i="5"/>
  <c r="J121" i="5"/>
  <c r="J137" i="5"/>
  <c r="J145" i="5"/>
  <c r="J161" i="5"/>
  <c r="J177" i="5"/>
  <c r="J193" i="5"/>
  <c r="J209" i="5"/>
  <c r="J249" i="5"/>
  <c r="J281" i="5"/>
  <c r="J313" i="5"/>
  <c r="J337" i="5"/>
  <c r="J361" i="5"/>
  <c r="J369" i="5"/>
  <c r="J385" i="5"/>
  <c r="J393" i="5"/>
  <c r="J401" i="5"/>
  <c r="J409" i="5"/>
  <c r="J433" i="5"/>
  <c r="J441" i="5"/>
  <c r="J449" i="5"/>
  <c r="J457" i="5"/>
  <c r="J465" i="5"/>
  <c r="J473" i="5"/>
  <c r="J481" i="5"/>
  <c r="J489" i="5"/>
  <c r="J497" i="5"/>
  <c r="J505" i="5"/>
  <c r="J513" i="5"/>
  <c r="J521" i="5"/>
  <c r="J529" i="5"/>
  <c r="J537" i="5"/>
  <c r="J545" i="5"/>
  <c r="J553" i="5"/>
  <c r="J569" i="5"/>
  <c r="J577" i="5"/>
  <c r="J585" i="5"/>
  <c r="J593" i="5"/>
  <c r="J609" i="5"/>
  <c r="J617" i="5"/>
  <c r="J625" i="5"/>
  <c r="J633" i="5"/>
  <c r="J641" i="5"/>
  <c r="J649" i="5"/>
  <c r="J657" i="5"/>
  <c r="J665" i="5"/>
  <c r="J673" i="5"/>
  <c r="J58" i="5"/>
  <c r="J66" i="5"/>
  <c r="J82" i="5"/>
  <c r="J98" i="5"/>
  <c r="J106" i="5"/>
  <c r="J114" i="5"/>
  <c r="J122" i="5"/>
  <c r="J138" i="5"/>
  <c r="J146" i="5"/>
  <c r="J162" i="5"/>
  <c r="J186" i="5"/>
  <c r="J194" i="5"/>
  <c r="J210" i="5"/>
  <c r="J290" i="5"/>
  <c r="J314" i="5"/>
  <c r="J338" i="5"/>
  <c r="J354" i="5"/>
  <c r="J51" i="5"/>
  <c r="J67" i="5"/>
  <c r="J75" i="5"/>
  <c r="J83" i="5"/>
  <c r="J91" i="5"/>
  <c r="J99" i="5"/>
  <c r="J107" i="5"/>
  <c r="J115" i="5"/>
  <c r="J131" i="5"/>
  <c r="J139" i="5"/>
  <c r="J163" i="5"/>
  <c r="J171" i="5"/>
  <c r="J187" i="5"/>
  <c r="J195" i="5"/>
  <c r="J211" i="5"/>
  <c r="J219" i="5"/>
  <c r="J227" i="5"/>
  <c r="J235" i="5"/>
  <c r="J331" i="5"/>
  <c r="J339" i="5"/>
  <c r="J355" i="5"/>
  <c r="J363" i="5"/>
  <c r="J371" i="5"/>
  <c r="J387" i="5"/>
  <c r="J395" i="5"/>
  <c r="J403" i="5"/>
  <c r="J411" i="5"/>
  <c r="J419" i="5"/>
  <c r="J427" i="5"/>
  <c r="J435" i="5"/>
  <c r="J451" i="5"/>
  <c r="J467" i="5"/>
  <c r="J475" i="5"/>
  <c r="J483" i="5"/>
  <c r="J491" i="5"/>
  <c r="J507" i="5"/>
  <c r="J515" i="5"/>
  <c r="J523" i="5"/>
  <c r="J531" i="5"/>
  <c r="J539" i="5"/>
  <c r="J61" i="5"/>
  <c r="J69" i="5"/>
  <c r="J77" i="5"/>
  <c r="J85" i="5"/>
  <c r="J93" i="5"/>
  <c r="J117" i="5"/>
  <c r="J133" i="5"/>
  <c r="J141" i="5"/>
  <c r="J157" i="5"/>
  <c r="J165" i="5"/>
  <c r="J173" i="5"/>
  <c r="J189" i="5"/>
  <c r="J197" i="5"/>
  <c r="J205" i="5"/>
  <c r="J229" i="5"/>
  <c r="J309" i="5"/>
  <c r="J325" i="5"/>
  <c r="J341" i="5"/>
  <c r="J349" i="5"/>
  <c r="J357" i="5"/>
  <c r="J365" i="5"/>
  <c r="J373" i="5"/>
  <c r="J381" i="5"/>
  <c r="J389" i="5"/>
  <c r="J397" i="5"/>
  <c r="J405" i="5"/>
  <c r="J413" i="5"/>
  <c r="J421" i="5"/>
  <c r="J437" i="5"/>
  <c r="J453" i="5"/>
  <c r="J461" i="5"/>
  <c r="J477" i="5"/>
  <c r="J485" i="5"/>
  <c r="J493" i="5"/>
  <c r="J509" i="5"/>
  <c r="J517" i="5"/>
  <c r="J525" i="5"/>
  <c r="J533" i="5"/>
  <c r="J541" i="5"/>
  <c r="J549" i="5"/>
  <c r="J84" i="5"/>
  <c r="J116" i="5"/>
  <c r="J276" i="5"/>
  <c r="J308" i="5"/>
  <c r="J340" i="5"/>
  <c r="J366" i="5"/>
  <c r="J382" i="5"/>
  <c r="J398" i="5"/>
  <c r="J414" i="5"/>
  <c r="J446" i="5"/>
  <c r="J462" i="5"/>
  <c r="J478" i="5"/>
  <c r="J494" i="5"/>
  <c r="J510" i="5"/>
  <c r="J526" i="5"/>
  <c r="J542" i="5"/>
  <c r="J555" i="5"/>
  <c r="J565" i="5"/>
  <c r="J575" i="5"/>
  <c r="J587" i="5"/>
  <c r="J597" i="5"/>
  <c r="J607" i="5"/>
  <c r="J619" i="5"/>
  <c r="J629" i="5"/>
  <c r="J639" i="5"/>
  <c r="J651" i="5"/>
  <c r="J671" i="5"/>
  <c r="J682" i="5"/>
  <c r="J54" i="5"/>
  <c r="J86" i="5"/>
  <c r="J118" i="5"/>
  <c r="J150" i="5"/>
  <c r="J182" i="5"/>
  <c r="J342" i="5"/>
  <c r="J367" i="5"/>
  <c r="J383" i="5"/>
  <c r="J399" i="5"/>
  <c r="J447" i="5"/>
  <c r="J463" i="5"/>
  <c r="J479" i="5"/>
  <c r="J495" i="5"/>
  <c r="J511" i="5"/>
  <c r="J527" i="5"/>
  <c r="J543" i="5"/>
  <c r="J556" i="5"/>
  <c r="J566" i="5"/>
  <c r="J588" i="5"/>
  <c r="J598" i="5"/>
  <c r="J610" i="5"/>
  <c r="J630" i="5"/>
  <c r="J642" i="5"/>
  <c r="J652" i="5"/>
  <c r="J674" i="5"/>
  <c r="J683" i="5"/>
  <c r="J92" i="5"/>
  <c r="J156" i="5"/>
  <c r="J188" i="5"/>
  <c r="J220" i="5"/>
  <c r="J348" i="5"/>
  <c r="J370" i="5"/>
  <c r="J386" i="5"/>
  <c r="J402" i="5"/>
  <c r="J418" i="5"/>
  <c r="J434" i="5"/>
  <c r="J450" i="5"/>
  <c r="J466" i="5"/>
  <c r="J482" i="5"/>
  <c r="J498" i="5"/>
  <c r="J514" i="5"/>
  <c r="J546" i="5"/>
  <c r="J557" i="5"/>
  <c r="J567" i="5"/>
  <c r="J589" i="5"/>
  <c r="J599" i="5"/>
  <c r="J611" i="5"/>
  <c r="J631" i="5"/>
  <c r="J643" i="5"/>
  <c r="J653" i="5"/>
  <c r="J675" i="5"/>
  <c r="J684" i="5"/>
  <c r="J62" i="5"/>
  <c r="J94" i="5"/>
  <c r="J158" i="5"/>
  <c r="J190" i="5"/>
  <c r="J286" i="5"/>
  <c r="J372" i="5"/>
  <c r="J388" i="5"/>
  <c r="J404" i="5"/>
  <c r="J420" i="5"/>
  <c r="J436" i="5"/>
  <c r="J452" i="5"/>
  <c r="J484" i="5"/>
  <c r="J516" i="5"/>
  <c r="J532" i="5"/>
  <c r="J547" i="5"/>
  <c r="J558" i="5"/>
  <c r="J570" i="5"/>
  <c r="J590" i="5"/>
  <c r="J612" i="5"/>
  <c r="J644" i="5"/>
  <c r="J654" i="5"/>
  <c r="J666" i="5"/>
  <c r="J676" i="5"/>
  <c r="J685" i="5"/>
  <c r="J68" i="5"/>
  <c r="J132" i="5"/>
  <c r="J164" i="5"/>
  <c r="J196" i="5"/>
  <c r="J228" i="5"/>
  <c r="J356" i="5"/>
  <c r="J374" i="5"/>
  <c r="J390" i="5"/>
  <c r="J422" i="5"/>
  <c r="J438" i="5"/>
  <c r="J454" i="5"/>
  <c r="J486" i="5"/>
  <c r="J502" i="5"/>
  <c r="J518" i="5"/>
  <c r="J534" i="5"/>
  <c r="J548" i="5"/>
  <c r="J559" i="5"/>
  <c r="J571" i="5"/>
  <c r="J581" i="5"/>
  <c r="J591" i="5"/>
  <c r="J603" i="5"/>
  <c r="J613" i="5"/>
  <c r="J645" i="5"/>
  <c r="J655" i="5"/>
  <c r="J667" i="5"/>
  <c r="J677" i="5"/>
  <c r="J70" i="5"/>
  <c r="J134" i="5"/>
  <c r="J166" i="5"/>
  <c r="J198" i="5"/>
  <c r="J230" i="5"/>
  <c r="J294" i="5"/>
  <c r="J326" i="5"/>
  <c r="J358" i="5"/>
  <c r="J375" i="5"/>
  <c r="J391" i="5"/>
  <c r="J423" i="5"/>
  <c r="J439" i="5"/>
  <c r="J455" i="5"/>
  <c r="J471" i="5"/>
  <c r="J487" i="5"/>
  <c r="J503" i="5"/>
  <c r="J519" i="5"/>
  <c r="J535" i="5"/>
  <c r="J550" i="5"/>
  <c r="J572" i="5"/>
  <c r="J582" i="5"/>
  <c r="J594" i="5"/>
  <c r="J614" i="5"/>
  <c r="J626" i="5"/>
  <c r="J646" i="5"/>
  <c r="J658" i="5"/>
  <c r="J668" i="5"/>
  <c r="J678" i="5"/>
  <c r="J76" i="5"/>
  <c r="J204" i="5"/>
  <c r="J332" i="5"/>
  <c r="J410" i="5"/>
  <c r="J474" i="5"/>
  <c r="J538" i="5"/>
  <c r="J583" i="5"/>
  <c r="J627" i="5"/>
  <c r="J669" i="5"/>
  <c r="J78" i="5"/>
  <c r="J206" i="5"/>
  <c r="J412" i="5"/>
  <c r="J476" i="5"/>
  <c r="J540" i="5"/>
  <c r="J586" i="5"/>
  <c r="J628" i="5"/>
  <c r="J670" i="5"/>
  <c r="J236" i="5"/>
  <c r="J362" i="5"/>
  <c r="J490" i="5"/>
  <c r="J551" i="5"/>
  <c r="J595" i="5"/>
  <c r="J679" i="5"/>
  <c r="J364" i="5"/>
  <c r="J492" i="5"/>
  <c r="J554" i="5"/>
  <c r="J596" i="5"/>
  <c r="J638" i="5"/>
  <c r="J681" i="5"/>
  <c r="J140" i="5"/>
  <c r="J442" i="5"/>
  <c r="J506" i="5"/>
  <c r="J647" i="5"/>
  <c r="J142" i="5"/>
  <c r="J380" i="5"/>
  <c r="J508" i="5"/>
  <c r="J564" i="5"/>
  <c r="J650" i="5"/>
  <c r="J172" i="5"/>
  <c r="J522" i="5"/>
  <c r="J174" i="5"/>
  <c r="J524" i="5"/>
  <c r="J573" i="5"/>
  <c r="J574" i="5"/>
  <c r="J394" i="5"/>
  <c r="J615" i="5"/>
  <c r="J396" i="5"/>
  <c r="J618" i="5"/>
  <c r="J460" i="5"/>
  <c r="J659" i="5"/>
  <c r="J660" i="5"/>
  <c r="J256" i="5"/>
  <c r="J264" i="5"/>
  <c r="J218" i="5"/>
  <c r="J258" i="5"/>
  <c r="J266" i="5"/>
  <c r="J259" i="5"/>
  <c r="J248" i="5"/>
  <c r="J260" i="5"/>
  <c r="J334" i="5"/>
  <c r="J333" i="5"/>
  <c r="J253" i="5"/>
  <c r="J261" i="5"/>
  <c r="J254" i="5"/>
  <c r="J262" i="5"/>
  <c r="J19" i="5"/>
  <c r="P19" i="5" s="1"/>
  <c r="J31" i="5"/>
  <c r="J44" i="5"/>
  <c r="J36" i="5"/>
  <c r="J28" i="5"/>
  <c r="J35" i="5"/>
  <c r="J27" i="5"/>
  <c r="J40" i="5"/>
  <c r="J29" i="5"/>
  <c r="J34" i="5"/>
  <c r="J26" i="5"/>
  <c r="J32" i="5"/>
  <c r="J46" i="5"/>
  <c r="J30" i="5"/>
  <c r="J45" i="5"/>
  <c r="J37" i="5"/>
  <c r="J33" i="5"/>
  <c r="J15" i="5"/>
  <c r="J11" i="5"/>
  <c r="J14" i="5"/>
  <c r="J8" i="5"/>
  <c r="J17" i="5"/>
  <c r="J16" i="5"/>
  <c r="J12" i="5"/>
  <c r="M257" i="5" l="1"/>
  <c r="K257" i="5"/>
  <c r="L257" i="5"/>
  <c r="O257" i="5"/>
  <c r="N257" i="5"/>
  <c r="L265" i="5"/>
  <c r="N265" i="5"/>
  <c r="K265" i="5"/>
  <c r="O265" i="5"/>
  <c r="M265" i="5"/>
  <c r="K687" i="5"/>
  <c r="L687" i="5"/>
  <c r="N687" i="5"/>
  <c r="O687" i="5"/>
  <c r="M687" i="5"/>
  <c r="P687" i="5"/>
  <c r="K263" i="5"/>
  <c r="N217" i="5"/>
  <c r="P7" i="5"/>
  <c r="O217" i="5"/>
  <c r="M217" i="5"/>
  <c r="P217" i="5"/>
  <c r="L217" i="5"/>
  <c r="L7" i="5"/>
  <c r="N255" i="5"/>
  <c r="O7" i="5"/>
  <c r="P263" i="5"/>
  <c r="O255" i="5"/>
  <c r="N263" i="5"/>
  <c r="M255" i="5"/>
  <c r="O263" i="5"/>
  <c r="M263" i="5"/>
  <c r="L255" i="5"/>
  <c r="K255" i="5"/>
  <c r="K444" i="5"/>
  <c r="L444" i="5"/>
  <c r="M444" i="5"/>
  <c r="N444" i="5"/>
  <c r="O444" i="5"/>
  <c r="P444" i="5"/>
  <c r="K688" i="5"/>
  <c r="L688" i="5"/>
  <c r="M688" i="5"/>
  <c r="N688" i="5"/>
  <c r="O688" i="5"/>
  <c r="P688" i="5"/>
  <c r="K100" i="5"/>
  <c r="L100" i="5"/>
  <c r="M100" i="5"/>
  <c r="N100" i="5"/>
  <c r="O100" i="5"/>
  <c r="P100" i="5"/>
  <c r="K158" i="5"/>
  <c r="L158" i="5"/>
  <c r="M158" i="5"/>
  <c r="N158" i="5"/>
  <c r="O158" i="5"/>
  <c r="P158" i="5"/>
  <c r="K674" i="5"/>
  <c r="L674" i="5"/>
  <c r="M674" i="5"/>
  <c r="O674" i="5"/>
  <c r="N674" i="5"/>
  <c r="P674" i="5"/>
  <c r="K526" i="5"/>
  <c r="L526" i="5"/>
  <c r="M526" i="5"/>
  <c r="N526" i="5"/>
  <c r="P526" i="5"/>
  <c r="O526" i="5"/>
  <c r="K397" i="5"/>
  <c r="L397" i="5"/>
  <c r="N397" i="5"/>
  <c r="M397" i="5"/>
  <c r="O397" i="5"/>
  <c r="P397" i="5"/>
  <c r="K53" i="5"/>
  <c r="L53" i="5"/>
  <c r="M53" i="5"/>
  <c r="O53" i="5"/>
  <c r="N53" i="5"/>
  <c r="P53" i="5"/>
  <c r="K186" i="5"/>
  <c r="M186" i="5"/>
  <c r="L186" i="5"/>
  <c r="N186" i="5"/>
  <c r="O186" i="5"/>
  <c r="P186" i="5"/>
  <c r="K625" i="5"/>
  <c r="L625" i="5"/>
  <c r="M625" i="5"/>
  <c r="N625" i="5"/>
  <c r="O625" i="5"/>
  <c r="P625" i="5"/>
  <c r="K305" i="5"/>
  <c r="L305" i="5"/>
  <c r="M305" i="5"/>
  <c r="O305" i="5"/>
  <c r="N305" i="5"/>
  <c r="P305" i="5"/>
  <c r="K600" i="5"/>
  <c r="L600" i="5"/>
  <c r="M600" i="5"/>
  <c r="N600" i="5"/>
  <c r="O600" i="5"/>
  <c r="P600" i="5"/>
  <c r="K280" i="5"/>
  <c r="L280" i="5"/>
  <c r="M280" i="5"/>
  <c r="N280" i="5"/>
  <c r="O280" i="5"/>
  <c r="P280" i="5"/>
  <c r="K111" i="5"/>
  <c r="L111" i="5"/>
  <c r="M111" i="5"/>
  <c r="O111" i="5"/>
  <c r="N111" i="5"/>
  <c r="P111" i="5"/>
  <c r="K174" i="5"/>
  <c r="L174" i="5"/>
  <c r="M174" i="5"/>
  <c r="O174" i="5"/>
  <c r="N174" i="5"/>
  <c r="P174" i="5"/>
  <c r="K490" i="5"/>
  <c r="L490" i="5"/>
  <c r="M490" i="5"/>
  <c r="O490" i="5"/>
  <c r="N490" i="5"/>
  <c r="P490" i="5"/>
  <c r="K572" i="5"/>
  <c r="L572" i="5"/>
  <c r="M572" i="5"/>
  <c r="N572" i="5"/>
  <c r="O572" i="5"/>
  <c r="P572" i="5"/>
  <c r="K486" i="5"/>
  <c r="L486" i="5"/>
  <c r="M486" i="5"/>
  <c r="N486" i="5"/>
  <c r="O486" i="5"/>
  <c r="P486" i="5"/>
  <c r="K388" i="5"/>
  <c r="L388" i="5"/>
  <c r="M388" i="5"/>
  <c r="N388" i="5"/>
  <c r="O388" i="5"/>
  <c r="P388" i="5"/>
  <c r="K220" i="5"/>
  <c r="L220" i="5"/>
  <c r="M220" i="5"/>
  <c r="O220" i="5"/>
  <c r="N220" i="5"/>
  <c r="P220" i="5"/>
  <c r="K54" i="5"/>
  <c r="L54" i="5"/>
  <c r="M54" i="5"/>
  <c r="O54" i="5"/>
  <c r="N54" i="5"/>
  <c r="P54" i="5"/>
  <c r="L148" i="5"/>
  <c r="K148" i="5"/>
  <c r="M148" i="5"/>
  <c r="N148" i="5"/>
  <c r="O148" i="5"/>
  <c r="P148" i="5"/>
  <c r="L237" i="5"/>
  <c r="K237" i="5"/>
  <c r="M237" i="5"/>
  <c r="N237" i="5"/>
  <c r="O237" i="5"/>
  <c r="P237" i="5"/>
  <c r="K475" i="5"/>
  <c r="L475" i="5"/>
  <c r="N475" i="5"/>
  <c r="O475" i="5"/>
  <c r="M475" i="5"/>
  <c r="P475" i="5"/>
  <c r="K283" i="5"/>
  <c r="L283" i="5"/>
  <c r="M283" i="5"/>
  <c r="N283" i="5"/>
  <c r="O283" i="5"/>
  <c r="P283" i="5"/>
  <c r="K83" i="5"/>
  <c r="L83" i="5"/>
  <c r="M83" i="5"/>
  <c r="N83" i="5"/>
  <c r="O83" i="5"/>
  <c r="P83" i="5"/>
  <c r="K178" i="5"/>
  <c r="L178" i="5"/>
  <c r="N178" i="5"/>
  <c r="O178" i="5"/>
  <c r="P178" i="5"/>
  <c r="M178" i="5"/>
  <c r="K489" i="5"/>
  <c r="L489" i="5"/>
  <c r="M489" i="5"/>
  <c r="O489" i="5"/>
  <c r="N489" i="5"/>
  <c r="P489" i="5"/>
  <c r="K297" i="5"/>
  <c r="L297" i="5"/>
  <c r="M297" i="5"/>
  <c r="N297" i="5"/>
  <c r="O297" i="5"/>
  <c r="P297" i="5"/>
  <c r="K81" i="5"/>
  <c r="L81" i="5"/>
  <c r="M81" i="5"/>
  <c r="N81" i="5"/>
  <c r="O81" i="5"/>
  <c r="P81" i="5"/>
  <c r="K528" i="5"/>
  <c r="L528" i="5"/>
  <c r="M528" i="5"/>
  <c r="N528" i="5"/>
  <c r="P528" i="5"/>
  <c r="O528" i="5"/>
  <c r="K336" i="5"/>
  <c r="L336" i="5"/>
  <c r="M336" i="5"/>
  <c r="N336" i="5"/>
  <c r="O336" i="5"/>
  <c r="P336" i="5"/>
  <c r="K120" i="5"/>
  <c r="L120" i="5"/>
  <c r="M120" i="5"/>
  <c r="N120" i="5"/>
  <c r="O120" i="5"/>
  <c r="P120" i="5"/>
  <c r="K103" i="5"/>
  <c r="L103" i="5"/>
  <c r="M103" i="5"/>
  <c r="N103" i="5"/>
  <c r="O103" i="5"/>
  <c r="P103" i="5"/>
  <c r="K258" i="5"/>
  <c r="L258" i="5"/>
  <c r="N258" i="5"/>
  <c r="M258" i="5"/>
  <c r="O258" i="5"/>
  <c r="P258" i="5"/>
  <c r="K264" i="5"/>
  <c r="M264" i="5"/>
  <c r="L264" i="5"/>
  <c r="O264" i="5"/>
  <c r="N264" i="5"/>
  <c r="P264" i="5"/>
  <c r="K615" i="5"/>
  <c r="L615" i="5"/>
  <c r="M615" i="5"/>
  <c r="N615" i="5"/>
  <c r="O615" i="5"/>
  <c r="P615" i="5"/>
  <c r="K522" i="5"/>
  <c r="L522" i="5"/>
  <c r="M522" i="5"/>
  <c r="O522" i="5"/>
  <c r="N522" i="5"/>
  <c r="P522" i="5"/>
  <c r="K270" i="5"/>
  <c r="L270" i="5"/>
  <c r="M270" i="5"/>
  <c r="N270" i="5"/>
  <c r="O270" i="5"/>
  <c r="P270" i="5"/>
  <c r="L268" i="5"/>
  <c r="K268" i="5"/>
  <c r="M268" i="5"/>
  <c r="N268" i="5"/>
  <c r="O268" i="5"/>
  <c r="P268" i="5"/>
  <c r="K364" i="5"/>
  <c r="L364" i="5"/>
  <c r="M364" i="5"/>
  <c r="O364" i="5"/>
  <c r="N364" i="5"/>
  <c r="P364" i="5"/>
  <c r="K426" i="5"/>
  <c r="M426" i="5"/>
  <c r="L426" i="5"/>
  <c r="O426" i="5"/>
  <c r="P426" i="5"/>
  <c r="N426" i="5"/>
  <c r="K476" i="5"/>
  <c r="L476" i="5"/>
  <c r="M476" i="5"/>
  <c r="N476" i="5"/>
  <c r="O476" i="5"/>
  <c r="P476" i="5"/>
  <c r="K474" i="5"/>
  <c r="L474" i="5"/>
  <c r="M474" i="5"/>
  <c r="O474" i="5"/>
  <c r="N474" i="5"/>
  <c r="P474" i="5"/>
  <c r="K646" i="5"/>
  <c r="L646" i="5"/>
  <c r="M646" i="5"/>
  <c r="N646" i="5"/>
  <c r="O646" i="5"/>
  <c r="P646" i="5"/>
  <c r="K562" i="5"/>
  <c r="L562" i="5"/>
  <c r="M562" i="5"/>
  <c r="N562" i="5"/>
  <c r="O562" i="5"/>
  <c r="P562" i="5"/>
  <c r="K439" i="5"/>
  <c r="L439" i="5"/>
  <c r="M439" i="5"/>
  <c r="N439" i="5"/>
  <c r="O439" i="5"/>
  <c r="P439" i="5"/>
  <c r="K230" i="5"/>
  <c r="L230" i="5"/>
  <c r="M230" i="5"/>
  <c r="O230" i="5"/>
  <c r="N230" i="5"/>
  <c r="P230" i="5"/>
  <c r="K667" i="5"/>
  <c r="L667" i="5"/>
  <c r="M667" i="5"/>
  <c r="N667" i="5"/>
  <c r="O667" i="5"/>
  <c r="P667" i="5"/>
  <c r="K581" i="5"/>
  <c r="L581" i="5"/>
  <c r="M581" i="5"/>
  <c r="N581" i="5"/>
  <c r="O581" i="5"/>
  <c r="P581" i="5"/>
  <c r="K470" i="5"/>
  <c r="L470" i="5"/>
  <c r="N470" i="5"/>
  <c r="O470" i="5"/>
  <c r="M470" i="5"/>
  <c r="P470" i="5"/>
  <c r="K324" i="5"/>
  <c r="L324" i="5"/>
  <c r="M324" i="5"/>
  <c r="O324" i="5"/>
  <c r="P324" i="5"/>
  <c r="N324" i="5"/>
  <c r="K685" i="5"/>
  <c r="L685" i="5"/>
  <c r="M685" i="5"/>
  <c r="N685" i="5"/>
  <c r="O685" i="5"/>
  <c r="P685" i="5"/>
  <c r="K602" i="5"/>
  <c r="L602" i="5"/>
  <c r="M602" i="5"/>
  <c r="N602" i="5"/>
  <c r="O602" i="5"/>
  <c r="P602" i="5"/>
  <c r="K500" i="5"/>
  <c r="L500" i="5"/>
  <c r="M500" i="5"/>
  <c r="N500" i="5"/>
  <c r="O500" i="5"/>
  <c r="P500" i="5"/>
  <c r="K372" i="5"/>
  <c r="L372" i="5"/>
  <c r="M372" i="5"/>
  <c r="N372" i="5"/>
  <c r="O372" i="5"/>
  <c r="P372" i="5"/>
  <c r="L94" i="5"/>
  <c r="K94" i="5"/>
  <c r="M94" i="5"/>
  <c r="N94" i="5"/>
  <c r="O94" i="5"/>
  <c r="P94" i="5"/>
  <c r="K621" i="5"/>
  <c r="L621" i="5"/>
  <c r="N621" i="5"/>
  <c r="M621" i="5"/>
  <c r="O621" i="5"/>
  <c r="P621" i="5"/>
  <c r="K530" i="5"/>
  <c r="L530" i="5"/>
  <c r="M530" i="5"/>
  <c r="N530" i="5"/>
  <c r="O530" i="5"/>
  <c r="P530" i="5"/>
  <c r="K402" i="5"/>
  <c r="M402" i="5"/>
  <c r="L402" i="5"/>
  <c r="N402" i="5"/>
  <c r="O402" i="5"/>
  <c r="P402" i="5"/>
  <c r="L188" i="5"/>
  <c r="K188" i="5"/>
  <c r="M188" i="5"/>
  <c r="N188" i="5"/>
  <c r="O188" i="5"/>
  <c r="P188" i="5"/>
  <c r="K652" i="5"/>
  <c r="L652" i="5"/>
  <c r="M652" i="5"/>
  <c r="N652" i="5"/>
  <c r="O652" i="5"/>
  <c r="P652" i="5"/>
  <c r="K566" i="5"/>
  <c r="L566" i="5"/>
  <c r="N566" i="5"/>
  <c r="P566" i="5"/>
  <c r="M566" i="5"/>
  <c r="O566" i="5"/>
  <c r="K447" i="5"/>
  <c r="M447" i="5"/>
  <c r="L447" i="5"/>
  <c r="N447" i="5"/>
  <c r="O447" i="5"/>
  <c r="P447" i="5"/>
  <c r="K278" i="5"/>
  <c r="L278" i="5"/>
  <c r="M278" i="5"/>
  <c r="N278" i="5"/>
  <c r="O278" i="5"/>
  <c r="P278" i="5"/>
  <c r="K682" i="5"/>
  <c r="L682" i="5"/>
  <c r="M682" i="5"/>
  <c r="P682" i="5"/>
  <c r="O682" i="5"/>
  <c r="N682" i="5"/>
  <c r="K597" i="5"/>
  <c r="L597" i="5"/>
  <c r="M597" i="5"/>
  <c r="N597" i="5"/>
  <c r="O597" i="5"/>
  <c r="P597" i="5"/>
  <c r="K494" i="5"/>
  <c r="L494" i="5"/>
  <c r="M494" i="5"/>
  <c r="N494" i="5"/>
  <c r="O494" i="5"/>
  <c r="P494" i="5"/>
  <c r="K366" i="5"/>
  <c r="L366" i="5"/>
  <c r="M366" i="5"/>
  <c r="O366" i="5"/>
  <c r="N366" i="5"/>
  <c r="P366" i="5"/>
  <c r="K116" i="5"/>
  <c r="L116" i="5"/>
  <c r="M116" i="5"/>
  <c r="N116" i="5"/>
  <c r="O116" i="5"/>
  <c r="P116" i="5"/>
  <c r="K509" i="5"/>
  <c r="L509" i="5"/>
  <c r="M509" i="5"/>
  <c r="N509" i="5"/>
  <c r="O509" i="5"/>
  <c r="P509" i="5"/>
  <c r="K445" i="5"/>
  <c r="L445" i="5"/>
  <c r="N445" i="5"/>
  <c r="M445" i="5"/>
  <c r="O445" i="5"/>
  <c r="P445" i="5"/>
  <c r="K381" i="5"/>
  <c r="L381" i="5"/>
  <c r="M381" i="5"/>
  <c r="N381" i="5"/>
  <c r="O381" i="5"/>
  <c r="P381" i="5"/>
  <c r="K309" i="5"/>
  <c r="L309" i="5"/>
  <c r="N309" i="5"/>
  <c r="M309" i="5"/>
  <c r="O309" i="5"/>
  <c r="P309" i="5"/>
  <c r="L229" i="5"/>
  <c r="K229" i="5"/>
  <c r="N229" i="5"/>
  <c r="M229" i="5"/>
  <c r="O229" i="5"/>
  <c r="P229" i="5"/>
  <c r="L165" i="5"/>
  <c r="K165" i="5"/>
  <c r="M165" i="5"/>
  <c r="N165" i="5"/>
  <c r="O165" i="5"/>
  <c r="P165" i="5"/>
  <c r="K101" i="5"/>
  <c r="L101" i="5"/>
  <c r="M101" i="5"/>
  <c r="O101" i="5"/>
  <c r="P101" i="5"/>
  <c r="N101" i="5"/>
  <c r="K531" i="5"/>
  <c r="L531" i="5"/>
  <c r="M531" i="5"/>
  <c r="N531" i="5"/>
  <c r="O531" i="5"/>
  <c r="P531" i="5"/>
  <c r="K467" i="5"/>
  <c r="L467" i="5"/>
  <c r="M467" i="5"/>
  <c r="N467" i="5"/>
  <c r="O467" i="5"/>
  <c r="P467" i="5"/>
  <c r="K403" i="5"/>
  <c r="M403" i="5"/>
  <c r="N403" i="5"/>
  <c r="O403" i="5"/>
  <c r="L403" i="5"/>
  <c r="P403" i="5"/>
  <c r="K339" i="5"/>
  <c r="M339" i="5"/>
  <c r="O339" i="5"/>
  <c r="N339" i="5"/>
  <c r="L339" i="5"/>
  <c r="P339" i="5"/>
  <c r="K275" i="5"/>
  <c r="L275" i="5"/>
  <c r="N275" i="5"/>
  <c r="M275" i="5"/>
  <c r="O275" i="5"/>
  <c r="P275" i="5"/>
  <c r="K203" i="5"/>
  <c r="L203" i="5"/>
  <c r="M203" i="5"/>
  <c r="N203" i="5"/>
  <c r="O203" i="5"/>
  <c r="P203" i="5"/>
  <c r="K139" i="5"/>
  <c r="L139" i="5"/>
  <c r="N139" i="5"/>
  <c r="O139" i="5"/>
  <c r="M139" i="5"/>
  <c r="P139" i="5"/>
  <c r="K75" i="5"/>
  <c r="L75" i="5"/>
  <c r="N75" i="5"/>
  <c r="O75" i="5"/>
  <c r="M75" i="5"/>
  <c r="P75" i="5"/>
  <c r="L322" i="5"/>
  <c r="K322" i="5"/>
  <c r="N322" i="5"/>
  <c r="M322" i="5"/>
  <c r="O322" i="5"/>
  <c r="P322" i="5"/>
  <c r="K242" i="5"/>
  <c r="L242" i="5"/>
  <c r="N242" i="5"/>
  <c r="M242" i="5"/>
  <c r="O242" i="5"/>
  <c r="P242" i="5"/>
  <c r="K170" i="5"/>
  <c r="L170" i="5"/>
  <c r="M170" i="5"/>
  <c r="N170" i="5"/>
  <c r="P170" i="5"/>
  <c r="O170" i="5"/>
  <c r="K106" i="5"/>
  <c r="L106" i="5"/>
  <c r="M106" i="5"/>
  <c r="N106" i="5"/>
  <c r="P106" i="5"/>
  <c r="O106" i="5"/>
  <c r="K673" i="5"/>
  <c r="L673" i="5"/>
  <c r="M673" i="5"/>
  <c r="O673" i="5"/>
  <c r="N673" i="5"/>
  <c r="P673" i="5"/>
  <c r="L609" i="5"/>
  <c r="K609" i="5"/>
  <c r="O609" i="5"/>
  <c r="N609" i="5"/>
  <c r="M609" i="5"/>
  <c r="P609" i="5"/>
  <c r="K545" i="5"/>
  <c r="L545" i="5"/>
  <c r="M545" i="5"/>
  <c r="O545" i="5"/>
  <c r="N545" i="5"/>
  <c r="P545" i="5"/>
  <c r="K481" i="5"/>
  <c r="L481" i="5"/>
  <c r="M481" i="5"/>
  <c r="N481" i="5"/>
  <c r="O481" i="5"/>
  <c r="P481" i="5"/>
  <c r="K417" i="5"/>
  <c r="L417" i="5"/>
  <c r="M417" i="5"/>
  <c r="N417" i="5"/>
  <c r="O417" i="5"/>
  <c r="P417" i="5"/>
  <c r="K353" i="5"/>
  <c r="L353" i="5"/>
  <c r="M353" i="5"/>
  <c r="N353" i="5"/>
  <c r="O353" i="5"/>
  <c r="P353" i="5"/>
  <c r="K289" i="5"/>
  <c r="L289" i="5"/>
  <c r="M289" i="5"/>
  <c r="N289" i="5"/>
  <c r="O289" i="5"/>
  <c r="P289" i="5"/>
  <c r="K201" i="5"/>
  <c r="M201" i="5"/>
  <c r="L201" i="5"/>
  <c r="O201" i="5"/>
  <c r="P201" i="5"/>
  <c r="N201" i="5"/>
  <c r="K137" i="5"/>
  <c r="L137" i="5"/>
  <c r="M137" i="5"/>
  <c r="O137" i="5"/>
  <c r="N137" i="5"/>
  <c r="P137" i="5"/>
  <c r="K73" i="5"/>
  <c r="L73" i="5"/>
  <c r="N73" i="5"/>
  <c r="M73" i="5"/>
  <c r="P73" i="5"/>
  <c r="O73" i="5"/>
  <c r="K648" i="5"/>
  <c r="L648" i="5"/>
  <c r="M648" i="5"/>
  <c r="N648" i="5"/>
  <c r="O648" i="5"/>
  <c r="P648" i="5"/>
  <c r="K584" i="5"/>
  <c r="L584" i="5"/>
  <c r="M584" i="5"/>
  <c r="N584" i="5"/>
  <c r="O584" i="5"/>
  <c r="P584" i="5"/>
  <c r="K520" i="5"/>
  <c r="L520" i="5"/>
  <c r="M520" i="5"/>
  <c r="N520" i="5"/>
  <c r="O520" i="5"/>
  <c r="P520" i="5"/>
  <c r="K456" i="5"/>
  <c r="L456" i="5"/>
  <c r="M456" i="5"/>
  <c r="N456" i="5"/>
  <c r="O456" i="5"/>
  <c r="P456" i="5"/>
  <c r="K392" i="5"/>
  <c r="L392" i="5"/>
  <c r="M392" i="5"/>
  <c r="N392" i="5"/>
  <c r="O392" i="5"/>
  <c r="P392" i="5"/>
  <c r="K328" i="5"/>
  <c r="L328" i="5"/>
  <c r="M328" i="5"/>
  <c r="N328" i="5"/>
  <c r="O328" i="5"/>
  <c r="P328" i="5"/>
  <c r="K240" i="5"/>
  <c r="L240" i="5"/>
  <c r="M240" i="5"/>
  <c r="N240" i="5"/>
  <c r="O240" i="5"/>
  <c r="P240" i="5"/>
  <c r="K176" i="5"/>
  <c r="L176" i="5"/>
  <c r="M176" i="5"/>
  <c r="O176" i="5"/>
  <c r="N176" i="5"/>
  <c r="P176" i="5"/>
  <c r="K112" i="5"/>
  <c r="L112" i="5"/>
  <c r="M112" i="5"/>
  <c r="O112" i="5"/>
  <c r="N112" i="5"/>
  <c r="P112" i="5"/>
  <c r="K48" i="5"/>
  <c r="L48" i="5"/>
  <c r="M48" i="5"/>
  <c r="N48" i="5"/>
  <c r="O48" i="5"/>
  <c r="P48" i="5"/>
  <c r="K303" i="5"/>
  <c r="L303" i="5"/>
  <c r="M303" i="5"/>
  <c r="O303" i="5"/>
  <c r="N303" i="5"/>
  <c r="P303" i="5"/>
  <c r="K223" i="5"/>
  <c r="L223" i="5"/>
  <c r="M223" i="5"/>
  <c r="O223" i="5"/>
  <c r="P223" i="5"/>
  <c r="N223" i="5"/>
  <c r="K159" i="5"/>
  <c r="L159" i="5"/>
  <c r="M159" i="5"/>
  <c r="N159" i="5"/>
  <c r="O159" i="5"/>
  <c r="P159" i="5"/>
  <c r="K95" i="5"/>
  <c r="L95" i="5"/>
  <c r="M95" i="5"/>
  <c r="N95" i="5"/>
  <c r="O95" i="5"/>
  <c r="P95" i="5"/>
  <c r="K442" i="5"/>
  <c r="L442" i="5"/>
  <c r="M442" i="5"/>
  <c r="O442" i="5"/>
  <c r="N442" i="5"/>
  <c r="P442" i="5"/>
  <c r="K583" i="5"/>
  <c r="L583" i="5"/>
  <c r="M583" i="5"/>
  <c r="N583" i="5"/>
  <c r="O583" i="5"/>
  <c r="P583" i="5"/>
  <c r="K326" i="5"/>
  <c r="L326" i="5"/>
  <c r="M326" i="5"/>
  <c r="N326" i="5"/>
  <c r="O326" i="5"/>
  <c r="P326" i="5"/>
  <c r="K374" i="5"/>
  <c r="L374" i="5"/>
  <c r="M374" i="5"/>
  <c r="N374" i="5"/>
  <c r="O374" i="5"/>
  <c r="P374" i="5"/>
  <c r="K643" i="5"/>
  <c r="L643" i="5"/>
  <c r="M643" i="5"/>
  <c r="N643" i="5"/>
  <c r="O643" i="5"/>
  <c r="P643" i="5"/>
  <c r="K588" i="5"/>
  <c r="L588" i="5"/>
  <c r="M588" i="5"/>
  <c r="N588" i="5"/>
  <c r="O588" i="5"/>
  <c r="P588" i="5"/>
  <c r="K619" i="5"/>
  <c r="N619" i="5"/>
  <c r="O619" i="5"/>
  <c r="M619" i="5"/>
  <c r="L619" i="5"/>
  <c r="P619" i="5"/>
  <c r="K461" i="5"/>
  <c r="L461" i="5"/>
  <c r="M461" i="5"/>
  <c r="N461" i="5"/>
  <c r="O461" i="5"/>
  <c r="P461" i="5"/>
  <c r="L181" i="5"/>
  <c r="K181" i="5"/>
  <c r="M181" i="5"/>
  <c r="N181" i="5"/>
  <c r="O181" i="5"/>
  <c r="P181" i="5"/>
  <c r="K355" i="5"/>
  <c r="L355" i="5"/>
  <c r="O355" i="5"/>
  <c r="N355" i="5"/>
  <c r="M355" i="5"/>
  <c r="P355" i="5"/>
  <c r="K91" i="5"/>
  <c r="L91" i="5"/>
  <c r="M91" i="5"/>
  <c r="N91" i="5"/>
  <c r="O91" i="5"/>
  <c r="P91" i="5"/>
  <c r="K58" i="5"/>
  <c r="L58" i="5"/>
  <c r="M58" i="5"/>
  <c r="N58" i="5"/>
  <c r="O58" i="5"/>
  <c r="P58" i="5"/>
  <c r="K369" i="5"/>
  <c r="L369" i="5"/>
  <c r="N369" i="5"/>
  <c r="O369" i="5"/>
  <c r="M369" i="5"/>
  <c r="P369" i="5"/>
  <c r="K153" i="5"/>
  <c r="L153" i="5"/>
  <c r="M153" i="5"/>
  <c r="N153" i="5"/>
  <c r="O153" i="5"/>
  <c r="P153" i="5"/>
  <c r="K536" i="5"/>
  <c r="L536" i="5"/>
  <c r="M536" i="5"/>
  <c r="N536" i="5"/>
  <c r="O536" i="5"/>
  <c r="P536" i="5"/>
  <c r="K192" i="5"/>
  <c r="L192" i="5"/>
  <c r="M192" i="5"/>
  <c r="N192" i="5"/>
  <c r="O192" i="5"/>
  <c r="P192" i="5"/>
  <c r="K175" i="5"/>
  <c r="L175" i="5"/>
  <c r="M175" i="5"/>
  <c r="O175" i="5"/>
  <c r="N175" i="5"/>
  <c r="P175" i="5"/>
  <c r="K266" i="5"/>
  <c r="L266" i="5"/>
  <c r="N266" i="5"/>
  <c r="M266" i="5"/>
  <c r="O266" i="5"/>
  <c r="P266" i="5"/>
  <c r="K378" i="5"/>
  <c r="L378" i="5"/>
  <c r="M378" i="5"/>
  <c r="N378" i="5"/>
  <c r="O378" i="5"/>
  <c r="P378" i="5"/>
  <c r="K538" i="5"/>
  <c r="L538" i="5"/>
  <c r="M538" i="5"/>
  <c r="N538" i="5"/>
  <c r="O538" i="5"/>
  <c r="P538" i="5"/>
  <c r="K455" i="5"/>
  <c r="L455" i="5"/>
  <c r="M455" i="5"/>
  <c r="N455" i="5"/>
  <c r="O455" i="5"/>
  <c r="P455" i="5"/>
  <c r="K356" i="5"/>
  <c r="L356" i="5"/>
  <c r="M356" i="5"/>
  <c r="O356" i="5"/>
  <c r="N356" i="5"/>
  <c r="P356" i="5"/>
  <c r="L126" i="5"/>
  <c r="K126" i="5"/>
  <c r="M126" i="5"/>
  <c r="O126" i="5"/>
  <c r="P126" i="5"/>
  <c r="N126" i="5"/>
  <c r="K662" i="5"/>
  <c r="L662" i="5"/>
  <c r="N662" i="5"/>
  <c r="M662" i="5"/>
  <c r="P662" i="5"/>
  <c r="O662" i="5"/>
  <c r="K607" i="5"/>
  <c r="M607" i="5"/>
  <c r="L607" i="5"/>
  <c r="N607" i="5"/>
  <c r="O607" i="5"/>
  <c r="P607" i="5"/>
  <c r="K517" i="5"/>
  <c r="L517" i="5"/>
  <c r="M517" i="5"/>
  <c r="N517" i="5"/>
  <c r="O517" i="5"/>
  <c r="P517" i="5"/>
  <c r="L173" i="5"/>
  <c r="K173" i="5"/>
  <c r="M173" i="5"/>
  <c r="N173" i="5"/>
  <c r="O173" i="5"/>
  <c r="P173" i="5"/>
  <c r="K411" i="5"/>
  <c r="L411" i="5"/>
  <c r="M411" i="5"/>
  <c r="N411" i="5"/>
  <c r="O411" i="5"/>
  <c r="P411" i="5"/>
  <c r="K211" i="5"/>
  <c r="L211" i="5"/>
  <c r="N211" i="5"/>
  <c r="M211" i="5"/>
  <c r="O211" i="5"/>
  <c r="P211" i="5"/>
  <c r="K330" i="5"/>
  <c r="L330" i="5"/>
  <c r="N330" i="5"/>
  <c r="M330" i="5"/>
  <c r="O330" i="5"/>
  <c r="P330" i="5"/>
  <c r="K114" i="5"/>
  <c r="L114" i="5"/>
  <c r="N114" i="5"/>
  <c r="M114" i="5"/>
  <c r="O114" i="5"/>
  <c r="P114" i="5"/>
  <c r="K425" i="5"/>
  <c r="L425" i="5"/>
  <c r="M425" i="5"/>
  <c r="O425" i="5"/>
  <c r="N425" i="5"/>
  <c r="P425" i="5"/>
  <c r="K209" i="5"/>
  <c r="L209" i="5"/>
  <c r="M209" i="5"/>
  <c r="N209" i="5"/>
  <c r="O209" i="5"/>
  <c r="P209" i="5"/>
  <c r="K656" i="5"/>
  <c r="L656" i="5"/>
  <c r="M656" i="5"/>
  <c r="N656" i="5"/>
  <c r="O656" i="5"/>
  <c r="P656" i="5"/>
  <c r="K464" i="5"/>
  <c r="L464" i="5"/>
  <c r="M464" i="5"/>
  <c r="N464" i="5"/>
  <c r="O464" i="5"/>
  <c r="P464" i="5"/>
  <c r="K272" i="5"/>
  <c r="L272" i="5"/>
  <c r="M272" i="5"/>
  <c r="N272" i="5"/>
  <c r="O272" i="5"/>
  <c r="P272" i="5"/>
  <c r="K56" i="5"/>
  <c r="L56" i="5"/>
  <c r="M56" i="5"/>
  <c r="N56" i="5"/>
  <c r="O56" i="5"/>
  <c r="P56" i="5"/>
  <c r="K167" i="5"/>
  <c r="L167" i="5"/>
  <c r="M167" i="5"/>
  <c r="N167" i="5"/>
  <c r="O167" i="5"/>
  <c r="P167" i="5"/>
  <c r="K218" i="5"/>
  <c r="L218" i="5"/>
  <c r="N218" i="5"/>
  <c r="M218" i="5"/>
  <c r="O218" i="5"/>
  <c r="P218" i="5"/>
  <c r="K394" i="5"/>
  <c r="L394" i="5"/>
  <c r="M394" i="5"/>
  <c r="O394" i="5"/>
  <c r="P394" i="5"/>
  <c r="N394" i="5"/>
  <c r="L142" i="5"/>
  <c r="K142" i="5"/>
  <c r="M142" i="5"/>
  <c r="N142" i="5"/>
  <c r="O142" i="5"/>
  <c r="P142" i="5"/>
  <c r="K238" i="5"/>
  <c r="L238" i="5"/>
  <c r="M238" i="5"/>
  <c r="N238" i="5"/>
  <c r="O238" i="5"/>
  <c r="P238" i="5"/>
  <c r="K412" i="5"/>
  <c r="L412" i="5"/>
  <c r="M412" i="5"/>
  <c r="N412" i="5"/>
  <c r="O412" i="5"/>
  <c r="P412" i="5"/>
  <c r="K410" i="5"/>
  <c r="L410" i="5"/>
  <c r="M410" i="5"/>
  <c r="O410" i="5"/>
  <c r="N410" i="5"/>
  <c r="P410" i="5"/>
  <c r="K636" i="5"/>
  <c r="L636" i="5"/>
  <c r="M636" i="5"/>
  <c r="N636" i="5"/>
  <c r="O636" i="5"/>
  <c r="P636" i="5"/>
  <c r="K423" i="5"/>
  <c r="M423" i="5"/>
  <c r="L423" i="5"/>
  <c r="N423" i="5"/>
  <c r="O423" i="5"/>
  <c r="P423" i="5"/>
  <c r="K198" i="5"/>
  <c r="L198" i="5"/>
  <c r="M198" i="5"/>
  <c r="O198" i="5"/>
  <c r="N198" i="5"/>
  <c r="P198" i="5"/>
  <c r="K655" i="5"/>
  <c r="M655" i="5"/>
  <c r="L655" i="5"/>
  <c r="N655" i="5"/>
  <c r="O655" i="5"/>
  <c r="P655" i="5"/>
  <c r="K571" i="5"/>
  <c r="M571" i="5"/>
  <c r="N571" i="5"/>
  <c r="O571" i="5"/>
  <c r="L571" i="5"/>
  <c r="P571" i="5"/>
  <c r="K454" i="5"/>
  <c r="L454" i="5"/>
  <c r="M454" i="5"/>
  <c r="N454" i="5"/>
  <c r="O454" i="5"/>
  <c r="P454" i="5"/>
  <c r="L292" i="5"/>
  <c r="K292" i="5"/>
  <c r="M292" i="5"/>
  <c r="O292" i="5"/>
  <c r="N292" i="5"/>
  <c r="P292" i="5"/>
  <c r="K676" i="5"/>
  <c r="L676" i="5"/>
  <c r="M676" i="5"/>
  <c r="N676" i="5"/>
  <c r="O676" i="5"/>
  <c r="P676" i="5"/>
  <c r="K590" i="5"/>
  <c r="L590" i="5"/>
  <c r="M590" i="5"/>
  <c r="N590" i="5"/>
  <c r="P590" i="5"/>
  <c r="O590" i="5"/>
  <c r="K484" i="5"/>
  <c r="L484" i="5"/>
  <c r="M484" i="5"/>
  <c r="N484" i="5"/>
  <c r="O484" i="5"/>
  <c r="P484" i="5"/>
  <c r="K350" i="5"/>
  <c r="L350" i="5"/>
  <c r="M350" i="5"/>
  <c r="O350" i="5"/>
  <c r="P350" i="5"/>
  <c r="N350" i="5"/>
  <c r="K62" i="5"/>
  <c r="L62" i="5"/>
  <c r="N62" i="5"/>
  <c r="M62" i="5"/>
  <c r="O62" i="5"/>
  <c r="P62" i="5"/>
  <c r="K611" i="5"/>
  <c r="L611" i="5"/>
  <c r="M611" i="5"/>
  <c r="N611" i="5"/>
  <c r="O611" i="5"/>
  <c r="P611" i="5"/>
  <c r="L514" i="5"/>
  <c r="K514" i="5"/>
  <c r="M514" i="5"/>
  <c r="N514" i="5"/>
  <c r="O514" i="5"/>
  <c r="P514" i="5"/>
  <c r="K386" i="5"/>
  <c r="L386" i="5"/>
  <c r="M386" i="5"/>
  <c r="O386" i="5"/>
  <c r="N386" i="5"/>
  <c r="P386" i="5"/>
  <c r="K156" i="5"/>
  <c r="L156" i="5"/>
  <c r="M156" i="5"/>
  <c r="N156" i="5"/>
  <c r="O156" i="5"/>
  <c r="P156" i="5"/>
  <c r="K642" i="5"/>
  <c r="M642" i="5"/>
  <c r="L642" i="5"/>
  <c r="O642" i="5"/>
  <c r="N642" i="5"/>
  <c r="P642" i="5"/>
  <c r="K556" i="5"/>
  <c r="L556" i="5"/>
  <c r="M556" i="5"/>
  <c r="N556" i="5"/>
  <c r="O556" i="5"/>
  <c r="P556" i="5"/>
  <c r="K431" i="5"/>
  <c r="L431" i="5"/>
  <c r="M431" i="5"/>
  <c r="N431" i="5"/>
  <c r="O431" i="5"/>
  <c r="P431" i="5"/>
  <c r="K246" i="5"/>
  <c r="L246" i="5"/>
  <c r="M246" i="5"/>
  <c r="N246" i="5"/>
  <c r="O246" i="5"/>
  <c r="P246" i="5"/>
  <c r="K671" i="5"/>
  <c r="M671" i="5"/>
  <c r="L671" i="5"/>
  <c r="N671" i="5"/>
  <c r="O671" i="5"/>
  <c r="P671" i="5"/>
  <c r="K587" i="5"/>
  <c r="L587" i="5"/>
  <c r="N587" i="5"/>
  <c r="O587" i="5"/>
  <c r="M587" i="5"/>
  <c r="P587" i="5"/>
  <c r="K478" i="5"/>
  <c r="L478" i="5"/>
  <c r="M478" i="5"/>
  <c r="N478" i="5"/>
  <c r="O478" i="5"/>
  <c r="P478" i="5"/>
  <c r="L340" i="5"/>
  <c r="M340" i="5"/>
  <c r="K340" i="5"/>
  <c r="O340" i="5"/>
  <c r="N340" i="5"/>
  <c r="P340" i="5"/>
  <c r="K84" i="5"/>
  <c r="L84" i="5"/>
  <c r="M84" i="5"/>
  <c r="N84" i="5"/>
  <c r="O84" i="5"/>
  <c r="P84" i="5"/>
  <c r="K501" i="5"/>
  <c r="L501" i="5"/>
  <c r="N501" i="5"/>
  <c r="M501" i="5"/>
  <c r="P501" i="5"/>
  <c r="O501" i="5"/>
  <c r="K437" i="5"/>
  <c r="L437" i="5"/>
  <c r="M437" i="5"/>
  <c r="N437" i="5"/>
  <c r="P437" i="5"/>
  <c r="O437" i="5"/>
  <c r="K373" i="5"/>
  <c r="L373" i="5"/>
  <c r="M373" i="5"/>
  <c r="N373" i="5"/>
  <c r="O373" i="5"/>
  <c r="P373" i="5"/>
  <c r="K301" i="5"/>
  <c r="L301" i="5"/>
  <c r="M301" i="5"/>
  <c r="N301" i="5"/>
  <c r="O301" i="5"/>
  <c r="P301" i="5"/>
  <c r="K221" i="5"/>
  <c r="L221" i="5"/>
  <c r="M221" i="5"/>
  <c r="N221" i="5"/>
  <c r="O221" i="5"/>
  <c r="P221" i="5"/>
  <c r="K157" i="5"/>
  <c r="L157" i="5"/>
  <c r="M157" i="5"/>
  <c r="N157" i="5"/>
  <c r="O157" i="5"/>
  <c r="P157" i="5"/>
  <c r="L93" i="5"/>
  <c r="M93" i="5"/>
  <c r="K93" i="5"/>
  <c r="N93" i="5"/>
  <c r="O93" i="5"/>
  <c r="P93" i="5"/>
  <c r="K523" i="5"/>
  <c r="L523" i="5"/>
  <c r="N523" i="5"/>
  <c r="O523" i="5"/>
  <c r="M523" i="5"/>
  <c r="P523" i="5"/>
  <c r="K459" i="5"/>
  <c r="L459" i="5"/>
  <c r="M459" i="5"/>
  <c r="N459" i="5"/>
  <c r="O459" i="5"/>
  <c r="P459" i="5"/>
  <c r="K395" i="5"/>
  <c r="L395" i="5"/>
  <c r="M395" i="5"/>
  <c r="N395" i="5"/>
  <c r="O395" i="5"/>
  <c r="P395" i="5"/>
  <c r="L331" i="5"/>
  <c r="K331" i="5"/>
  <c r="M331" i="5"/>
  <c r="O331" i="5"/>
  <c r="N331" i="5"/>
  <c r="P331" i="5"/>
  <c r="K267" i="5"/>
  <c r="L267" i="5"/>
  <c r="M267" i="5"/>
  <c r="N267" i="5"/>
  <c r="O267" i="5"/>
  <c r="P267" i="5"/>
  <c r="K195" i="5"/>
  <c r="L195" i="5"/>
  <c r="M195" i="5"/>
  <c r="N195" i="5"/>
  <c r="O195" i="5"/>
  <c r="P195" i="5"/>
  <c r="K131" i="5"/>
  <c r="L131" i="5"/>
  <c r="M131" i="5"/>
  <c r="N131" i="5"/>
  <c r="O131" i="5"/>
  <c r="P131" i="5"/>
  <c r="K67" i="5"/>
  <c r="L67" i="5"/>
  <c r="M67" i="5"/>
  <c r="O67" i="5"/>
  <c r="N67" i="5"/>
  <c r="P67" i="5"/>
  <c r="K314" i="5"/>
  <c r="L314" i="5"/>
  <c r="N314" i="5"/>
  <c r="M314" i="5"/>
  <c r="O314" i="5"/>
  <c r="P314" i="5"/>
  <c r="K234" i="5"/>
  <c r="L234" i="5"/>
  <c r="N234" i="5"/>
  <c r="M234" i="5"/>
  <c r="P234" i="5"/>
  <c r="O234" i="5"/>
  <c r="K162" i="5"/>
  <c r="L162" i="5"/>
  <c r="M162" i="5"/>
  <c r="N162" i="5"/>
  <c r="O162" i="5"/>
  <c r="P162" i="5"/>
  <c r="K98" i="5"/>
  <c r="L98" i="5"/>
  <c r="M98" i="5"/>
  <c r="N98" i="5"/>
  <c r="O98" i="5"/>
  <c r="P98" i="5"/>
  <c r="K665" i="5"/>
  <c r="L665" i="5"/>
  <c r="M665" i="5"/>
  <c r="N665" i="5"/>
  <c r="P665" i="5"/>
  <c r="O665" i="5"/>
  <c r="K601" i="5"/>
  <c r="L601" i="5"/>
  <c r="M601" i="5"/>
  <c r="N601" i="5"/>
  <c r="O601" i="5"/>
  <c r="P601" i="5"/>
  <c r="K537" i="5"/>
  <c r="L537" i="5"/>
  <c r="M537" i="5"/>
  <c r="N537" i="5"/>
  <c r="O537" i="5"/>
  <c r="P537" i="5"/>
  <c r="K473" i="5"/>
  <c r="L473" i="5"/>
  <c r="M473" i="5"/>
  <c r="O473" i="5"/>
  <c r="N473" i="5"/>
  <c r="P473" i="5"/>
  <c r="K409" i="5"/>
  <c r="L409" i="5"/>
  <c r="M409" i="5"/>
  <c r="O409" i="5"/>
  <c r="N409" i="5"/>
  <c r="P409" i="5"/>
  <c r="K345" i="5"/>
  <c r="L345" i="5"/>
  <c r="M345" i="5"/>
  <c r="N345" i="5"/>
  <c r="O345" i="5"/>
  <c r="P345" i="5"/>
  <c r="K281" i="5"/>
  <c r="L281" i="5"/>
  <c r="M281" i="5"/>
  <c r="N281" i="5"/>
  <c r="O281" i="5"/>
  <c r="P281" i="5"/>
  <c r="K193" i="5"/>
  <c r="L193" i="5"/>
  <c r="M193" i="5"/>
  <c r="N193" i="5"/>
  <c r="O193" i="5"/>
  <c r="P193" i="5"/>
  <c r="K129" i="5"/>
  <c r="L129" i="5"/>
  <c r="M129" i="5"/>
  <c r="N129" i="5"/>
  <c r="O129" i="5"/>
  <c r="P129" i="5"/>
  <c r="K65" i="5"/>
  <c r="L65" i="5"/>
  <c r="M65" i="5"/>
  <c r="N65" i="5"/>
  <c r="O65" i="5"/>
  <c r="P65" i="5"/>
  <c r="K640" i="5"/>
  <c r="L640" i="5"/>
  <c r="M640" i="5"/>
  <c r="N640" i="5"/>
  <c r="O640" i="5"/>
  <c r="P640" i="5"/>
  <c r="K576" i="5"/>
  <c r="L576" i="5"/>
  <c r="M576" i="5"/>
  <c r="N576" i="5"/>
  <c r="O576" i="5"/>
  <c r="P576" i="5"/>
  <c r="K512" i="5"/>
  <c r="L512" i="5"/>
  <c r="M512" i="5"/>
  <c r="N512" i="5"/>
  <c r="O512" i="5"/>
  <c r="P512" i="5"/>
  <c r="K448" i="5"/>
  <c r="L448" i="5"/>
  <c r="M448" i="5"/>
  <c r="N448" i="5"/>
  <c r="O448" i="5"/>
  <c r="P448" i="5"/>
  <c r="K384" i="5"/>
  <c r="L384" i="5"/>
  <c r="M384" i="5"/>
  <c r="N384" i="5"/>
  <c r="O384" i="5"/>
  <c r="P384" i="5"/>
  <c r="K320" i="5"/>
  <c r="L320" i="5"/>
  <c r="M320" i="5"/>
  <c r="N320" i="5"/>
  <c r="O320" i="5"/>
  <c r="P320" i="5"/>
  <c r="K232" i="5"/>
  <c r="L232" i="5"/>
  <c r="M232" i="5"/>
  <c r="O232" i="5"/>
  <c r="N232" i="5"/>
  <c r="P232" i="5"/>
  <c r="K168" i="5"/>
  <c r="L168" i="5"/>
  <c r="M168" i="5"/>
  <c r="N168" i="5"/>
  <c r="O168" i="5"/>
  <c r="P168" i="5"/>
  <c r="K104" i="5"/>
  <c r="L104" i="5"/>
  <c r="N104" i="5"/>
  <c r="O104" i="5"/>
  <c r="M104" i="5"/>
  <c r="P104" i="5"/>
  <c r="K359" i="5"/>
  <c r="M359" i="5"/>
  <c r="L359" i="5"/>
  <c r="O359" i="5"/>
  <c r="N359" i="5"/>
  <c r="P359" i="5"/>
  <c r="K295" i="5"/>
  <c r="L295" i="5"/>
  <c r="M295" i="5"/>
  <c r="O295" i="5"/>
  <c r="N295" i="5"/>
  <c r="P295" i="5"/>
  <c r="K215" i="5"/>
  <c r="L215" i="5"/>
  <c r="M215" i="5"/>
  <c r="N215" i="5"/>
  <c r="O215" i="5"/>
  <c r="P215" i="5"/>
  <c r="K151" i="5"/>
  <c r="L151" i="5"/>
  <c r="M151" i="5"/>
  <c r="O151" i="5"/>
  <c r="P151" i="5"/>
  <c r="N151" i="5"/>
  <c r="K87" i="5"/>
  <c r="L87" i="5"/>
  <c r="M87" i="5"/>
  <c r="O87" i="5"/>
  <c r="P87" i="5"/>
  <c r="N87" i="5"/>
  <c r="K492" i="5"/>
  <c r="L492" i="5"/>
  <c r="M492" i="5"/>
  <c r="N492" i="5"/>
  <c r="O492" i="5"/>
  <c r="P492" i="5"/>
  <c r="K668" i="5"/>
  <c r="L668" i="5"/>
  <c r="M668" i="5"/>
  <c r="N668" i="5"/>
  <c r="O668" i="5"/>
  <c r="P668" i="5"/>
  <c r="K603" i="5"/>
  <c r="L603" i="5"/>
  <c r="M603" i="5"/>
  <c r="N603" i="5"/>
  <c r="O603" i="5"/>
  <c r="P603" i="5"/>
  <c r="K532" i="5"/>
  <c r="L532" i="5"/>
  <c r="M532" i="5"/>
  <c r="N532" i="5"/>
  <c r="O532" i="5"/>
  <c r="P532" i="5"/>
  <c r="K557" i="5"/>
  <c r="L557" i="5"/>
  <c r="N557" i="5"/>
  <c r="M557" i="5"/>
  <c r="O557" i="5"/>
  <c r="P557" i="5"/>
  <c r="K479" i="5"/>
  <c r="L479" i="5"/>
  <c r="M479" i="5"/>
  <c r="N479" i="5"/>
  <c r="O479" i="5"/>
  <c r="P479" i="5"/>
  <c r="L180" i="5"/>
  <c r="K180" i="5"/>
  <c r="M180" i="5"/>
  <c r="N180" i="5"/>
  <c r="O180" i="5"/>
  <c r="P180" i="5"/>
  <c r="L245" i="5"/>
  <c r="K245" i="5"/>
  <c r="M245" i="5"/>
  <c r="O245" i="5"/>
  <c r="N245" i="5"/>
  <c r="P245" i="5"/>
  <c r="K419" i="5"/>
  <c r="L419" i="5"/>
  <c r="N419" i="5"/>
  <c r="O419" i="5"/>
  <c r="M419" i="5"/>
  <c r="P419" i="5"/>
  <c r="K155" i="5"/>
  <c r="L155" i="5"/>
  <c r="M155" i="5"/>
  <c r="N155" i="5"/>
  <c r="O155" i="5"/>
  <c r="P155" i="5"/>
  <c r="K122" i="5"/>
  <c r="L122" i="5"/>
  <c r="M122" i="5"/>
  <c r="N122" i="5"/>
  <c r="O122" i="5"/>
  <c r="P122" i="5"/>
  <c r="K561" i="5"/>
  <c r="L561" i="5"/>
  <c r="M561" i="5"/>
  <c r="N561" i="5"/>
  <c r="O561" i="5"/>
  <c r="P561" i="5"/>
  <c r="K225" i="5"/>
  <c r="L225" i="5"/>
  <c r="M225" i="5"/>
  <c r="N225" i="5"/>
  <c r="O225" i="5"/>
  <c r="P225" i="5"/>
  <c r="K472" i="5"/>
  <c r="L472" i="5"/>
  <c r="M472" i="5"/>
  <c r="N472" i="5"/>
  <c r="O472" i="5"/>
  <c r="P472" i="5"/>
  <c r="K128" i="5"/>
  <c r="L128" i="5"/>
  <c r="M128" i="5"/>
  <c r="N128" i="5"/>
  <c r="O128" i="5"/>
  <c r="P128" i="5"/>
  <c r="K47" i="5"/>
  <c r="L47" i="5"/>
  <c r="M47" i="5"/>
  <c r="N47" i="5"/>
  <c r="O47" i="5"/>
  <c r="P47" i="5"/>
  <c r="K254" i="5"/>
  <c r="L254" i="5"/>
  <c r="M254" i="5"/>
  <c r="O254" i="5"/>
  <c r="N254" i="5"/>
  <c r="P254" i="5"/>
  <c r="L396" i="5"/>
  <c r="K396" i="5"/>
  <c r="M396" i="5"/>
  <c r="N396" i="5"/>
  <c r="O396" i="5"/>
  <c r="P396" i="5"/>
  <c r="K540" i="5"/>
  <c r="L540" i="5"/>
  <c r="M540" i="5"/>
  <c r="N540" i="5"/>
  <c r="O540" i="5"/>
  <c r="P540" i="5"/>
  <c r="K294" i="5"/>
  <c r="L294" i="5"/>
  <c r="M294" i="5"/>
  <c r="O294" i="5"/>
  <c r="N294" i="5"/>
  <c r="P294" i="5"/>
  <c r="L68" i="5"/>
  <c r="K68" i="5"/>
  <c r="M68" i="5"/>
  <c r="N68" i="5"/>
  <c r="O68" i="5"/>
  <c r="P68" i="5"/>
  <c r="K631" i="5"/>
  <c r="L631" i="5"/>
  <c r="M631" i="5"/>
  <c r="N631" i="5"/>
  <c r="O631" i="5"/>
  <c r="P631" i="5"/>
  <c r="K578" i="5"/>
  <c r="L578" i="5"/>
  <c r="M578" i="5"/>
  <c r="N578" i="5"/>
  <c r="O578" i="5"/>
  <c r="P578" i="5"/>
  <c r="K510" i="5"/>
  <c r="L510" i="5"/>
  <c r="M510" i="5"/>
  <c r="N510" i="5"/>
  <c r="P510" i="5"/>
  <c r="O510" i="5"/>
  <c r="K389" i="5"/>
  <c r="L389" i="5"/>
  <c r="M389" i="5"/>
  <c r="N389" i="5"/>
  <c r="O389" i="5"/>
  <c r="P389" i="5"/>
  <c r="L109" i="5"/>
  <c r="K109" i="5"/>
  <c r="M109" i="5"/>
  <c r="N109" i="5"/>
  <c r="O109" i="5"/>
  <c r="P109" i="5"/>
  <c r="K347" i="5"/>
  <c r="L347" i="5"/>
  <c r="M347" i="5"/>
  <c r="O347" i="5"/>
  <c r="N347" i="5"/>
  <c r="P347" i="5"/>
  <c r="K147" i="5"/>
  <c r="L147" i="5"/>
  <c r="M147" i="5"/>
  <c r="N147" i="5"/>
  <c r="O147" i="5"/>
  <c r="P147" i="5"/>
  <c r="K250" i="5"/>
  <c r="L250" i="5"/>
  <c r="N250" i="5"/>
  <c r="M250" i="5"/>
  <c r="O250" i="5"/>
  <c r="P250" i="5"/>
  <c r="K553" i="5"/>
  <c r="L553" i="5"/>
  <c r="M553" i="5"/>
  <c r="N553" i="5"/>
  <c r="P553" i="5"/>
  <c r="O553" i="5"/>
  <c r="K361" i="5"/>
  <c r="L361" i="5"/>
  <c r="M361" i="5"/>
  <c r="N361" i="5"/>
  <c r="O361" i="5"/>
  <c r="P361" i="5"/>
  <c r="K145" i="5"/>
  <c r="L145" i="5"/>
  <c r="M145" i="5"/>
  <c r="N145" i="5"/>
  <c r="O145" i="5"/>
  <c r="P145" i="5"/>
  <c r="K592" i="5"/>
  <c r="L592" i="5"/>
  <c r="M592" i="5"/>
  <c r="N592" i="5"/>
  <c r="P592" i="5"/>
  <c r="O592" i="5"/>
  <c r="K400" i="5"/>
  <c r="L400" i="5"/>
  <c r="M400" i="5"/>
  <c r="N400" i="5"/>
  <c r="O400" i="5"/>
  <c r="P400" i="5"/>
  <c r="K184" i="5"/>
  <c r="L184" i="5"/>
  <c r="N184" i="5"/>
  <c r="O184" i="5"/>
  <c r="M184" i="5"/>
  <c r="P184" i="5"/>
  <c r="K311" i="5"/>
  <c r="M311" i="5"/>
  <c r="L311" i="5"/>
  <c r="N311" i="5"/>
  <c r="O311" i="5"/>
  <c r="P311" i="5"/>
  <c r="K231" i="5"/>
  <c r="L231" i="5"/>
  <c r="M231" i="5"/>
  <c r="O231" i="5"/>
  <c r="N231" i="5"/>
  <c r="P231" i="5"/>
  <c r="K256" i="5"/>
  <c r="L256" i="5"/>
  <c r="M256" i="5"/>
  <c r="N256" i="5"/>
  <c r="O256" i="5"/>
  <c r="P256" i="5"/>
  <c r="L172" i="5"/>
  <c r="K172" i="5"/>
  <c r="M172" i="5"/>
  <c r="N172" i="5"/>
  <c r="O172" i="5"/>
  <c r="P172" i="5"/>
  <c r="L140" i="5"/>
  <c r="K140" i="5"/>
  <c r="M140" i="5"/>
  <c r="N140" i="5"/>
  <c r="O140" i="5"/>
  <c r="P140" i="5"/>
  <c r="K362" i="5"/>
  <c r="L362" i="5"/>
  <c r="M362" i="5"/>
  <c r="N362" i="5"/>
  <c r="P362" i="5"/>
  <c r="O362" i="5"/>
  <c r="K550" i="5"/>
  <c r="L550" i="5"/>
  <c r="M550" i="5"/>
  <c r="N550" i="5"/>
  <c r="P550" i="5"/>
  <c r="O550" i="5"/>
  <c r="K7" i="5"/>
  <c r="L261" i="5"/>
  <c r="K261" i="5"/>
  <c r="M261" i="5"/>
  <c r="N261" i="5"/>
  <c r="O261" i="5"/>
  <c r="P261" i="5"/>
  <c r="K334" i="5"/>
  <c r="L334" i="5"/>
  <c r="M334" i="5"/>
  <c r="N334" i="5"/>
  <c r="O334" i="5"/>
  <c r="P334" i="5"/>
  <c r="K660" i="5"/>
  <c r="L660" i="5"/>
  <c r="M660" i="5"/>
  <c r="N660" i="5"/>
  <c r="O660" i="5"/>
  <c r="P660" i="5"/>
  <c r="K574" i="5"/>
  <c r="L574" i="5"/>
  <c r="M574" i="5"/>
  <c r="N574" i="5"/>
  <c r="P574" i="5"/>
  <c r="O574" i="5"/>
  <c r="K650" i="5"/>
  <c r="L650" i="5"/>
  <c r="M650" i="5"/>
  <c r="P650" i="5"/>
  <c r="O650" i="5"/>
  <c r="N650" i="5"/>
  <c r="K647" i="5"/>
  <c r="L647" i="5"/>
  <c r="M647" i="5"/>
  <c r="N647" i="5"/>
  <c r="O647" i="5"/>
  <c r="P647" i="5"/>
  <c r="K681" i="5"/>
  <c r="L681" i="5"/>
  <c r="M681" i="5"/>
  <c r="N681" i="5"/>
  <c r="P681" i="5"/>
  <c r="O681" i="5"/>
  <c r="L110" i="5"/>
  <c r="K110" i="5"/>
  <c r="M110" i="5"/>
  <c r="O110" i="5"/>
  <c r="N110" i="5"/>
  <c r="P110" i="5"/>
  <c r="L236" i="5"/>
  <c r="M236" i="5"/>
  <c r="K236" i="5"/>
  <c r="N236" i="5"/>
  <c r="O236" i="5"/>
  <c r="P236" i="5"/>
  <c r="K206" i="5"/>
  <c r="L206" i="5"/>
  <c r="M206" i="5"/>
  <c r="N206" i="5"/>
  <c r="O206" i="5"/>
  <c r="P206" i="5"/>
  <c r="L332" i="5"/>
  <c r="K332" i="5"/>
  <c r="M332" i="5"/>
  <c r="O332" i="5"/>
  <c r="N332" i="5"/>
  <c r="P332" i="5"/>
  <c r="K626" i="5"/>
  <c r="L626" i="5"/>
  <c r="M626" i="5"/>
  <c r="N626" i="5"/>
  <c r="O626" i="5"/>
  <c r="P626" i="5"/>
  <c r="K535" i="5"/>
  <c r="L535" i="5"/>
  <c r="M535" i="5"/>
  <c r="N535" i="5"/>
  <c r="O535" i="5"/>
  <c r="P535" i="5"/>
  <c r="K407" i="5"/>
  <c r="L407" i="5"/>
  <c r="M407" i="5"/>
  <c r="N407" i="5"/>
  <c r="O407" i="5"/>
  <c r="P407" i="5"/>
  <c r="L166" i="5"/>
  <c r="K166" i="5"/>
  <c r="N166" i="5"/>
  <c r="O166" i="5"/>
  <c r="M166" i="5"/>
  <c r="P166" i="5"/>
  <c r="K645" i="5"/>
  <c r="L645" i="5"/>
  <c r="M645" i="5"/>
  <c r="N645" i="5"/>
  <c r="O645" i="5"/>
  <c r="P645" i="5"/>
  <c r="K559" i="5"/>
  <c r="L559" i="5"/>
  <c r="M559" i="5"/>
  <c r="N559" i="5"/>
  <c r="O559" i="5"/>
  <c r="P559" i="5"/>
  <c r="K438" i="5"/>
  <c r="L438" i="5"/>
  <c r="M438" i="5"/>
  <c r="N438" i="5"/>
  <c r="O438" i="5"/>
  <c r="P438" i="5"/>
  <c r="L228" i="5"/>
  <c r="K228" i="5"/>
  <c r="M228" i="5"/>
  <c r="O228" i="5"/>
  <c r="N228" i="5"/>
  <c r="P228" i="5"/>
  <c r="K666" i="5"/>
  <c r="L666" i="5"/>
  <c r="M666" i="5"/>
  <c r="N666" i="5"/>
  <c r="O666" i="5"/>
  <c r="P666" i="5"/>
  <c r="K580" i="5"/>
  <c r="L580" i="5"/>
  <c r="M580" i="5"/>
  <c r="N580" i="5"/>
  <c r="O580" i="5"/>
  <c r="P580" i="5"/>
  <c r="K468" i="5"/>
  <c r="L468" i="5"/>
  <c r="M468" i="5"/>
  <c r="N468" i="5"/>
  <c r="O468" i="5"/>
  <c r="P468" i="5"/>
  <c r="K318" i="5"/>
  <c r="L318" i="5"/>
  <c r="M318" i="5"/>
  <c r="N318" i="5"/>
  <c r="O318" i="5"/>
  <c r="P318" i="5"/>
  <c r="K684" i="5"/>
  <c r="L684" i="5"/>
  <c r="M684" i="5"/>
  <c r="N684" i="5"/>
  <c r="O684" i="5"/>
  <c r="P684" i="5"/>
  <c r="K599" i="5"/>
  <c r="L599" i="5"/>
  <c r="M599" i="5"/>
  <c r="N599" i="5"/>
  <c r="O599" i="5"/>
  <c r="P599" i="5"/>
  <c r="K498" i="5"/>
  <c r="L498" i="5"/>
  <c r="M498" i="5"/>
  <c r="N498" i="5"/>
  <c r="O498" i="5"/>
  <c r="P498" i="5"/>
  <c r="K370" i="5"/>
  <c r="L370" i="5"/>
  <c r="N370" i="5"/>
  <c r="M370" i="5"/>
  <c r="O370" i="5"/>
  <c r="P370" i="5"/>
  <c r="K124" i="5"/>
  <c r="L124" i="5"/>
  <c r="M124" i="5"/>
  <c r="N124" i="5"/>
  <c r="O124" i="5"/>
  <c r="P124" i="5"/>
  <c r="K630" i="5"/>
  <c r="L630" i="5"/>
  <c r="N630" i="5"/>
  <c r="M630" i="5"/>
  <c r="O630" i="5"/>
  <c r="P630" i="5"/>
  <c r="K543" i="5"/>
  <c r="L543" i="5"/>
  <c r="M543" i="5"/>
  <c r="N543" i="5"/>
  <c r="O543" i="5"/>
  <c r="P543" i="5"/>
  <c r="K415" i="5"/>
  <c r="L415" i="5"/>
  <c r="M415" i="5"/>
  <c r="N415" i="5"/>
  <c r="O415" i="5"/>
  <c r="P415" i="5"/>
  <c r="L214" i="5"/>
  <c r="K214" i="5"/>
  <c r="M214" i="5"/>
  <c r="N214" i="5"/>
  <c r="O214" i="5"/>
  <c r="P214" i="5"/>
  <c r="K661" i="5"/>
  <c r="L661" i="5"/>
  <c r="N661" i="5"/>
  <c r="M661" i="5"/>
  <c r="P661" i="5"/>
  <c r="O661" i="5"/>
  <c r="K575" i="5"/>
  <c r="L575" i="5"/>
  <c r="M575" i="5"/>
  <c r="N575" i="5"/>
  <c r="O575" i="5"/>
  <c r="P575" i="5"/>
  <c r="K462" i="5"/>
  <c r="L462" i="5"/>
  <c r="M462" i="5"/>
  <c r="N462" i="5"/>
  <c r="O462" i="5"/>
  <c r="P462" i="5"/>
  <c r="L308" i="5"/>
  <c r="K308" i="5"/>
  <c r="M308" i="5"/>
  <c r="N308" i="5"/>
  <c r="O308" i="5"/>
  <c r="P308" i="5"/>
  <c r="K52" i="5"/>
  <c r="L52" i="5"/>
  <c r="M52" i="5"/>
  <c r="N52" i="5"/>
  <c r="O52" i="5"/>
  <c r="P52" i="5"/>
  <c r="K493" i="5"/>
  <c r="L493" i="5"/>
  <c r="M493" i="5"/>
  <c r="N493" i="5"/>
  <c r="O493" i="5"/>
  <c r="P493" i="5"/>
  <c r="K429" i="5"/>
  <c r="L429" i="5"/>
  <c r="M429" i="5"/>
  <c r="N429" i="5"/>
  <c r="O429" i="5"/>
  <c r="P429" i="5"/>
  <c r="K365" i="5"/>
  <c r="L365" i="5"/>
  <c r="M365" i="5"/>
  <c r="N365" i="5"/>
  <c r="O365" i="5"/>
  <c r="P365" i="5"/>
  <c r="K293" i="5"/>
  <c r="L293" i="5"/>
  <c r="M293" i="5"/>
  <c r="N293" i="5"/>
  <c r="O293" i="5"/>
  <c r="P293" i="5"/>
  <c r="L213" i="5"/>
  <c r="K213" i="5"/>
  <c r="M213" i="5"/>
  <c r="N213" i="5"/>
  <c r="P213" i="5"/>
  <c r="O213" i="5"/>
  <c r="L149" i="5"/>
  <c r="M149" i="5"/>
  <c r="K149" i="5"/>
  <c r="N149" i="5"/>
  <c r="P149" i="5"/>
  <c r="O149" i="5"/>
  <c r="L85" i="5"/>
  <c r="K85" i="5"/>
  <c r="M85" i="5"/>
  <c r="O85" i="5"/>
  <c r="N85" i="5"/>
  <c r="P85" i="5"/>
  <c r="L515" i="5"/>
  <c r="K515" i="5"/>
  <c r="M515" i="5"/>
  <c r="N515" i="5"/>
  <c r="O515" i="5"/>
  <c r="P515" i="5"/>
  <c r="K451" i="5"/>
  <c r="L451" i="5"/>
  <c r="N451" i="5"/>
  <c r="O451" i="5"/>
  <c r="M451" i="5"/>
  <c r="P451" i="5"/>
  <c r="K387" i="5"/>
  <c r="L387" i="5"/>
  <c r="M387" i="5"/>
  <c r="N387" i="5"/>
  <c r="O387" i="5"/>
  <c r="P387" i="5"/>
  <c r="L323" i="5"/>
  <c r="K323" i="5"/>
  <c r="M323" i="5"/>
  <c r="O323" i="5"/>
  <c r="N323" i="5"/>
  <c r="P323" i="5"/>
  <c r="K251" i="5"/>
  <c r="L251" i="5"/>
  <c r="M251" i="5"/>
  <c r="N251" i="5"/>
  <c r="O251" i="5"/>
  <c r="P251" i="5"/>
  <c r="K187" i="5"/>
  <c r="L187" i="5"/>
  <c r="M187" i="5"/>
  <c r="N187" i="5"/>
  <c r="O187" i="5"/>
  <c r="P187" i="5"/>
  <c r="K123" i="5"/>
  <c r="L123" i="5"/>
  <c r="N123" i="5"/>
  <c r="M123" i="5"/>
  <c r="O123" i="5"/>
  <c r="P123" i="5"/>
  <c r="K59" i="5"/>
  <c r="L59" i="5"/>
  <c r="M59" i="5"/>
  <c r="O59" i="5"/>
  <c r="N59" i="5"/>
  <c r="P59" i="5"/>
  <c r="K306" i="5"/>
  <c r="L306" i="5"/>
  <c r="N306" i="5"/>
  <c r="M306" i="5"/>
  <c r="O306" i="5"/>
  <c r="P306" i="5"/>
  <c r="K226" i="5"/>
  <c r="L226" i="5"/>
  <c r="N226" i="5"/>
  <c r="M226" i="5"/>
  <c r="O226" i="5"/>
  <c r="P226" i="5"/>
  <c r="K154" i="5"/>
  <c r="L154" i="5"/>
  <c r="M154" i="5"/>
  <c r="N154" i="5"/>
  <c r="O154" i="5"/>
  <c r="P154" i="5"/>
  <c r="K90" i="5"/>
  <c r="L90" i="5"/>
  <c r="M90" i="5"/>
  <c r="N90" i="5"/>
  <c r="O90" i="5"/>
  <c r="P90" i="5"/>
  <c r="K657" i="5"/>
  <c r="L657" i="5"/>
  <c r="M657" i="5"/>
  <c r="N657" i="5"/>
  <c r="O657" i="5"/>
  <c r="P657" i="5"/>
  <c r="K593" i="5"/>
  <c r="L593" i="5"/>
  <c r="M593" i="5"/>
  <c r="N593" i="5"/>
  <c r="P593" i="5"/>
  <c r="O593" i="5"/>
  <c r="K529" i="5"/>
  <c r="L529" i="5"/>
  <c r="M529" i="5"/>
  <c r="N529" i="5"/>
  <c r="O529" i="5"/>
  <c r="P529" i="5"/>
  <c r="K465" i="5"/>
  <c r="L465" i="5"/>
  <c r="M465" i="5"/>
  <c r="N465" i="5"/>
  <c r="O465" i="5"/>
  <c r="P465" i="5"/>
  <c r="K401" i="5"/>
  <c r="L401" i="5"/>
  <c r="M401" i="5"/>
  <c r="N401" i="5"/>
  <c r="O401" i="5"/>
  <c r="P401" i="5"/>
  <c r="K337" i="5"/>
  <c r="L337" i="5"/>
  <c r="M337" i="5"/>
  <c r="N337" i="5"/>
  <c r="O337" i="5"/>
  <c r="P337" i="5"/>
  <c r="K273" i="5"/>
  <c r="L273" i="5"/>
  <c r="M273" i="5"/>
  <c r="N273" i="5"/>
  <c r="O273" i="5"/>
  <c r="P273" i="5"/>
  <c r="K185" i="5"/>
  <c r="L185" i="5"/>
  <c r="M185" i="5"/>
  <c r="N185" i="5"/>
  <c r="O185" i="5"/>
  <c r="P185" i="5"/>
  <c r="K121" i="5"/>
  <c r="L121" i="5"/>
  <c r="M121" i="5"/>
  <c r="N121" i="5"/>
  <c r="O121" i="5"/>
  <c r="P121" i="5"/>
  <c r="K57" i="5"/>
  <c r="L57" i="5"/>
  <c r="M57" i="5"/>
  <c r="N57" i="5"/>
  <c r="O57" i="5"/>
  <c r="P57" i="5"/>
  <c r="K632" i="5"/>
  <c r="L632" i="5"/>
  <c r="N632" i="5"/>
  <c r="M632" i="5"/>
  <c r="O632" i="5"/>
  <c r="P632" i="5"/>
  <c r="K568" i="5"/>
  <c r="L568" i="5"/>
  <c r="N568" i="5"/>
  <c r="O568" i="5"/>
  <c r="M568" i="5"/>
  <c r="P568" i="5"/>
  <c r="K504" i="5"/>
  <c r="L504" i="5"/>
  <c r="M504" i="5"/>
  <c r="N504" i="5"/>
  <c r="O504" i="5"/>
  <c r="P504" i="5"/>
  <c r="K440" i="5"/>
  <c r="L440" i="5"/>
  <c r="M440" i="5"/>
  <c r="N440" i="5"/>
  <c r="O440" i="5"/>
  <c r="P440" i="5"/>
  <c r="K376" i="5"/>
  <c r="L376" i="5"/>
  <c r="M376" i="5"/>
  <c r="N376" i="5"/>
  <c r="O376" i="5"/>
  <c r="P376" i="5"/>
  <c r="K312" i="5"/>
  <c r="M312" i="5"/>
  <c r="L312" i="5"/>
  <c r="N312" i="5"/>
  <c r="O312" i="5"/>
  <c r="P312" i="5"/>
  <c r="K224" i="5"/>
  <c r="L224" i="5"/>
  <c r="M224" i="5"/>
  <c r="N224" i="5"/>
  <c r="O224" i="5"/>
  <c r="P224" i="5"/>
  <c r="K160" i="5"/>
  <c r="L160" i="5"/>
  <c r="M160" i="5"/>
  <c r="N160" i="5"/>
  <c r="O160" i="5"/>
  <c r="P160" i="5"/>
  <c r="K96" i="5"/>
  <c r="L96" i="5"/>
  <c r="M96" i="5"/>
  <c r="N96" i="5"/>
  <c r="O96" i="5"/>
  <c r="P96" i="5"/>
  <c r="K351" i="5"/>
  <c r="L351" i="5"/>
  <c r="M351" i="5"/>
  <c r="O351" i="5"/>
  <c r="N351" i="5"/>
  <c r="P351" i="5"/>
  <c r="K287" i="5"/>
  <c r="L287" i="5"/>
  <c r="M287" i="5"/>
  <c r="O287" i="5"/>
  <c r="N287" i="5"/>
  <c r="P287" i="5"/>
  <c r="K207" i="5"/>
  <c r="L207" i="5"/>
  <c r="M207" i="5"/>
  <c r="N207" i="5"/>
  <c r="O207" i="5"/>
  <c r="P207" i="5"/>
  <c r="K143" i="5"/>
  <c r="M143" i="5"/>
  <c r="L143" i="5"/>
  <c r="N143" i="5"/>
  <c r="O143" i="5"/>
  <c r="P143" i="5"/>
  <c r="K79" i="5"/>
  <c r="M79" i="5"/>
  <c r="L79" i="5"/>
  <c r="N79" i="5"/>
  <c r="O79" i="5"/>
  <c r="P79" i="5"/>
  <c r="K589" i="5"/>
  <c r="L589" i="5"/>
  <c r="N589" i="5"/>
  <c r="M589" i="5"/>
  <c r="O589" i="5"/>
  <c r="P589" i="5"/>
  <c r="K482" i="5"/>
  <c r="L482" i="5"/>
  <c r="M482" i="5"/>
  <c r="N482" i="5"/>
  <c r="O482" i="5"/>
  <c r="P482" i="5"/>
  <c r="K348" i="5"/>
  <c r="L348" i="5"/>
  <c r="M348" i="5"/>
  <c r="O348" i="5"/>
  <c r="N348" i="5"/>
  <c r="P348" i="5"/>
  <c r="K92" i="5"/>
  <c r="L92" i="5"/>
  <c r="M92" i="5"/>
  <c r="N92" i="5"/>
  <c r="O92" i="5"/>
  <c r="P92" i="5"/>
  <c r="K620" i="5"/>
  <c r="L620" i="5"/>
  <c r="M620" i="5"/>
  <c r="N620" i="5"/>
  <c r="O620" i="5"/>
  <c r="P620" i="5"/>
  <c r="K527" i="5"/>
  <c r="L527" i="5"/>
  <c r="M527" i="5"/>
  <c r="N527" i="5"/>
  <c r="O527" i="5"/>
  <c r="P527" i="5"/>
  <c r="K399" i="5"/>
  <c r="M399" i="5"/>
  <c r="L399" i="5"/>
  <c r="N399" i="5"/>
  <c r="O399" i="5"/>
  <c r="P399" i="5"/>
  <c r="L182" i="5"/>
  <c r="K182" i="5"/>
  <c r="M182" i="5"/>
  <c r="N182" i="5"/>
  <c r="O182" i="5"/>
  <c r="P182" i="5"/>
  <c r="M651" i="5"/>
  <c r="N651" i="5"/>
  <c r="O651" i="5"/>
  <c r="K651" i="5"/>
  <c r="L651" i="5"/>
  <c r="P651" i="5"/>
  <c r="K565" i="5"/>
  <c r="L565" i="5"/>
  <c r="N565" i="5"/>
  <c r="M565" i="5"/>
  <c r="O565" i="5"/>
  <c r="P565" i="5"/>
  <c r="K446" i="5"/>
  <c r="L446" i="5"/>
  <c r="M446" i="5"/>
  <c r="N446" i="5"/>
  <c r="O446" i="5"/>
  <c r="P446" i="5"/>
  <c r="L276" i="5"/>
  <c r="K276" i="5"/>
  <c r="M276" i="5"/>
  <c r="O276" i="5"/>
  <c r="N276" i="5"/>
  <c r="P276" i="5"/>
  <c r="K549" i="5"/>
  <c r="L549" i="5"/>
  <c r="M549" i="5"/>
  <c r="N549" i="5"/>
  <c r="O549" i="5"/>
  <c r="P549" i="5"/>
  <c r="K485" i="5"/>
  <c r="L485" i="5"/>
  <c r="M485" i="5"/>
  <c r="N485" i="5"/>
  <c r="O485" i="5"/>
  <c r="P485" i="5"/>
  <c r="K421" i="5"/>
  <c r="L421" i="5"/>
  <c r="M421" i="5"/>
  <c r="N421" i="5"/>
  <c r="P421" i="5"/>
  <c r="O421" i="5"/>
  <c r="K357" i="5"/>
  <c r="L357" i="5"/>
  <c r="M357" i="5"/>
  <c r="N357" i="5"/>
  <c r="O357" i="5"/>
  <c r="P357" i="5"/>
  <c r="K285" i="5"/>
  <c r="L285" i="5"/>
  <c r="M285" i="5"/>
  <c r="N285" i="5"/>
  <c r="O285" i="5"/>
  <c r="P285" i="5"/>
  <c r="L205" i="5"/>
  <c r="K205" i="5"/>
  <c r="M205" i="5"/>
  <c r="N205" i="5"/>
  <c r="O205" i="5"/>
  <c r="P205" i="5"/>
  <c r="L141" i="5"/>
  <c r="K141" i="5"/>
  <c r="M141" i="5"/>
  <c r="N141" i="5"/>
  <c r="O141" i="5"/>
  <c r="P141" i="5"/>
  <c r="L77" i="5"/>
  <c r="K77" i="5"/>
  <c r="M77" i="5"/>
  <c r="N77" i="5"/>
  <c r="O77" i="5"/>
  <c r="P77" i="5"/>
  <c r="K507" i="5"/>
  <c r="M507" i="5"/>
  <c r="N507" i="5"/>
  <c r="O507" i="5"/>
  <c r="L507" i="5"/>
  <c r="P507" i="5"/>
  <c r="K443" i="5"/>
  <c r="L443" i="5"/>
  <c r="M443" i="5"/>
  <c r="N443" i="5"/>
  <c r="O443" i="5"/>
  <c r="P443" i="5"/>
  <c r="K379" i="5"/>
  <c r="L379" i="5"/>
  <c r="M379" i="5"/>
  <c r="N379" i="5"/>
  <c r="O379" i="5"/>
  <c r="P379" i="5"/>
  <c r="K315" i="5"/>
  <c r="L315" i="5"/>
  <c r="M315" i="5"/>
  <c r="O315" i="5"/>
  <c r="N315" i="5"/>
  <c r="P315" i="5"/>
  <c r="K243" i="5"/>
  <c r="L243" i="5"/>
  <c r="N243" i="5"/>
  <c r="M243" i="5"/>
  <c r="O243" i="5"/>
  <c r="P243" i="5"/>
  <c r="K179" i="5"/>
  <c r="L179" i="5"/>
  <c r="M179" i="5"/>
  <c r="N179" i="5"/>
  <c r="O179" i="5"/>
  <c r="P179" i="5"/>
  <c r="K115" i="5"/>
  <c r="L115" i="5"/>
  <c r="N115" i="5"/>
  <c r="M115" i="5"/>
  <c r="O115" i="5"/>
  <c r="P115" i="5"/>
  <c r="K51" i="5"/>
  <c r="L51" i="5"/>
  <c r="M51" i="5"/>
  <c r="O51" i="5"/>
  <c r="P51" i="5"/>
  <c r="N51" i="5"/>
  <c r="K298" i="5"/>
  <c r="L298" i="5"/>
  <c r="N298" i="5"/>
  <c r="M298" i="5"/>
  <c r="P298" i="5"/>
  <c r="O298" i="5"/>
  <c r="K210" i="5"/>
  <c r="L210" i="5"/>
  <c r="N210" i="5"/>
  <c r="M210" i="5"/>
  <c r="P210" i="5"/>
  <c r="O210" i="5"/>
  <c r="K146" i="5"/>
  <c r="L146" i="5"/>
  <c r="N146" i="5"/>
  <c r="M146" i="5"/>
  <c r="P146" i="5"/>
  <c r="O146" i="5"/>
  <c r="K82" i="5"/>
  <c r="L82" i="5"/>
  <c r="N82" i="5"/>
  <c r="M82" i="5"/>
  <c r="O82" i="5"/>
  <c r="P82" i="5"/>
  <c r="K649" i="5"/>
  <c r="L649" i="5"/>
  <c r="M649" i="5"/>
  <c r="N649" i="5"/>
  <c r="P649" i="5"/>
  <c r="O649" i="5"/>
  <c r="K585" i="5"/>
  <c r="L585" i="5"/>
  <c r="M585" i="5"/>
  <c r="N585" i="5"/>
  <c r="O585" i="5"/>
  <c r="P585" i="5"/>
  <c r="K521" i="5"/>
  <c r="L521" i="5"/>
  <c r="M521" i="5"/>
  <c r="O521" i="5"/>
  <c r="N521" i="5"/>
  <c r="P521" i="5"/>
  <c r="K457" i="5"/>
  <c r="L457" i="5"/>
  <c r="M457" i="5"/>
  <c r="O457" i="5"/>
  <c r="N457" i="5"/>
  <c r="P457" i="5"/>
  <c r="K393" i="5"/>
  <c r="L393" i="5"/>
  <c r="M393" i="5"/>
  <c r="O393" i="5"/>
  <c r="N393" i="5"/>
  <c r="P393" i="5"/>
  <c r="K329" i="5"/>
  <c r="L329" i="5"/>
  <c r="M329" i="5"/>
  <c r="N329" i="5"/>
  <c r="O329" i="5"/>
  <c r="P329" i="5"/>
  <c r="K249" i="5"/>
  <c r="L249" i="5"/>
  <c r="M249" i="5"/>
  <c r="N249" i="5"/>
  <c r="O249" i="5"/>
  <c r="P249" i="5"/>
  <c r="K177" i="5"/>
  <c r="L177" i="5"/>
  <c r="M177" i="5"/>
  <c r="N177" i="5"/>
  <c r="O177" i="5"/>
  <c r="P177" i="5"/>
  <c r="K113" i="5"/>
  <c r="L113" i="5"/>
  <c r="M113" i="5"/>
  <c r="N113" i="5"/>
  <c r="O113" i="5"/>
  <c r="P113" i="5"/>
  <c r="K49" i="5"/>
  <c r="L49" i="5"/>
  <c r="M49" i="5"/>
  <c r="N49" i="5"/>
  <c r="O49" i="5"/>
  <c r="P49" i="5"/>
  <c r="K624" i="5"/>
  <c r="L624" i="5"/>
  <c r="M624" i="5"/>
  <c r="N624" i="5"/>
  <c r="O624" i="5"/>
  <c r="P624" i="5"/>
  <c r="K560" i="5"/>
  <c r="L560" i="5"/>
  <c r="M560" i="5"/>
  <c r="N560" i="5"/>
  <c r="O560" i="5"/>
  <c r="P560" i="5"/>
  <c r="K496" i="5"/>
  <c r="L496" i="5"/>
  <c r="M496" i="5"/>
  <c r="N496" i="5"/>
  <c r="O496" i="5"/>
  <c r="P496" i="5"/>
  <c r="K432" i="5"/>
  <c r="L432" i="5"/>
  <c r="M432" i="5"/>
  <c r="N432" i="5"/>
  <c r="O432" i="5"/>
  <c r="P432" i="5"/>
  <c r="K368" i="5"/>
  <c r="L368" i="5"/>
  <c r="M368" i="5"/>
  <c r="O368" i="5"/>
  <c r="N368" i="5"/>
  <c r="P368" i="5"/>
  <c r="K304" i="5"/>
  <c r="L304" i="5"/>
  <c r="M304" i="5"/>
  <c r="O304" i="5"/>
  <c r="N304" i="5"/>
  <c r="P304" i="5"/>
  <c r="K216" i="5"/>
  <c r="L216" i="5"/>
  <c r="M216" i="5"/>
  <c r="N216" i="5"/>
  <c r="O216" i="5"/>
  <c r="P216" i="5"/>
  <c r="K152" i="5"/>
  <c r="L152" i="5"/>
  <c r="M152" i="5"/>
  <c r="N152" i="5"/>
  <c r="O152" i="5"/>
  <c r="P152" i="5"/>
  <c r="K88" i="5"/>
  <c r="L88" i="5"/>
  <c r="M88" i="5"/>
  <c r="N88" i="5"/>
  <c r="O88" i="5"/>
  <c r="P88" i="5"/>
  <c r="K343" i="5"/>
  <c r="L343" i="5"/>
  <c r="M343" i="5"/>
  <c r="N343" i="5"/>
  <c r="O343" i="5"/>
  <c r="P343" i="5"/>
  <c r="K279" i="5"/>
  <c r="L279" i="5"/>
  <c r="M279" i="5"/>
  <c r="N279" i="5"/>
  <c r="O279" i="5"/>
  <c r="P279" i="5"/>
  <c r="K199" i="5"/>
  <c r="L199" i="5"/>
  <c r="M199" i="5"/>
  <c r="O199" i="5"/>
  <c r="N199" i="5"/>
  <c r="P199" i="5"/>
  <c r="K135" i="5"/>
  <c r="L135" i="5"/>
  <c r="M135" i="5"/>
  <c r="O135" i="5"/>
  <c r="N135" i="5"/>
  <c r="P135" i="5"/>
  <c r="K71" i="5"/>
  <c r="L71" i="5"/>
  <c r="M71" i="5"/>
  <c r="O71" i="5"/>
  <c r="N71" i="5"/>
  <c r="P71" i="5"/>
  <c r="K524" i="5"/>
  <c r="L524" i="5"/>
  <c r="M524" i="5"/>
  <c r="N524" i="5"/>
  <c r="O524" i="5"/>
  <c r="P524" i="5"/>
  <c r="K586" i="5"/>
  <c r="L586" i="5"/>
  <c r="M586" i="5"/>
  <c r="O586" i="5"/>
  <c r="N586" i="5"/>
  <c r="P586" i="5"/>
  <c r="K471" i="5"/>
  <c r="L471" i="5"/>
  <c r="M471" i="5"/>
  <c r="N471" i="5"/>
  <c r="O471" i="5"/>
  <c r="P471" i="5"/>
  <c r="K622" i="5"/>
  <c r="L622" i="5"/>
  <c r="M622" i="5"/>
  <c r="N622" i="5"/>
  <c r="O622" i="5"/>
  <c r="P622" i="5"/>
  <c r="K434" i="5"/>
  <c r="L434" i="5"/>
  <c r="M434" i="5"/>
  <c r="N434" i="5"/>
  <c r="O434" i="5"/>
  <c r="P434" i="5"/>
  <c r="L86" i="5"/>
  <c r="K86" i="5"/>
  <c r="M86" i="5"/>
  <c r="O86" i="5"/>
  <c r="P86" i="5"/>
  <c r="N86" i="5"/>
  <c r="K525" i="5"/>
  <c r="L525" i="5"/>
  <c r="N525" i="5"/>
  <c r="O525" i="5"/>
  <c r="M525" i="5"/>
  <c r="P525" i="5"/>
  <c r="L117" i="5"/>
  <c r="K117" i="5"/>
  <c r="M117" i="5"/>
  <c r="N117" i="5"/>
  <c r="O117" i="5"/>
  <c r="P117" i="5"/>
  <c r="K291" i="5"/>
  <c r="L291" i="5"/>
  <c r="M291" i="5"/>
  <c r="O291" i="5"/>
  <c r="N291" i="5"/>
  <c r="P291" i="5"/>
  <c r="K338" i="5"/>
  <c r="N338" i="5"/>
  <c r="M338" i="5"/>
  <c r="L338" i="5"/>
  <c r="O338" i="5"/>
  <c r="P338" i="5"/>
  <c r="K433" i="5"/>
  <c r="L433" i="5"/>
  <c r="M433" i="5"/>
  <c r="N433" i="5"/>
  <c r="O433" i="5"/>
  <c r="P433" i="5"/>
  <c r="K664" i="5"/>
  <c r="L664" i="5"/>
  <c r="N664" i="5"/>
  <c r="O664" i="5"/>
  <c r="M664" i="5"/>
  <c r="P664" i="5"/>
  <c r="K344" i="5"/>
  <c r="L344" i="5"/>
  <c r="M344" i="5"/>
  <c r="N344" i="5"/>
  <c r="O344" i="5"/>
  <c r="P344" i="5"/>
  <c r="K239" i="5"/>
  <c r="M239" i="5"/>
  <c r="L239" i="5"/>
  <c r="N239" i="5"/>
  <c r="O239" i="5"/>
  <c r="P239" i="5"/>
  <c r="K428" i="5"/>
  <c r="L428" i="5"/>
  <c r="M428" i="5"/>
  <c r="N428" i="5"/>
  <c r="O428" i="5"/>
  <c r="P428" i="5"/>
  <c r="K677" i="5"/>
  <c r="L677" i="5"/>
  <c r="M677" i="5"/>
  <c r="N677" i="5"/>
  <c r="O677" i="5"/>
  <c r="P677" i="5"/>
  <c r="K516" i="5"/>
  <c r="L516" i="5"/>
  <c r="M516" i="5"/>
  <c r="N516" i="5"/>
  <c r="O516" i="5"/>
  <c r="P516" i="5"/>
  <c r="K418" i="5"/>
  <c r="L418" i="5"/>
  <c r="M418" i="5"/>
  <c r="N418" i="5"/>
  <c r="O418" i="5"/>
  <c r="P418" i="5"/>
  <c r="K310" i="5"/>
  <c r="L310" i="5"/>
  <c r="M310" i="5"/>
  <c r="N310" i="5"/>
  <c r="O310" i="5"/>
  <c r="P310" i="5"/>
  <c r="K453" i="5"/>
  <c r="L453" i="5"/>
  <c r="M453" i="5"/>
  <c r="N453" i="5"/>
  <c r="O453" i="5"/>
  <c r="P453" i="5"/>
  <c r="K50" i="5"/>
  <c r="L50" i="5"/>
  <c r="M50" i="5"/>
  <c r="N50" i="5"/>
  <c r="O50" i="5"/>
  <c r="P50" i="5"/>
  <c r="L253" i="5"/>
  <c r="K253" i="5"/>
  <c r="M253" i="5"/>
  <c r="N253" i="5"/>
  <c r="O253" i="5"/>
  <c r="P253" i="5"/>
  <c r="K302" i="5"/>
  <c r="L302" i="5"/>
  <c r="M302" i="5"/>
  <c r="O302" i="5"/>
  <c r="N302" i="5"/>
  <c r="P302" i="5"/>
  <c r="K679" i="5"/>
  <c r="M679" i="5"/>
  <c r="L679" i="5"/>
  <c r="N679" i="5"/>
  <c r="O679" i="5"/>
  <c r="P679" i="5"/>
  <c r="K78" i="5"/>
  <c r="L78" i="5"/>
  <c r="M78" i="5"/>
  <c r="N78" i="5"/>
  <c r="O78" i="5"/>
  <c r="P78" i="5"/>
  <c r="K614" i="5"/>
  <c r="L614" i="5"/>
  <c r="M614" i="5"/>
  <c r="N614" i="5"/>
  <c r="O614" i="5"/>
  <c r="P614" i="5"/>
  <c r="K391" i="5"/>
  <c r="L391" i="5"/>
  <c r="M391" i="5"/>
  <c r="N391" i="5"/>
  <c r="O391" i="5"/>
  <c r="P391" i="5"/>
  <c r="K635" i="5"/>
  <c r="L635" i="5"/>
  <c r="M635" i="5"/>
  <c r="N635" i="5"/>
  <c r="O635" i="5"/>
  <c r="P635" i="5"/>
  <c r="K422" i="5"/>
  <c r="L422" i="5"/>
  <c r="N422" i="5"/>
  <c r="O422" i="5"/>
  <c r="P422" i="5"/>
  <c r="M422" i="5"/>
  <c r="K654" i="5"/>
  <c r="L654" i="5"/>
  <c r="M654" i="5"/>
  <c r="N654" i="5"/>
  <c r="O654" i="5"/>
  <c r="P654" i="5"/>
  <c r="K286" i="5"/>
  <c r="L286" i="5"/>
  <c r="M286" i="5"/>
  <c r="O286" i="5"/>
  <c r="P286" i="5"/>
  <c r="N286" i="5"/>
  <c r="M7" i="5"/>
  <c r="K333" i="5"/>
  <c r="L333" i="5"/>
  <c r="M333" i="5"/>
  <c r="N333" i="5"/>
  <c r="O333" i="5"/>
  <c r="P333" i="5"/>
  <c r="K460" i="5"/>
  <c r="L460" i="5"/>
  <c r="M460" i="5"/>
  <c r="N460" i="5"/>
  <c r="O460" i="5"/>
  <c r="P460" i="5"/>
  <c r="K573" i="5"/>
  <c r="L573" i="5"/>
  <c r="M573" i="5"/>
  <c r="N573" i="5"/>
  <c r="O573" i="5"/>
  <c r="P573" i="5"/>
  <c r="K564" i="5"/>
  <c r="L564" i="5"/>
  <c r="M564" i="5"/>
  <c r="N564" i="5"/>
  <c r="O564" i="5"/>
  <c r="P564" i="5"/>
  <c r="K563" i="5"/>
  <c r="L563" i="5"/>
  <c r="M563" i="5"/>
  <c r="N563" i="5"/>
  <c r="O563" i="5"/>
  <c r="P563" i="5"/>
  <c r="K596" i="5"/>
  <c r="L596" i="5"/>
  <c r="M596" i="5"/>
  <c r="N596" i="5"/>
  <c r="O596" i="5"/>
  <c r="P596" i="5"/>
  <c r="K637" i="5"/>
  <c r="L637" i="5"/>
  <c r="M637" i="5"/>
  <c r="N637" i="5"/>
  <c r="O637" i="5"/>
  <c r="P637" i="5"/>
  <c r="K670" i="5"/>
  <c r="L670" i="5"/>
  <c r="M670" i="5"/>
  <c r="N670" i="5"/>
  <c r="O670" i="5"/>
  <c r="P670" i="5"/>
  <c r="K669" i="5"/>
  <c r="L669" i="5"/>
  <c r="N669" i="5"/>
  <c r="M669" i="5"/>
  <c r="O669" i="5"/>
  <c r="P669" i="5"/>
  <c r="L76" i="5"/>
  <c r="K76" i="5"/>
  <c r="M76" i="5"/>
  <c r="N76" i="5"/>
  <c r="O76" i="5"/>
  <c r="P76" i="5"/>
  <c r="K604" i="5"/>
  <c r="L604" i="5"/>
  <c r="M604" i="5"/>
  <c r="N604" i="5"/>
  <c r="O604" i="5"/>
  <c r="P604" i="5"/>
  <c r="K503" i="5"/>
  <c r="L503" i="5"/>
  <c r="M503" i="5"/>
  <c r="N503" i="5"/>
  <c r="O503" i="5"/>
  <c r="P503" i="5"/>
  <c r="K375" i="5"/>
  <c r="L375" i="5"/>
  <c r="M375" i="5"/>
  <c r="N375" i="5"/>
  <c r="O375" i="5"/>
  <c r="P375" i="5"/>
  <c r="K102" i="5"/>
  <c r="L102" i="5"/>
  <c r="M102" i="5"/>
  <c r="N102" i="5"/>
  <c r="O102" i="5"/>
  <c r="P102" i="5"/>
  <c r="K623" i="5"/>
  <c r="M623" i="5"/>
  <c r="L623" i="5"/>
  <c r="N623" i="5"/>
  <c r="O623" i="5"/>
  <c r="P623" i="5"/>
  <c r="K534" i="5"/>
  <c r="L534" i="5"/>
  <c r="M534" i="5"/>
  <c r="N534" i="5"/>
  <c r="P534" i="5"/>
  <c r="O534" i="5"/>
  <c r="K406" i="5"/>
  <c r="L406" i="5"/>
  <c r="N406" i="5"/>
  <c r="O406" i="5"/>
  <c r="M406" i="5"/>
  <c r="P406" i="5"/>
  <c r="L164" i="5"/>
  <c r="K164" i="5"/>
  <c r="M164" i="5"/>
  <c r="N164" i="5"/>
  <c r="O164" i="5"/>
  <c r="P164" i="5"/>
  <c r="K644" i="5"/>
  <c r="L644" i="5"/>
  <c r="M644" i="5"/>
  <c r="N644" i="5"/>
  <c r="O644" i="5"/>
  <c r="P644" i="5"/>
  <c r="K558" i="5"/>
  <c r="L558" i="5"/>
  <c r="M558" i="5"/>
  <c r="N558" i="5"/>
  <c r="P558" i="5"/>
  <c r="O558" i="5"/>
  <c r="K436" i="5"/>
  <c r="L436" i="5"/>
  <c r="M436" i="5"/>
  <c r="N436" i="5"/>
  <c r="O436" i="5"/>
  <c r="P436" i="5"/>
  <c r="K222" i="5"/>
  <c r="L222" i="5"/>
  <c r="M222" i="5"/>
  <c r="O222" i="5"/>
  <c r="P222" i="5"/>
  <c r="N222" i="5"/>
  <c r="K663" i="5"/>
  <c r="M663" i="5"/>
  <c r="L663" i="5"/>
  <c r="N663" i="5"/>
  <c r="O663" i="5"/>
  <c r="P663" i="5"/>
  <c r="K579" i="5"/>
  <c r="L579" i="5"/>
  <c r="M579" i="5"/>
  <c r="N579" i="5"/>
  <c r="O579" i="5"/>
  <c r="P579" i="5"/>
  <c r="K466" i="5"/>
  <c r="L466" i="5"/>
  <c r="M466" i="5"/>
  <c r="N466" i="5"/>
  <c r="O466" i="5"/>
  <c r="P466" i="5"/>
  <c r="L316" i="5"/>
  <c r="K316" i="5"/>
  <c r="M316" i="5"/>
  <c r="N316" i="5"/>
  <c r="O316" i="5"/>
  <c r="P316" i="5"/>
  <c r="K60" i="5"/>
  <c r="L60" i="5"/>
  <c r="M60" i="5"/>
  <c r="N60" i="5"/>
  <c r="O60" i="5"/>
  <c r="P60" i="5"/>
  <c r="K610" i="5"/>
  <c r="L610" i="5"/>
  <c r="N610" i="5"/>
  <c r="O610" i="5"/>
  <c r="P610" i="5"/>
  <c r="M610" i="5"/>
  <c r="K511" i="5"/>
  <c r="L511" i="5"/>
  <c r="M511" i="5"/>
  <c r="N511" i="5"/>
  <c r="O511" i="5"/>
  <c r="P511" i="5"/>
  <c r="K383" i="5"/>
  <c r="M383" i="5"/>
  <c r="L383" i="5"/>
  <c r="N383" i="5"/>
  <c r="O383" i="5"/>
  <c r="P383" i="5"/>
  <c r="L150" i="5"/>
  <c r="M150" i="5"/>
  <c r="K150" i="5"/>
  <c r="O150" i="5"/>
  <c r="P150" i="5"/>
  <c r="N150" i="5"/>
  <c r="K639" i="5"/>
  <c r="M639" i="5"/>
  <c r="L639" i="5"/>
  <c r="N639" i="5"/>
  <c r="P639" i="5"/>
  <c r="O639" i="5"/>
  <c r="K555" i="5"/>
  <c r="N555" i="5"/>
  <c r="O555" i="5"/>
  <c r="L555" i="5"/>
  <c r="M555" i="5"/>
  <c r="P555" i="5"/>
  <c r="K430" i="5"/>
  <c r="L430" i="5"/>
  <c r="M430" i="5"/>
  <c r="N430" i="5"/>
  <c r="O430" i="5"/>
  <c r="P430" i="5"/>
  <c r="L244" i="5"/>
  <c r="K244" i="5"/>
  <c r="M244" i="5"/>
  <c r="O244" i="5"/>
  <c r="N244" i="5"/>
  <c r="P244" i="5"/>
  <c r="K541" i="5"/>
  <c r="L541" i="5"/>
  <c r="N541" i="5"/>
  <c r="M541" i="5"/>
  <c r="P541" i="5"/>
  <c r="O541" i="5"/>
  <c r="K477" i="5"/>
  <c r="L477" i="5"/>
  <c r="N477" i="5"/>
  <c r="M477" i="5"/>
  <c r="O477" i="5"/>
  <c r="P477" i="5"/>
  <c r="L413" i="5"/>
  <c r="M413" i="5"/>
  <c r="K413" i="5"/>
  <c r="N413" i="5"/>
  <c r="O413" i="5"/>
  <c r="P413" i="5"/>
  <c r="K349" i="5"/>
  <c r="L349" i="5"/>
  <c r="M349" i="5"/>
  <c r="N349" i="5"/>
  <c r="O349" i="5"/>
  <c r="P349" i="5"/>
  <c r="K277" i="5"/>
  <c r="L277" i="5"/>
  <c r="M277" i="5"/>
  <c r="N277" i="5"/>
  <c r="P277" i="5"/>
  <c r="O277" i="5"/>
  <c r="K197" i="5"/>
  <c r="L197" i="5"/>
  <c r="M197" i="5"/>
  <c r="N197" i="5"/>
  <c r="O197" i="5"/>
  <c r="P197" i="5"/>
  <c r="K133" i="5"/>
  <c r="L133" i="5"/>
  <c r="M133" i="5"/>
  <c r="N133" i="5"/>
  <c r="O133" i="5"/>
  <c r="P133" i="5"/>
  <c r="K69" i="5"/>
  <c r="L69" i="5"/>
  <c r="M69" i="5"/>
  <c r="O69" i="5"/>
  <c r="N69" i="5"/>
  <c r="P69" i="5"/>
  <c r="K499" i="5"/>
  <c r="L499" i="5"/>
  <c r="N499" i="5"/>
  <c r="O499" i="5"/>
  <c r="M499" i="5"/>
  <c r="P499" i="5"/>
  <c r="K435" i="5"/>
  <c r="L435" i="5"/>
  <c r="N435" i="5"/>
  <c r="O435" i="5"/>
  <c r="M435" i="5"/>
  <c r="P435" i="5"/>
  <c r="K371" i="5"/>
  <c r="L371" i="5"/>
  <c r="N371" i="5"/>
  <c r="O371" i="5"/>
  <c r="M371" i="5"/>
  <c r="P371" i="5"/>
  <c r="K307" i="5"/>
  <c r="L307" i="5"/>
  <c r="M307" i="5"/>
  <c r="N307" i="5"/>
  <c r="O307" i="5"/>
  <c r="P307" i="5"/>
  <c r="K235" i="5"/>
  <c r="L235" i="5"/>
  <c r="M235" i="5"/>
  <c r="N235" i="5"/>
  <c r="O235" i="5"/>
  <c r="P235" i="5"/>
  <c r="K171" i="5"/>
  <c r="L171" i="5"/>
  <c r="M171" i="5"/>
  <c r="N171" i="5"/>
  <c r="O171" i="5"/>
  <c r="P171" i="5"/>
  <c r="K107" i="5"/>
  <c r="L107" i="5"/>
  <c r="M107" i="5"/>
  <c r="N107" i="5"/>
  <c r="O107" i="5"/>
  <c r="P107" i="5"/>
  <c r="K354" i="5"/>
  <c r="L354" i="5"/>
  <c r="N354" i="5"/>
  <c r="M354" i="5"/>
  <c r="O354" i="5"/>
  <c r="P354" i="5"/>
  <c r="K290" i="5"/>
  <c r="L290" i="5"/>
  <c r="N290" i="5"/>
  <c r="M290" i="5"/>
  <c r="O290" i="5"/>
  <c r="P290" i="5"/>
  <c r="K202" i="5"/>
  <c r="L202" i="5"/>
  <c r="N202" i="5"/>
  <c r="M202" i="5"/>
  <c r="O202" i="5"/>
  <c r="P202" i="5"/>
  <c r="K138" i="5"/>
  <c r="L138" i="5"/>
  <c r="M138" i="5"/>
  <c r="N138" i="5"/>
  <c r="O138" i="5"/>
  <c r="P138" i="5"/>
  <c r="K74" i="5"/>
  <c r="L74" i="5"/>
  <c r="M74" i="5"/>
  <c r="N74" i="5"/>
  <c r="P74" i="5"/>
  <c r="O74" i="5"/>
  <c r="K641" i="5"/>
  <c r="L641" i="5"/>
  <c r="M641" i="5"/>
  <c r="O641" i="5"/>
  <c r="N641" i="5"/>
  <c r="P641" i="5"/>
  <c r="K577" i="5"/>
  <c r="L577" i="5"/>
  <c r="M577" i="5"/>
  <c r="N577" i="5"/>
  <c r="O577" i="5"/>
  <c r="P577" i="5"/>
  <c r="K513" i="5"/>
  <c r="L513" i="5"/>
  <c r="M513" i="5"/>
  <c r="N513" i="5"/>
  <c r="O513" i="5"/>
  <c r="P513" i="5"/>
  <c r="K449" i="5"/>
  <c r="L449" i="5"/>
  <c r="M449" i="5"/>
  <c r="N449" i="5"/>
  <c r="O449" i="5"/>
  <c r="P449" i="5"/>
  <c r="K385" i="5"/>
  <c r="L385" i="5"/>
  <c r="M385" i="5"/>
  <c r="N385" i="5"/>
  <c r="P385" i="5"/>
  <c r="O385" i="5"/>
  <c r="K321" i="5"/>
  <c r="L321" i="5"/>
  <c r="M321" i="5"/>
  <c r="N321" i="5"/>
  <c r="O321" i="5"/>
  <c r="P321" i="5"/>
  <c r="K241" i="5"/>
  <c r="L241" i="5"/>
  <c r="M241" i="5"/>
  <c r="N241" i="5"/>
  <c r="O241" i="5"/>
  <c r="P241" i="5"/>
  <c r="K169" i="5"/>
  <c r="L169" i="5"/>
  <c r="M169" i="5"/>
  <c r="N169" i="5"/>
  <c r="O169" i="5"/>
  <c r="P169" i="5"/>
  <c r="K105" i="5"/>
  <c r="L105" i="5"/>
  <c r="M105" i="5"/>
  <c r="N105" i="5"/>
  <c r="P105" i="5"/>
  <c r="O105" i="5"/>
  <c r="K680" i="5"/>
  <c r="L680" i="5"/>
  <c r="M680" i="5"/>
  <c r="N680" i="5"/>
  <c r="O680" i="5"/>
  <c r="P680" i="5"/>
  <c r="K616" i="5"/>
  <c r="L616" i="5"/>
  <c r="M616" i="5"/>
  <c r="N616" i="5"/>
  <c r="O616" i="5"/>
  <c r="P616" i="5"/>
  <c r="K552" i="5"/>
  <c r="L552" i="5"/>
  <c r="M552" i="5"/>
  <c r="N552" i="5"/>
  <c r="O552" i="5"/>
  <c r="P552" i="5"/>
  <c r="K488" i="5"/>
  <c r="L488" i="5"/>
  <c r="M488" i="5"/>
  <c r="N488" i="5"/>
  <c r="O488" i="5"/>
  <c r="P488" i="5"/>
  <c r="K424" i="5"/>
  <c r="L424" i="5"/>
  <c r="M424" i="5"/>
  <c r="N424" i="5"/>
  <c r="O424" i="5"/>
  <c r="P424" i="5"/>
  <c r="K360" i="5"/>
  <c r="L360" i="5"/>
  <c r="M360" i="5"/>
  <c r="O360" i="5"/>
  <c r="N360" i="5"/>
  <c r="P360" i="5"/>
  <c r="K296" i="5"/>
  <c r="L296" i="5"/>
  <c r="M296" i="5"/>
  <c r="O296" i="5"/>
  <c r="N296" i="5"/>
  <c r="P296" i="5"/>
  <c r="K208" i="5"/>
  <c r="L208" i="5"/>
  <c r="M208" i="5"/>
  <c r="N208" i="5"/>
  <c r="O208" i="5"/>
  <c r="P208" i="5"/>
  <c r="K144" i="5"/>
  <c r="L144" i="5"/>
  <c r="M144" i="5"/>
  <c r="N144" i="5"/>
  <c r="O144" i="5"/>
  <c r="P144" i="5"/>
  <c r="K80" i="5"/>
  <c r="L80" i="5"/>
  <c r="M80" i="5"/>
  <c r="N80" i="5"/>
  <c r="O80" i="5"/>
  <c r="P80" i="5"/>
  <c r="K335" i="5"/>
  <c r="M335" i="5"/>
  <c r="L335" i="5"/>
  <c r="N335" i="5"/>
  <c r="O335" i="5"/>
  <c r="P335" i="5"/>
  <c r="K271" i="5"/>
  <c r="L271" i="5"/>
  <c r="M271" i="5"/>
  <c r="N271" i="5"/>
  <c r="O271" i="5"/>
  <c r="P271" i="5"/>
  <c r="K191" i="5"/>
  <c r="L191" i="5"/>
  <c r="M191" i="5"/>
  <c r="N191" i="5"/>
  <c r="O191" i="5"/>
  <c r="P191" i="5"/>
  <c r="K127" i="5"/>
  <c r="L127" i="5"/>
  <c r="M127" i="5"/>
  <c r="N127" i="5"/>
  <c r="O127" i="5"/>
  <c r="P127" i="5"/>
  <c r="K63" i="5"/>
  <c r="L63" i="5"/>
  <c r="M63" i="5"/>
  <c r="N63" i="5"/>
  <c r="O63" i="5"/>
  <c r="P63" i="5"/>
  <c r="K262" i="5"/>
  <c r="L262" i="5"/>
  <c r="M262" i="5"/>
  <c r="O262" i="5"/>
  <c r="N262" i="5"/>
  <c r="P262" i="5"/>
  <c r="K618" i="5"/>
  <c r="L618" i="5"/>
  <c r="M618" i="5"/>
  <c r="P618" i="5"/>
  <c r="O618" i="5"/>
  <c r="N618" i="5"/>
  <c r="K551" i="5"/>
  <c r="L551" i="5"/>
  <c r="M551" i="5"/>
  <c r="N551" i="5"/>
  <c r="O551" i="5"/>
  <c r="P551" i="5"/>
  <c r="K582" i="5"/>
  <c r="L582" i="5"/>
  <c r="M582" i="5"/>
  <c r="N582" i="5"/>
  <c r="O582" i="5"/>
  <c r="P582" i="5"/>
  <c r="K502" i="5"/>
  <c r="L502" i="5"/>
  <c r="N502" i="5"/>
  <c r="O502" i="5"/>
  <c r="P502" i="5"/>
  <c r="M502" i="5"/>
  <c r="L404" i="5"/>
  <c r="K404" i="5"/>
  <c r="M404" i="5"/>
  <c r="N404" i="5"/>
  <c r="O404" i="5"/>
  <c r="P404" i="5"/>
  <c r="L252" i="5"/>
  <c r="K252" i="5"/>
  <c r="M252" i="5"/>
  <c r="O252" i="5"/>
  <c r="N252" i="5"/>
  <c r="P252" i="5"/>
  <c r="K342" i="5"/>
  <c r="L342" i="5"/>
  <c r="M342" i="5"/>
  <c r="O342" i="5"/>
  <c r="P342" i="5"/>
  <c r="N342" i="5"/>
  <c r="K398" i="5"/>
  <c r="L398" i="5"/>
  <c r="M398" i="5"/>
  <c r="N398" i="5"/>
  <c r="O398" i="5"/>
  <c r="P398" i="5"/>
  <c r="K325" i="5"/>
  <c r="L325" i="5"/>
  <c r="M325" i="5"/>
  <c r="N325" i="5"/>
  <c r="O325" i="5"/>
  <c r="P325" i="5"/>
  <c r="K483" i="5"/>
  <c r="L483" i="5"/>
  <c r="M483" i="5"/>
  <c r="N483" i="5"/>
  <c r="O483" i="5"/>
  <c r="P483" i="5"/>
  <c r="K219" i="5"/>
  <c r="L219" i="5"/>
  <c r="M219" i="5"/>
  <c r="N219" i="5"/>
  <c r="O219" i="5"/>
  <c r="P219" i="5"/>
  <c r="K274" i="5"/>
  <c r="L274" i="5"/>
  <c r="N274" i="5"/>
  <c r="M274" i="5"/>
  <c r="P274" i="5"/>
  <c r="O274" i="5"/>
  <c r="K497" i="5"/>
  <c r="L497" i="5"/>
  <c r="M497" i="5"/>
  <c r="N497" i="5"/>
  <c r="O497" i="5"/>
  <c r="P497" i="5"/>
  <c r="K89" i="5"/>
  <c r="L89" i="5"/>
  <c r="M89" i="5"/>
  <c r="N89" i="5"/>
  <c r="O89" i="5"/>
  <c r="P89" i="5"/>
  <c r="K408" i="5"/>
  <c r="L408" i="5"/>
  <c r="M408" i="5"/>
  <c r="N408" i="5"/>
  <c r="O408" i="5"/>
  <c r="P408" i="5"/>
  <c r="K64" i="5"/>
  <c r="L64" i="5"/>
  <c r="M64" i="5"/>
  <c r="N64" i="5"/>
  <c r="O64" i="5"/>
  <c r="P64" i="5"/>
  <c r="K319" i="5"/>
  <c r="L319" i="5"/>
  <c r="M319" i="5"/>
  <c r="N319" i="5"/>
  <c r="O319" i="5"/>
  <c r="P319" i="5"/>
  <c r="K380" i="5"/>
  <c r="L380" i="5"/>
  <c r="M380" i="5"/>
  <c r="N380" i="5"/>
  <c r="O380" i="5"/>
  <c r="P380" i="5"/>
  <c r="K658" i="5"/>
  <c r="L658" i="5"/>
  <c r="M658" i="5"/>
  <c r="N658" i="5"/>
  <c r="O658" i="5"/>
  <c r="P658" i="5"/>
  <c r="K591" i="5"/>
  <c r="L591" i="5"/>
  <c r="M591" i="5"/>
  <c r="N591" i="5"/>
  <c r="O591" i="5"/>
  <c r="P591" i="5"/>
  <c r="K612" i="5"/>
  <c r="L612" i="5"/>
  <c r="M612" i="5"/>
  <c r="N612" i="5"/>
  <c r="O612" i="5"/>
  <c r="P612" i="5"/>
  <c r="L546" i="5"/>
  <c r="K546" i="5"/>
  <c r="M546" i="5"/>
  <c r="O546" i="5"/>
  <c r="N546" i="5"/>
  <c r="P546" i="5"/>
  <c r="K463" i="5"/>
  <c r="M463" i="5"/>
  <c r="L463" i="5"/>
  <c r="N463" i="5"/>
  <c r="O463" i="5"/>
  <c r="P463" i="5"/>
  <c r="K382" i="5"/>
  <c r="L382" i="5"/>
  <c r="M382" i="5"/>
  <c r="N382" i="5"/>
  <c r="O382" i="5"/>
  <c r="P382" i="5"/>
  <c r="K317" i="5"/>
  <c r="M317" i="5"/>
  <c r="N317" i="5"/>
  <c r="L317" i="5"/>
  <c r="O317" i="5"/>
  <c r="P317" i="5"/>
  <c r="K539" i="5"/>
  <c r="L539" i="5"/>
  <c r="M539" i="5"/>
  <c r="N539" i="5"/>
  <c r="O539" i="5"/>
  <c r="P539" i="5"/>
  <c r="K617" i="5"/>
  <c r="L617" i="5"/>
  <c r="M617" i="5"/>
  <c r="N617" i="5"/>
  <c r="P617" i="5"/>
  <c r="O617" i="5"/>
  <c r="L260" i="5"/>
  <c r="K260" i="5"/>
  <c r="M260" i="5"/>
  <c r="O260" i="5"/>
  <c r="N260" i="5"/>
  <c r="P260" i="5"/>
  <c r="K659" i="5"/>
  <c r="L659" i="5"/>
  <c r="N659" i="5"/>
  <c r="O659" i="5"/>
  <c r="M659" i="5"/>
  <c r="P659" i="5"/>
  <c r="K606" i="5"/>
  <c r="L606" i="5"/>
  <c r="M606" i="5"/>
  <c r="N606" i="5"/>
  <c r="P606" i="5"/>
  <c r="O606" i="5"/>
  <c r="K605" i="5"/>
  <c r="L605" i="5"/>
  <c r="N605" i="5"/>
  <c r="M605" i="5"/>
  <c r="P605" i="5"/>
  <c r="O605" i="5"/>
  <c r="K638" i="5"/>
  <c r="L638" i="5"/>
  <c r="M638" i="5"/>
  <c r="N638" i="5"/>
  <c r="O638" i="5"/>
  <c r="P638" i="5"/>
  <c r="K108" i="5"/>
  <c r="L108" i="5"/>
  <c r="M108" i="5"/>
  <c r="N108" i="5"/>
  <c r="O108" i="5"/>
  <c r="P108" i="5"/>
  <c r="L204" i="5"/>
  <c r="K204" i="5"/>
  <c r="M204" i="5"/>
  <c r="N204" i="5"/>
  <c r="O204" i="5"/>
  <c r="P204" i="5"/>
  <c r="K519" i="5"/>
  <c r="L519" i="5"/>
  <c r="M519" i="5"/>
  <c r="N519" i="5"/>
  <c r="O519" i="5"/>
  <c r="P519" i="5"/>
  <c r="K134" i="5"/>
  <c r="L134" i="5"/>
  <c r="M134" i="5"/>
  <c r="O134" i="5"/>
  <c r="N134" i="5"/>
  <c r="P134" i="5"/>
  <c r="K548" i="5"/>
  <c r="L548" i="5"/>
  <c r="M548" i="5"/>
  <c r="N548" i="5"/>
  <c r="O548" i="5"/>
  <c r="P548" i="5"/>
  <c r="L196" i="5"/>
  <c r="M196" i="5"/>
  <c r="K196" i="5"/>
  <c r="N196" i="5"/>
  <c r="O196" i="5"/>
  <c r="P196" i="5"/>
  <c r="K570" i="5"/>
  <c r="M570" i="5"/>
  <c r="L570" i="5"/>
  <c r="O570" i="5"/>
  <c r="N570" i="5"/>
  <c r="P570" i="5"/>
  <c r="K452" i="5"/>
  <c r="L452" i="5"/>
  <c r="M452" i="5"/>
  <c r="N452" i="5"/>
  <c r="O452" i="5"/>
  <c r="P452" i="5"/>
  <c r="K675" i="5"/>
  <c r="L675" i="5"/>
  <c r="M675" i="5"/>
  <c r="N675" i="5"/>
  <c r="O675" i="5"/>
  <c r="P675" i="5"/>
  <c r="K248" i="5"/>
  <c r="L248" i="5"/>
  <c r="M248" i="5"/>
  <c r="N248" i="5"/>
  <c r="O248" i="5"/>
  <c r="P248" i="5"/>
  <c r="K259" i="5"/>
  <c r="L259" i="5"/>
  <c r="N259" i="5"/>
  <c r="M259" i="5"/>
  <c r="O259" i="5"/>
  <c r="P259" i="5"/>
  <c r="K458" i="5"/>
  <c r="L458" i="5"/>
  <c r="M458" i="5"/>
  <c r="O458" i="5"/>
  <c r="P458" i="5"/>
  <c r="N458" i="5"/>
  <c r="L300" i="5"/>
  <c r="K300" i="5"/>
  <c r="M300" i="5"/>
  <c r="O300" i="5"/>
  <c r="N300" i="5"/>
  <c r="P300" i="5"/>
  <c r="K508" i="5"/>
  <c r="L508" i="5"/>
  <c r="M508" i="5"/>
  <c r="N508" i="5"/>
  <c r="O508" i="5"/>
  <c r="P508" i="5"/>
  <c r="K506" i="5"/>
  <c r="M506" i="5"/>
  <c r="L506" i="5"/>
  <c r="O506" i="5"/>
  <c r="N506" i="5"/>
  <c r="P506" i="5"/>
  <c r="K554" i="5"/>
  <c r="L554" i="5"/>
  <c r="M554" i="5"/>
  <c r="O554" i="5"/>
  <c r="N554" i="5"/>
  <c r="P554" i="5"/>
  <c r="K595" i="5"/>
  <c r="L595" i="5"/>
  <c r="M595" i="5"/>
  <c r="N595" i="5"/>
  <c r="O595" i="5"/>
  <c r="P595" i="5"/>
  <c r="K628" i="5"/>
  <c r="L628" i="5"/>
  <c r="M628" i="5"/>
  <c r="N628" i="5"/>
  <c r="O628" i="5"/>
  <c r="P628" i="5"/>
  <c r="L627" i="5"/>
  <c r="K627" i="5"/>
  <c r="M627" i="5"/>
  <c r="N627" i="5"/>
  <c r="O627" i="5"/>
  <c r="P627" i="5"/>
  <c r="K678" i="5"/>
  <c r="M678" i="5"/>
  <c r="L678" i="5"/>
  <c r="N678" i="5"/>
  <c r="O678" i="5"/>
  <c r="P678" i="5"/>
  <c r="K594" i="5"/>
  <c r="L594" i="5"/>
  <c r="M594" i="5"/>
  <c r="N594" i="5"/>
  <c r="O594" i="5"/>
  <c r="P594" i="5"/>
  <c r="K487" i="5"/>
  <c r="M487" i="5"/>
  <c r="L487" i="5"/>
  <c r="N487" i="5"/>
  <c r="O487" i="5"/>
  <c r="P487" i="5"/>
  <c r="K358" i="5"/>
  <c r="L358" i="5"/>
  <c r="O358" i="5"/>
  <c r="M358" i="5"/>
  <c r="N358" i="5"/>
  <c r="P358" i="5"/>
  <c r="K70" i="5"/>
  <c r="L70" i="5"/>
  <c r="M70" i="5"/>
  <c r="O70" i="5"/>
  <c r="N70" i="5"/>
  <c r="P70" i="5"/>
  <c r="K613" i="5"/>
  <c r="L613" i="5"/>
  <c r="M613" i="5"/>
  <c r="N613" i="5"/>
  <c r="O613" i="5"/>
  <c r="P613" i="5"/>
  <c r="K518" i="5"/>
  <c r="L518" i="5"/>
  <c r="M518" i="5"/>
  <c r="N518" i="5"/>
  <c r="O518" i="5"/>
  <c r="P518" i="5"/>
  <c r="K390" i="5"/>
  <c r="L390" i="5"/>
  <c r="M390" i="5"/>
  <c r="N390" i="5"/>
  <c r="O390" i="5"/>
  <c r="P390" i="5"/>
  <c r="K132" i="5"/>
  <c r="L132" i="5"/>
  <c r="M132" i="5"/>
  <c r="N132" i="5"/>
  <c r="O132" i="5"/>
  <c r="P132" i="5"/>
  <c r="K634" i="5"/>
  <c r="L634" i="5"/>
  <c r="M634" i="5"/>
  <c r="N634" i="5"/>
  <c r="O634" i="5"/>
  <c r="P634" i="5"/>
  <c r="L547" i="5"/>
  <c r="M547" i="5"/>
  <c r="K547" i="5"/>
  <c r="N547" i="5"/>
  <c r="O547" i="5"/>
  <c r="P547" i="5"/>
  <c r="K420" i="5"/>
  <c r="L420" i="5"/>
  <c r="M420" i="5"/>
  <c r="N420" i="5"/>
  <c r="O420" i="5"/>
  <c r="P420" i="5"/>
  <c r="L190" i="5"/>
  <c r="K190" i="5"/>
  <c r="M190" i="5"/>
  <c r="O190" i="5"/>
  <c r="P190" i="5"/>
  <c r="N190" i="5"/>
  <c r="K653" i="5"/>
  <c r="L653" i="5"/>
  <c r="M653" i="5"/>
  <c r="N653" i="5"/>
  <c r="O653" i="5"/>
  <c r="P653" i="5"/>
  <c r="K567" i="5"/>
  <c r="L567" i="5"/>
  <c r="M567" i="5"/>
  <c r="N567" i="5"/>
  <c r="O567" i="5"/>
  <c r="P567" i="5"/>
  <c r="K450" i="5"/>
  <c r="L450" i="5"/>
  <c r="M450" i="5"/>
  <c r="N450" i="5"/>
  <c r="O450" i="5"/>
  <c r="P450" i="5"/>
  <c r="L284" i="5"/>
  <c r="K284" i="5"/>
  <c r="M284" i="5"/>
  <c r="O284" i="5"/>
  <c r="N284" i="5"/>
  <c r="P284" i="5"/>
  <c r="K683" i="5"/>
  <c r="L683" i="5"/>
  <c r="N683" i="5"/>
  <c r="O683" i="5"/>
  <c r="P683" i="5"/>
  <c r="M683" i="5"/>
  <c r="K598" i="5"/>
  <c r="L598" i="5"/>
  <c r="M598" i="5"/>
  <c r="N598" i="5"/>
  <c r="P598" i="5"/>
  <c r="O598" i="5"/>
  <c r="K495" i="5"/>
  <c r="L495" i="5"/>
  <c r="M495" i="5"/>
  <c r="N495" i="5"/>
  <c r="O495" i="5"/>
  <c r="P495" i="5"/>
  <c r="K367" i="5"/>
  <c r="L367" i="5"/>
  <c r="M367" i="5"/>
  <c r="O367" i="5"/>
  <c r="N367" i="5"/>
  <c r="P367" i="5"/>
  <c r="L118" i="5"/>
  <c r="K118" i="5"/>
  <c r="M118" i="5"/>
  <c r="N118" i="5"/>
  <c r="O118" i="5"/>
  <c r="P118" i="5"/>
  <c r="K629" i="5"/>
  <c r="L629" i="5"/>
  <c r="N629" i="5"/>
  <c r="M629" i="5"/>
  <c r="O629" i="5"/>
  <c r="P629" i="5"/>
  <c r="K542" i="5"/>
  <c r="L542" i="5"/>
  <c r="M542" i="5"/>
  <c r="N542" i="5"/>
  <c r="O542" i="5"/>
  <c r="P542" i="5"/>
  <c r="L414" i="5"/>
  <c r="M414" i="5"/>
  <c r="K414" i="5"/>
  <c r="N414" i="5"/>
  <c r="O414" i="5"/>
  <c r="P414" i="5"/>
  <c r="L212" i="5"/>
  <c r="K212" i="5"/>
  <c r="M212" i="5"/>
  <c r="O212" i="5"/>
  <c r="N212" i="5"/>
  <c r="P212" i="5"/>
  <c r="K533" i="5"/>
  <c r="L533" i="5"/>
  <c r="M533" i="5"/>
  <c r="N533" i="5"/>
  <c r="O533" i="5"/>
  <c r="P533" i="5"/>
  <c r="K469" i="5"/>
  <c r="L469" i="5"/>
  <c r="M469" i="5"/>
  <c r="N469" i="5"/>
  <c r="O469" i="5"/>
  <c r="P469" i="5"/>
  <c r="L405" i="5"/>
  <c r="K405" i="5"/>
  <c r="M405" i="5"/>
  <c r="N405" i="5"/>
  <c r="O405" i="5"/>
  <c r="P405" i="5"/>
  <c r="L341" i="5"/>
  <c r="K341" i="5"/>
  <c r="M341" i="5"/>
  <c r="N341" i="5"/>
  <c r="O341" i="5"/>
  <c r="P341" i="5"/>
  <c r="L269" i="5"/>
  <c r="K269" i="5"/>
  <c r="M269" i="5"/>
  <c r="N269" i="5"/>
  <c r="O269" i="5"/>
  <c r="P269" i="5"/>
  <c r="L189" i="5"/>
  <c r="K189" i="5"/>
  <c r="M189" i="5"/>
  <c r="N189" i="5"/>
  <c r="O189" i="5"/>
  <c r="P189" i="5"/>
  <c r="L125" i="5"/>
  <c r="M125" i="5"/>
  <c r="K125" i="5"/>
  <c r="N125" i="5"/>
  <c r="O125" i="5"/>
  <c r="P125" i="5"/>
  <c r="K61" i="5"/>
  <c r="L61" i="5"/>
  <c r="M61" i="5"/>
  <c r="N61" i="5"/>
  <c r="O61" i="5"/>
  <c r="P61" i="5"/>
  <c r="K491" i="5"/>
  <c r="L491" i="5"/>
  <c r="M491" i="5"/>
  <c r="N491" i="5"/>
  <c r="O491" i="5"/>
  <c r="P491" i="5"/>
  <c r="K427" i="5"/>
  <c r="L427" i="5"/>
  <c r="M427" i="5"/>
  <c r="N427" i="5"/>
  <c r="O427" i="5"/>
  <c r="P427" i="5"/>
  <c r="K363" i="5"/>
  <c r="L363" i="5"/>
  <c r="M363" i="5"/>
  <c r="O363" i="5"/>
  <c r="N363" i="5"/>
  <c r="P363" i="5"/>
  <c r="L299" i="5"/>
  <c r="K299" i="5"/>
  <c r="M299" i="5"/>
  <c r="O299" i="5"/>
  <c r="N299" i="5"/>
  <c r="P299" i="5"/>
  <c r="K227" i="5"/>
  <c r="L227" i="5"/>
  <c r="N227" i="5"/>
  <c r="M227" i="5"/>
  <c r="O227" i="5"/>
  <c r="P227" i="5"/>
  <c r="K163" i="5"/>
  <c r="L163" i="5"/>
  <c r="M163" i="5"/>
  <c r="N163" i="5"/>
  <c r="O163" i="5"/>
  <c r="P163" i="5"/>
  <c r="K99" i="5"/>
  <c r="L99" i="5"/>
  <c r="M99" i="5"/>
  <c r="N99" i="5"/>
  <c r="O99" i="5"/>
  <c r="P99" i="5"/>
  <c r="K346" i="5"/>
  <c r="L346" i="5"/>
  <c r="N346" i="5"/>
  <c r="M346" i="5"/>
  <c r="O346" i="5"/>
  <c r="P346" i="5"/>
  <c r="K282" i="5"/>
  <c r="L282" i="5"/>
  <c r="N282" i="5"/>
  <c r="M282" i="5"/>
  <c r="O282" i="5"/>
  <c r="P282" i="5"/>
  <c r="K194" i="5"/>
  <c r="L194" i="5"/>
  <c r="N194" i="5"/>
  <c r="M194" i="5"/>
  <c r="O194" i="5"/>
  <c r="P194" i="5"/>
  <c r="K130" i="5"/>
  <c r="L130" i="5"/>
  <c r="M130" i="5"/>
  <c r="N130" i="5"/>
  <c r="O130" i="5"/>
  <c r="P130" i="5"/>
  <c r="K66" i="5"/>
  <c r="L66" i="5"/>
  <c r="M66" i="5"/>
  <c r="N66" i="5"/>
  <c r="O66" i="5"/>
  <c r="P66" i="5"/>
  <c r="K633" i="5"/>
  <c r="L633" i="5"/>
  <c r="M633" i="5"/>
  <c r="N633" i="5"/>
  <c r="P633" i="5"/>
  <c r="O633" i="5"/>
  <c r="K569" i="5"/>
  <c r="L569" i="5"/>
  <c r="M569" i="5"/>
  <c r="O569" i="5"/>
  <c r="N569" i="5"/>
  <c r="P569" i="5"/>
  <c r="K505" i="5"/>
  <c r="L505" i="5"/>
  <c r="M505" i="5"/>
  <c r="O505" i="5"/>
  <c r="N505" i="5"/>
  <c r="P505" i="5"/>
  <c r="K441" i="5"/>
  <c r="L441" i="5"/>
  <c r="M441" i="5"/>
  <c r="O441" i="5"/>
  <c r="N441" i="5"/>
  <c r="P441" i="5"/>
  <c r="L377" i="5"/>
  <c r="K377" i="5"/>
  <c r="M377" i="5"/>
  <c r="N377" i="5"/>
  <c r="O377" i="5"/>
  <c r="P377" i="5"/>
  <c r="L313" i="5"/>
  <c r="K313" i="5"/>
  <c r="M313" i="5"/>
  <c r="N313" i="5"/>
  <c r="O313" i="5"/>
  <c r="P313" i="5"/>
  <c r="K233" i="5"/>
  <c r="L233" i="5"/>
  <c r="M233" i="5"/>
  <c r="N233" i="5"/>
  <c r="O233" i="5"/>
  <c r="P233" i="5"/>
  <c r="K161" i="5"/>
  <c r="L161" i="5"/>
  <c r="M161" i="5"/>
  <c r="N161" i="5"/>
  <c r="O161" i="5"/>
  <c r="P161" i="5"/>
  <c r="K97" i="5"/>
  <c r="L97" i="5"/>
  <c r="M97" i="5"/>
  <c r="O97" i="5"/>
  <c r="P97" i="5"/>
  <c r="N97" i="5"/>
  <c r="K672" i="5"/>
  <c r="L672" i="5"/>
  <c r="M672" i="5"/>
  <c r="N672" i="5"/>
  <c r="O672" i="5"/>
  <c r="P672" i="5"/>
  <c r="K608" i="5"/>
  <c r="L608" i="5"/>
  <c r="M608" i="5"/>
  <c r="N608" i="5"/>
  <c r="O608" i="5"/>
  <c r="P608" i="5"/>
  <c r="K544" i="5"/>
  <c r="L544" i="5"/>
  <c r="M544" i="5"/>
  <c r="N544" i="5"/>
  <c r="O544" i="5"/>
  <c r="P544" i="5"/>
  <c r="K480" i="5"/>
  <c r="L480" i="5"/>
  <c r="M480" i="5"/>
  <c r="N480" i="5"/>
  <c r="O480" i="5"/>
  <c r="P480" i="5"/>
  <c r="K416" i="5"/>
  <c r="L416" i="5"/>
  <c r="M416" i="5"/>
  <c r="N416" i="5"/>
  <c r="O416" i="5"/>
  <c r="P416" i="5"/>
  <c r="K352" i="5"/>
  <c r="L352" i="5"/>
  <c r="M352" i="5"/>
  <c r="N352" i="5"/>
  <c r="O352" i="5"/>
  <c r="P352" i="5"/>
  <c r="K288" i="5"/>
  <c r="L288" i="5"/>
  <c r="M288" i="5"/>
  <c r="N288" i="5"/>
  <c r="O288" i="5"/>
  <c r="P288" i="5"/>
  <c r="K200" i="5"/>
  <c r="M200" i="5"/>
  <c r="L200" i="5"/>
  <c r="O200" i="5"/>
  <c r="N200" i="5"/>
  <c r="P200" i="5"/>
  <c r="K136" i="5"/>
  <c r="L136" i="5"/>
  <c r="M136" i="5"/>
  <c r="O136" i="5"/>
  <c r="N136" i="5"/>
  <c r="P136" i="5"/>
  <c r="K72" i="5"/>
  <c r="L72" i="5"/>
  <c r="M72" i="5"/>
  <c r="O72" i="5"/>
  <c r="N72" i="5"/>
  <c r="P72" i="5"/>
  <c r="K327" i="5"/>
  <c r="L327" i="5"/>
  <c r="M327" i="5"/>
  <c r="N327" i="5"/>
  <c r="O327" i="5"/>
  <c r="P327" i="5"/>
  <c r="K247" i="5"/>
  <c r="L247" i="5"/>
  <c r="M247" i="5"/>
  <c r="N247" i="5"/>
  <c r="O247" i="5"/>
  <c r="P247" i="5"/>
  <c r="K183" i="5"/>
  <c r="L183" i="5"/>
  <c r="M183" i="5"/>
  <c r="N183" i="5"/>
  <c r="O183" i="5"/>
  <c r="P183" i="5"/>
  <c r="K119" i="5"/>
  <c r="L119" i="5"/>
  <c r="M119" i="5"/>
  <c r="N119" i="5"/>
  <c r="O119" i="5"/>
  <c r="P119" i="5"/>
  <c r="K55" i="5"/>
  <c r="L55" i="5"/>
  <c r="N55" i="5"/>
  <c r="M55" i="5"/>
  <c r="O55" i="5"/>
  <c r="P55" i="5"/>
  <c r="L19" i="5"/>
  <c r="M19" i="5"/>
  <c r="O19" i="5"/>
  <c r="K19" i="5"/>
  <c r="N19" i="5"/>
  <c r="K20" i="5"/>
  <c r="L20" i="5"/>
  <c r="M20" i="5"/>
  <c r="N20" i="5"/>
  <c r="O20" i="5"/>
  <c r="P20" i="5"/>
  <c r="K18" i="5"/>
  <c r="M18" i="5"/>
  <c r="O18" i="5"/>
  <c r="L18" i="5"/>
  <c r="N18" i="5"/>
  <c r="P18" i="5"/>
  <c r="K21" i="5"/>
  <c r="N21" i="5"/>
  <c r="L21" i="5"/>
  <c r="M21" i="5"/>
  <c r="O21" i="5"/>
  <c r="P21" i="5"/>
  <c r="O40" i="5"/>
  <c r="N40" i="5"/>
  <c r="M40" i="5"/>
  <c r="K40" i="5"/>
  <c r="L40" i="5"/>
  <c r="P40" i="5"/>
  <c r="N32" i="5"/>
  <c r="M32" i="5"/>
  <c r="K32" i="5"/>
  <c r="O32" i="5"/>
  <c r="L32" i="5"/>
  <c r="P32" i="5"/>
  <c r="K27" i="5"/>
  <c r="O27" i="5"/>
  <c r="M27" i="5"/>
  <c r="P27" i="5"/>
  <c r="L27" i="5"/>
  <c r="N27" i="5"/>
  <c r="N25" i="5"/>
  <c r="P25" i="5"/>
  <c r="K25" i="5"/>
  <c r="L25" i="5"/>
  <c r="O25" i="5"/>
  <c r="M25" i="5"/>
  <c r="L26" i="5"/>
  <c r="K26" i="5"/>
  <c r="N26" i="5"/>
  <c r="P26" i="5"/>
  <c r="O26" i="5"/>
  <c r="M26" i="5"/>
  <c r="K35" i="5"/>
  <c r="O35" i="5"/>
  <c r="L35" i="5"/>
  <c r="P35" i="5"/>
  <c r="M35" i="5"/>
  <c r="N35" i="5"/>
  <c r="N46" i="5"/>
  <c r="M46" i="5"/>
  <c r="L46" i="5"/>
  <c r="P46" i="5"/>
  <c r="K46" i="5"/>
  <c r="O46" i="5"/>
  <c r="O34" i="5"/>
  <c r="N34" i="5"/>
  <c r="L34" i="5"/>
  <c r="P34" i="5"/>
  <c r="K34" i="5"/>
  <c r="M34" i="5"/>
  <c r="K43" i="5"/>
  <c r="O43" i="5"/>
  <c r="M43" i="5"/>
  <c r="L43" i="5"/>
  <c r="P43" i="5"/>
  <c r="N43" i="5"/>
  <c r="N33" i="5"/>
  <c r="L33" i="5"/>
  <c r="O33" i="5"/>
  <c r="P33" i="5"/>
  <c r="K33" i="5"/>
  <c r="M33" i="5"/>
  <c r="N41" i="5"/>
  <c r="P41" i="5"/>
  <c r="K41" i="5"/>
  <c r="L41" i="5"/>
  <c r="O41" i="5"/>
  <c r="M41" i="5"/>
  <c r="L42" i="5"/>
  <c r="P42" i="5"/>
  <c r="K42" i="5"/>
  <c r="N42" i="5"/>
  <c r="O42" i="5"/>
  <c r="M42" i="5"/>
  <c r="P28" i="5"/>
  <c r="K28" i="5"/>
  <c r="O28" i="5"/>
  <c r="M28" i="5"/>
  <c r="L28" i="5"/>
  <c r="N28" i="5"/>
  <c r="L37" i="5"/>
  <c r="P37" i="5"/>
  <c r="N37" i="5"/>
  <c r="M37" i="5"/>
  <c r="K37" i="5"/>
  <c r="O37" i="5"/>
  <c r="L29" i="5"/>
  <c r="P29" i="5"/>
  <c r="N29" i="5"/>
  <c r="M29" i="5"/>
  <c r="K29" i="5"/>
  <c r="O29" i="5"/>
  <c r="M36" i="5"/>
  <c r="L36" i="5"/>
  <c r="K36" i="5"/>
  <c r="O36" i="5"/>
  <c r="P36" i="5"/>
  <c r="N36" i="5"/>
  <c r="L45" i="5"/>
  <c r="P45" i="5"/>
  <c r="N45" i="5"/>
  <c r="M45" i="5"/>
  <c r="K45" i="5"/>
  <c r="O45" i="5"/>
  <c r="M38" i="5"/>
  <c r="L38" i="5"/>
  <c r="P38" i="5"/>
  <c r="N38" i="5"/>
  <c r="K38" i="5"/>
  <c r="O38" i="5"/>
  <c r="L44" i="5"/>
  <c r="P44" i="5"/>
  <c r="K44" i="5"/>
  <c r="O44" i="5"/>
  <c r="M44" i="5"/>
  <c r="N44" i="5"/>
  <c r="N30" i="5"/>
  <c r="L30" i="5"/>
  <c r="P30" i="5"/>
  <c r="M30" i="5"/>
  <c r="K30" i="5"/>
  <c r="O30" i="5"/>
  <c r="M39" i="5"/>
  <c r="N39" i="5"/>
  <c r="K39" i="5"/>
  <c r="O39" i="5"/>
  <c r="L39" i="5"/>
  <c r="P39" i="5"/>
  <c r="M31" i="5"/>
  <c r="O31" i="5"/>
  <c r="K31" i="5"/>
  <c r="N31" i="5"/>
  <c r="L31" i="5"/>
  <c r="P31" i="5"/>
  <c r="K13" i="5"/>
  <c r="M13" i="5"/>
  <c r="N13" i="5"/>
  <c r="O13" i="5"/>
  <c r="P13" i="5"/>
  <c r="L13" i="5"/>
  <c r="K10" i="5"/>
  <c r="L10" i="5"/>
  <c r="M10" i="5"/>
  <c r="O10" i="5"/>
  <c r="P10" i="5"/>
  <c r="N10" i="5"/>
  <c r="L9" i="5"/>
  <c r="P9" i="5"/>
  <c r="M9" i="5"/>
  <c r="N9" i="5"/>
  <c r="O9" i="5"/>
  <c r="K9" i="5"/>
  <c r="O12" i="5"/>
  <c r="K12" i="5"/>
  <c r="L12" i="5"/>
  <c r="M12" i="5"/>
  <c r="N12" i="5"/>
  <c r="P12" i="5"/>
  <c r="K15" i="5"/>
  <c r="O15" i="5"/>
  <c r="P15" i="5"/>
  <c r="L15" i="5"/>
  <c r="M15" i="5"/>
  <c r="N15" i="5"/>
  <c r="M16" i="5"/>
  <c r="O16" i="5"/>
  <c r="P16" i="5"/>
  <c r="K16" i="5"/>
  <c r="L16" i="5"/>
  <c r="N16" i="5"/>
  <c r="M11" i="5"/>
  <c r="K11" i="5"/>
  <c r="L11" i="5"/>
  <c r="N11" i="5"/>
  <c r="O11" i="5"/>
  <c r="P11" i="5"/>
  <c r="O17" i="5"/>
  <c r="K17" i="5"/>
  <c r="M17" i="5"/>
  <c r="N17" i="5"/>
  <c r="P17" i="5"/>
  <c r="L17" i="5"/>
  <c r="K8" i="5"/>
  <c r="N8" i="5"/>
  <c r="O8" i="5"/>
  <c r="P8" i="5"/>
  <c r="L8" i="5"/>
  <c r="M8" i="5"/>
  <c r="L14" i="5"/>
  <c r="M14" i="5"/>
  <c r="N14" i="5"/>
  <c r="O14" i="5"/>
  <c r="K14" i="5"/>
  <c r="P14" i="5"/>
  <c r="J72" i="3"/>
  <c r="J73" i="3"/>
  <c r="J81" i="3"/>
  <c r="J97" i="3"/>
  <c r="J105" i="3"/>
  <c r="J113" i="3"/>
  <c r="J121" i="3"/>
  <c r="L129" i="3"/>
  <c r="J137" i="3"/>
  <c r="L145" i="3"/>
  <c r="J153" i="3"/>
  <c r="J161" i="3"/>
  <c r="L169" i="3"/>
  <c r="J177" i="3"/>
  <c r="O185" i="3"/>
  <c r="J193" i="3"/>
  <c r="J201" i="3"/>
  <c r="J209" i="3"/>
  <c r="L217" i="3"/>
  <c r="K225" i="3"/>
  <c r="J233" i="3"/>
  <c r="J241" i="3"/>
  <c r="L249" i="3"/>
  <c r="J273" i="3"/>
  <c r="M281" i="3"/>
  <c r="M289" i="3"/>
  <c r="J297" i="3"/>
  <c r="L305" i="3"/>
  <c r="O313" i="3"/>
  <c r="J321" i="3"/>
  <c r="J337" i="3"/>
  <c r="P345" i="3"/>
  <c r="O353" i="3"/>
  <c r="J361" i="3"/>
  <c r="J369" i="3"/>
  <c r="J377" i="3"/>
  <c r="J385" i="3"/>
  <c r="J393" i="3"/>
  <c r="J401" i="3"/>
  <c r="M409" i="3"/>
  <c r="M417" i="3"/>
  <c r="J425" i="3"/>
  <c r="L433" i="3"/>
  <c r="J441" i="3"/>
  <c r="J449" i="3"/>
  <c r="J457" i="3"/>
  <c r="J465" i="3"/>
  <c r="J473" i="3"/>
  <c r="J481" i="3"/>
  <c r="J489" i="3"/>
  <c r="J497" i="3"/>
  <c r="J505" i="3"/>
  <c r="J513" i="3"/>
  <c r="J521" i="3"/>
  <c r="J529" i="3"/>
  <c r="J537" i="3"/>
  <c r="J545" i="3"/>
  <c r="J553" i="3"/>
  <c r="J561" i="3"/>
  <c r="J569" i="3"/>
  <c r="J577" i="3"/>
  <c r="J585" i="3"/>
  <c r="J593" i="3"/>
  <c r="J601" i="3"/>
  <c r="J609" i="3"/>
  <c r="J617" i="3"/>
  <c r="L617" i="3" s="1"/>
  <c r="N625" i="3"/>
  <c r="J633" i="3"/>
  <c r="J641" i="3"/>
  <c r="J649" i="3"/>
  <c r="J657" i="3"/>
  <c r="J673" i="3"/>
  <c r="J681" i="3"/>
  <c r="J697" i="3"/>
  <c r="J705" i="3"/>
  <c r="J713" i="3"/>
  <c r="J698" i="3"/>
  <c r="J714" i="3"/>
  <c r="L291" i="3"/>
  <c r="O74" i="3"/>
  <c r="J82" i="3"/>
  <c r="K90" i="3"/>
  <c r="L98" i="3"/>
  <c r="J106" i="3"/>
  <c r="J114" i="3"/>
  <c r="J122" i="3"/>
  <c r="N130" i="3"/>
  <c r="J138" i="3"/>
  <c r="L146" i="3"/>
  <c r="J154" i="3"/>
  <c r="J162" i="3"/>
  <c r="O170" i="3"/>
  <c r="J178" i="3"/>
  <c r="J194" i="3"/>
  <c r="J202" i="3"/>
  <c r="J210" i="3"/>
  <c r="O218" i="3"/>
  <c r="O226" i="3"/>
  <c r="P234" i="3"/>
  <c r="J242" i="3"/>
  <c r="J274" i="3"/>
  <c r="M282" i="3"/>
  <c r="K290" i="3"/>
  <c r="J298" i="3"/>
  <c r="J306" i="3"/>
  <c r="J322" i="3"/>
  <c r="M330" i="3"/>
  <c r="J338" i="3"/>
  <c r="N346" i="3"/>
  <c r="O354" i="3"/>
  <c r="J362" i="3"/>
  <c r="P362" i="3" s="1"/>
  <c r="J370" i="3"/>
  <c r="N370" i="3" s="1"/>
  <c r="J378" i="3"/>
  <c r="J386" i="3"/>
  <c r="J394" i="3"/>
  <c r="J402" i="3"/>
  <c r="O410" i="3"/>
  <c r="L418" i="3"/>
  <c r="P426" i="3"/>
  <c r="J442" i="3"/>
  <c r="J450" i="3"/>
  <c r="J458" i="3"/>
  <c r="J466" i="3"/>
  <c r="N466" i="3" s="1"/>
  <c r="J474" i="3"/>
  <c r="J482" i="3"/>
  <c r="J490" i="3"/>
  <c r="J498" i="3"/>
  <c r="J506" i="3"/>
  <c r="J514" i="3"/>
  <c r="J522" i="3"/>
  <c r="J530" i="3"/>
  <c r="J538" i="3"/>
  <c r="J546" i="3"/>
  <c r="J554" i="3"/>
  <c r="J562" i="3"/>
  <c r="J570" i="3"/>
  <c r="J578" i="3"/>
  <c r="J586" i="3"/>
  <c r="J594" i="3"/>
  <c r="J610" i="3"/>
  <c r="J618" i="3"/>
  <c r="L618" i="3" s="1"/>
  <c r="J626" i="3"/>
  <c r="J634" i="3"/>
  <c r="J642" i="3"/>
  <c r="J650" i="3"/>
  <c r="J658" i="3"/>
  <c r="J666" i="3"/>
  <c r="J674" i="3"/>
  <c r="J682" i="3"/>
  <c r="J706" i="3"/>
  <c r="L299" i="3"/>
  <c r="M75" i="3"/>
  <c r="J83" i="3"/>
  <c r="L91" i="3"/>
  <c r="K99" i="3"/>
  <c r="J107" i="3"/>
  <c r="J115" i="3"/>
  <c r="J123" i="3"/>
  <c r="L131" i="3"/>
  <c r="J139" i="3"/>
  <c r="J147" i="3"/>
  <c r="N155" i="3"/>
  <c r="J163" i="3"/>
  <c r="K171" i="3"/>
  <c r="J179" i="3"/>
  <c r="M187" i="3"/>
  <c r="J195" i="3"/>
  <c r="L203" i="3"/>
  <c r="J211" i="3"/>
  <c r="L227" i="3"/>
  <c r="L235" i="3"/>
  <c r="O243" i="3"/>
  <c r="J251" i="3"/>
  <c r="P275" i="3"/>
  <c r="J283" i="3"/>
  <c r="J315" i="3"/>
  <c r="N323" i="3"/>
  <c r="L331" i="3"/>
  <c r="J339" i="3"/>
  <c r="J77" i="3"/>
  <c r="J85" i="3"/>
  <c r="J93" i="3"/>
  <c r="M101" i="3"/>
  <c r="J109" i="3"/>
  <c r="J117" i="3"/>
  <c r="L125" i="3"/>
  <c r="J133" i="3"/>
  <c r="J141" i="3"/>
  <c r="M149" i="3"/>
  <c r="L157" i="3"/>
  <c r="J165" i="3"/>
  <c r="J173" i="3"/>
  <c r="J181" i="3"/>
  <c r="L181" i="3" s="1"/>
  <c r="J189" i="3"/>
  <c r="J197" i="3"/>
  <c r="N205" i="3"/>
  <c r="J213" i="3"/>
  <c r="J221" i="3"/>
  <c r="J229" i="3"/>
  <c r="J237" i="3"/>
  <c r="M245" i="3"/>
  <c r="L253" i="3"/>
  <c r="L269" i="3"/>
  <c r="M277" i="3"/>
  <c r="L285" i="3"/>
  <c r="M301" i="3"/>
  <c r="P309" i="3"/>
  <c r="L317" i="3"/>
  <c r="L325" i="3"/>
  <c r="J333" i="3"/>
  <c r="J341" i="3"/>
  <c r="M349" i="3"/>
  <c r="J357" i="3"/>
  <c r="J365" i="3"/>
  <c r="J373" i="3"/>
  <c r="L381" i="3"/>
  <c r="J389" i="3"/>
  <c r="J397" i="3"/>
  <c r="J405" i="3"/>
  <c r="J413" i="3"/>
  <c r="J421" i="3"/>
  <c r="J429" i="3"/>
  <c r="J437" i="3"/>
  <c r="N445" i="3"/>
  <c r="J453" i="3"/>
  <c r="J469" i="3"/>
  <c r="J477" i="3"/>
  <c r="J485" i="3"/>
  <c r="J493" i="3"/>
  <c r="P501" i="3"/>
  <c r="J509" i="3"/>
  <c r="J517" i="3"/>
  <c r="J525" i="3"/>
  <c r="J533" i="3"/>
  <c r="J541" i="3"/>
  <c r="J549" i="3"/>
  <c r="J557" i="3"/>
  <c r="P565" i="3"/>
  <c r="J573" i="3"/>
  <c r="J589" i="3"/>
  <c r="J597" i="3"/>
  <c r="J605" i="3"/>
  <c r="J613" i="3"/>
  <c r="J621" i="3"/>
  <c r="J629" i="3"/>
  <c r="J645" i="3"/>
  <c r="J653" i="3"/>
  <c r="J661" i="3"/>
  <c r="J669" i="3"/>
  <c r="J677" i="3"/>
  <c r="J685" i="3"/>
  <c r="J693" i="3"/>
  <c r="J701" i="3"/>
  <c r="J709" i="3"/>
  <c r="J78" i="3"/>
  <c r="J94" i="3"/>
  <c r="O102" i="3"/>
  <c r="P110" i="3"/>
  <c r="K92" i="3"/>
  <c r="N224" i="3"/>
  <c r="L272" i="3"/>
  <c r="P304" i="3"/>
  <c r="J376" i="3"/>
  <c r="J415" i="3"/>
  <c r="J440" i="3"/>
  <c r="J467" i="3"/>
  <c r="J518" i="3"/>
  <c r="J543" i="3"/>
  <c r="J568" i="3"/>
  <c r="J595" i="3"/>
  <c r="J620" i="3"/>
  <c r="L620" i="3" s="1"/>
  <c r="J659" i="3"/>
  <c r="J684" i="3"/>
  <c r="P76" i="3"/>
  <c r="L132" i="3"/>
  <c r="J164" i="3"/>
  <c r="J212" i="3"/>
  <c r="M244" i="3"/>
  <c r="N276" i="3"/>
  <c r="O308" i="3"/>
  <c r="L352" i="3"/>
  <c r="K379" i="3"/>
  <c r="O324" i="3"/>
  <c r="J79" i="3"/>
  <c r="J80" i="3"/>
  <c r="N100" i="3"/>
  <c r="J119" i="3"/>
  <c r="J135" i="3"/>
  <c r="K151" i="3"/>
  <c r="J167" i="3"/>
  <c r="J183" i="3"/>
  <c r="M183" i="3" s="1"/>
  <c r="J199" i="3"/>
  <c r="L215" i="3"/>
  <c r="J231" i="3"/>
  <c r="M247" i="3"/>
  <c r="L279" i="3"/>
  <c r="L295" i="3"/>
  <c r="J311" i="3"/>
  <c r="J327" i="3"/>
  <c r="J343" i="3"/>
  <c r="J356" i="3"/>
  <c r="J368" i="3"/>
  <c r="J382" i="3"/>
  <c r="K382" i="3" s="1"/>
  <c r="J395" i="3"/>
  <c r="J407" i="3"/>
  <c r="J420" i="3"/>
  <c r="L432" i="3"/>
  <c r="K446" i="3"/>
  <c r="J459" i="3"/>
  <c r="O471" i="3"/>
  <c r="J484" i="3"/>
  <c r="J496" i="3"/>
  <c r="J510" i="3"/>
  <c r="L510" i="3" s="1"/>
  <c r="J523" i="3"/>
  <c r="J535" i="3"/>
  <c r="J548" i="3"/>
  <c r="J560" i="3"/>
  <c r="J574" i="3"/>
  <c r="J587" i="3"/>
  <c r="J599" i="3"/>
  <c r="J612" i="3"/>
  <c r="K624" i="3"/>
  <c r="J651" i="3"/>
  <c r="J676" i="3"/>
  <c r="J688" i="3"/>
  <c r="J702" i="3"/>
  <c r="J715" i="3"/>
  <c r="O639" i="3"/>
  <c r="J678" i="3"/>
  <c r="J703" i="3"/>
  <c r="J86" i="3"/>
  <c r="J140" i="3"/>
  <c r="M172" i="3"/>
  <c r="N300" i="3"/>
  <c r="J359" i="3"/>
  <c r="M359" i="3" s="1"/>
  <c r="J384" i="3"/>
  <c r="J423" i="3"/>
  <c r="J448" i="3"/>
  <c r="J487" i="3"/>
  <c r="J512" i="3"/>
  <c r="J551" i="3"/>
  <c r="J576" i="3"/>
  <c r="J615" i="3"/>
  <c r="J640" i="3"/>
  <c r="J679" i="3"/>
  <c r="J704" i="3"/>
  <c r="O126" i="3"/>
  <c r="J190" i="3"/>
  <c r="N254" i="3"/>
  <c r="O286" i="3"/>
  <c r="J334" i="3"/>
  <c r="J360" i="3"/>
  <c r="J387" i="3"/>
  <c r="J424" i="3"/>
  <c r="J463" i="3"/>
  <c r="J515" i="3"/>
  <c r="J552" i="3"/>
  <c r="J579" i="3"/>
  <c r="J616" i="3"/>
  <c r="J643" i="3"/>
  <c r="J680" i="3"/>
  <c r="J84" i="3"/>
  <c r="O103" i="3"/>
  <c r="J120" i="3"/>
  <c r="J136" i="3"/>
  <c r="J152" i="3"/>
  <c r="J168" i="3"/>
  <c r="J184" i="3"/>
  <c r="J200" i="3"/>
  <c r="O216" i="3"/>
  <c r="J232" i="3"/>
  <c r="M248" i="3"/>
  <c r="O280" i="3"/>
  <c r="J296" i="3"/>
  <c r="O312" i="3"/>
  <c r="J328" i="3"/>
  <c r="J344" i="3"/>
  <c r="J358" i="3"/>
  <c r="J371" i="3"/>
  <c r="L371" i="3" s="1"/>
  <c r="J383" i="3"/>
  <c r="L383" i="3" s="1"/>
  <c r="J396" i="3"/>
  <c r="P408" i="3"/>
  <c r="J422" i="3"/>
  <c r="P422" i="3" s="1"/>
  <c r="J435" i="3"/>
  <c r="L447" i="3"/>
  <c r="K460" i="3"/>
  <c r="J486" i="3"/>
  <c r="J499" i="3"/>
  <c r="J511" i="3"/>
  <c r="J524" i="3"/>
  <c r="J536" i="3"/>
  <c r="J550" i="3"/>
  <c r="J575" i="3"/>
  <c r="J588" i="3"/>
  <c r="J600" i="3"/>
  <c r="J614" i="3"/>
  <c r="J627" i="3"/>
  <c r="J652" i="3"/>
  <c r="L664" i="3"/>
  <c r="K104" i="3"/>
  <c r="J124" i="3"/>
  <c r="M156" i="3"/>
  <c r="N204" i="3"/>
  <c r="N236" i="3"/>
  <c r="N252" i="3"/>
  <c r="L284" i="3"/>
  <c r="J316" i="3"/>
  <c r="M347" i="3"/>
  <c r="J372" i="3"/>
  <c r="J398" i="3"/>
  <c r="J436" i="3"/>
  <c r="J462" i="3"/>
  <c r="J500" i="3"/>
  <c r="J526" i="3"/>
  <c r="L564" i="3"/>
  <c r="J654" i="3"/>
  <c r="J692" i="3"/>
  <c r="J87" i="3"/>
  <c r="J142" i="3"/>
  <c r="J174" i="3"/>
  <c r="J222" i="3"/>
  <c r="P270" i="3"/>
  <c r="M302" i="3"/>
  <c r="K348" i="3"/>
  <c r="J399" i="3"/>
  <c r="J438" i="3"/>
  <c r="J476" i="3"/>
  <c r="N502" i="3"/>
  <c r="J540" i="3"/>
  <c r="J591" i="3"/>
  <c r="J630" i="3"/>
  <c r="J668" i="3"/>
  <c r="J707" i="3"/>
  <c r="J188" i="3"/>
  <c r="L332" i="3"/>
  <c r="J411" i="3"/>
  <c r="J475" i="3"/>
  <c r="J539" i="3"/>
  <c r="J590" i="3"/>
  <c r="J628" i="3"/>
  <c r="J667" i="3"/>
  <c r="J108" i="3"/>
  <c r="J158" i="3"/>
  <c r="J206" i="3"/>
  <c r="J238" i="3"/>
  <c r="J374" i="3"/>
  <c r="J412" i="3"/>
  <c r="J451" i="3"/>
  <c r="J488" i="3"/>
  <c r="J527" i="3"/>
  <c r="J566" i="3"/>
  <c r="K604" i="3"/>
  <c r="J655" i="3"/>
  <c r="J694" i="3"/>
  <c r="J88" i="3"/>
  <c r="L111" i="3"/>
  <c r="M127" i="3"/>
  <c r="J143" i="3"/>
  <c r="J159" i="3"/>
  <c r="J175" i="3"/>
  <c r="J191" i="3"/>
  <c r="J207" i="3"/>
  <c r="L223" i="3"/>
  <c r="N239" i="3"/>
  <c r="P271" i="3"/>
  <c r="L287" i="3"/>
  <c r="L303" i="3"/>
  <c r="J350" i="3"/>
  <c r="J363" i="3"/>
  <c r="J375" i="3"/>
  <c r="J388" i="3"/>
  <c r="J400" i="3"/>
  <c r="J414" i="3"/>
  <c r="J439" i="3"/>
  <c r="J452" i="3"/>
  <c r="J464" i="3"/>
  <c r="J478" i="3"/>
  <c r="J491" i="3"/>
  <c r="L503" i="3"/>
  <c r="J516" i="3"/>
  <c r="J528" i="3"/>
  <c r="J542" i="3"/>
  <c r="J555" i="3"/>
  <c r="J567" i="3"/>
  <c r="M580" i="3"/>
  <c r="J592" i="3"/>
  <c r="M606" i="3"/>
  <c r="J619" i="3"/>
  <c r="J631" i="3"/>
  <c r="J644" i="3"/>
  <c r="J656" i="3"/>
  <c r="J670" i="3"/>
  <c r="J683" i="3"/>
  <c r="J695" i="3"/>
  <c r="J708" i="3"/>
  <c r="J71" i="3"/>
  <c r="N112" i="3"/>
  <c r="P128" i="3"/>
  <c r="J144" i="3"/>
  <c r="J160" i="3"/>
  <c r="J176" i="3"/>
  <c r="J192" i="3"/>
  <c r="J208" i="3"/>
  <c r="M240" i="3"/>
  <c r="J288" i="3"/>
  <c r="N320" i="3"/>
  <c r="J351" i="3"/>
  <c r="J364" i="3"/>
  <c r="J390" i="3"/>
  <c r="J403" i="3"/>
  <c r="L428" i="3"/>
  <c r="J454" i="3"/>
  <c r="M454" i="3" s="1"/>
  <c r="J479" i="3"/>
  <c r="M479" i="3" s="1"/>
  <c r="J492" i="3"/>
  <c r="J504" i="3"/>
  <c r="J531" i="3"/>
  <c r="J556" i="3"/>
  <c r="K582" i="3"/>
  <c r="L607" i="3"/>
  <c r="J632" i="3"/>
  <c r="J646" i="3"/>
  <c r="J671" i="3"/>
  <c r="J696" i="3"/>
  <c r="J710" i="3"/>
  <c r="J95" i="3"/>
  <c r="J116" i="3"/>
  <c r="J148" i="3"/>
  <c r="J180" i="3"/>
  <c r="M180" i="3" s="1"/>
  <c r="J196" i="3"/>
  <c r="K228" i="3"/>
  <c r="J292" i="3"/>
  <c r="J340" i="3"/>
  <c r="J366" i="3"/>
  <c r="J134" i="3"/>
  <c r="L380" i="3"/>
  <c r="K431" i="3"/>
  <c r="J483" i="3"/>
  <c r="J534" i="3"/>
  <c r="J584" i="3"/>
  <c r="L636" i="3"/>
  <c r="J687" i="3"/>
  <c r="J699" i="3"/>
  <c r="J166" i="3"/>
  <c r="J444" i="3"/>
  <c r="J598" i="3"/>
  <c r="J700" i="3"/>
  <c r="J310" i="3"/>
  <c r="J558" i="3"/>
  <c r="J660" i="3"/>
  <c r="J456" i="3"/>
  <c r="J559" i="3"/>
  <c r="J712" i="3"/>
  <c r="J416" i="3"/>
  <c r="J519" i="3"/>
  <c r="J672" i="3"/>
  <c r="J230" i="3"/>
  <c r="N470" i="3"/>
  <c r="M246" i="3"/>
  <c r="J480" i="3"/>
  <c r="P480" i="3" s="1"/>
  <c r="J635" i="3"/>
  <c r="N150" i="3"/>
  <c r="J278" i="3"/>
  <c r="J391" i="3"/>
  <c r="J443" i="3"/>
  <c r="J494" i="3"/>
  <c r="J544" i="3"/>
  <c r="J596" i="3"/>
  <c r="J647" i="3"/>
  <c r="L294" i="3"/>
  <c r="J392" i="3"/>
  <c r="J495" i="3"/>
  <c r="J547" i="3"/>
  <c r="J648" i="3"/>
  <c r="J182" i="3"/>
  <c r="N182" i="3" s="1"/>
  <c r="J404" i="3"/>
  <c r="J455" i="3"/>
  <c r="J507" i="3"/>
  <c r="L608" i="3"/>
  <c r="J711" i="3"/>
  <c r="J508" i="3"/>
  <c r="J611" i="3"/>
  <c r="M214" i="3"/>
  <c r="J571" i="3"/>
  <c r="J96" i="3"/>
  <c r="O419" i="3"/>
  <c r="J572" i="3"/>
  <c r="J118" i="3"/>
  <c r="N430" i="3"/>
  <c r="J583" i="3"/>
  <c r="J198" i="3"/>
  <c r="L326" i="3"/>
  <c r="J406" i="3"/>
  <c r="J662" i="3"/>
  <c r="J342" i="3"/>
  <c r="J468" i="3"/>
  <c r="K468" i="3" s="1"/>
  <c r="P622" i="3"/>
  <c r="N355" i="3"/>
  <c r="J520" i="3"/>
  <c r="J675" i="3"/>
  <c r="J367" i="3"/>
  <c r="L532" i="3"/>
  <c r="J686" i="3"/>
  <c r="L40" i="3"/>
  <c r="J42" i="3"/>
  <c r="J50" i="3"/>
  <c r="P44" i="3"/>
  <c r="J60" i="3"/>
  <c r="J68" i="3"/>
  <c r="M45" i="3"/>
  <c r="J69" i="3"/>
  <c r="J46" i="3"/>
  <c r="J47" i="3"/>
  <c r="J63" i="3"/>
  <c r="J48" i="3"/>
  <c r="J64" i="3"/>
  <c r="J57" i="3"/>
  <c r="O43" i="3"/>
  <c r="L52" i="3"/>
  <c r="J53" i="3"/>
  <c r="L54" i="3"/>
  <c r="J70" i="3"/>
  <c r="J56" i="3"/>
  <c r="J49" i="3"/>
  <c r="L41" i="3"/>
  <c r="J65" i="3"/>
  <c r="J31" i="3"/>
  <c r="J39" i="3"/>
  <c r="J32" i="3"/>
  <c r="L25" i="3"/>
  <c r="J33" i="3"/>
  <c r="J34" i="3"/>
  <c r="M27" i="3"/>
  <c r="J35" i="3"/>
  <c r="J28" i="3"/>
  <c r="J36" i="3"/>
  <c r="J29" i="3"/>
  <c r="J37" i="3"/>
  <c r="J30" i="3"/>
  <c r="J38" i="3"/>
  <c r="J18" i="3"/>
  <c r="J11" i="3"/>
  <c r="K11" i="3" s="1"/>
  <c r="O19" i="3"/>
  <c r="L20" i="3"/>
  <c r="J21" i="3"/>
  <c r="L14" i="3"/>
  <c r="J22" i="3"/>
  <c r="J15" i="3"/>
  <c r="J23" i="3"/>
  <c r="O8" i="3"/>
  <c r="J16" i="3"/>
  <c r="K9" i="3"/>
  <c r="J17" i="3"/>
  <c r="J7" i="3"/>
  <c r="K7" i="3" s="1"/>
  <c r="M19" i="3"/>
  <c r="N19" i="3"/>
  <c r="P19" i="3"/>
  <c r="M20" i="3"/>
  <c r="N20" i="3"/>
  <c r="P20" i="3"/>
  <c r="L24" i="3"/>
  <c r="M24" i="3"/>
  <c r="N24" i="3"/>
  <c r="O24" i="3"/>
  <c r="P24" i="3"/>
  <c r="M25" i="3"/>
  <c r="N25" i="3"/>
  <c r="P25" i="3"/>
  <c r="L26" i="3"/>
  <c r="M26" i="3"/>
  <c r="N26" i="3"/>
  <c r="O26" i="3"/>
  <c r="P26" i="3"/>
  <c r="L27" i="3"/>
  <c r="N27" i="3"/>
  <c r="O27" i="3"/>
  <c r="P27" i="3"/>
  <c r="L51" i="3"/>
  <c r="M51" i="3"/>
  <c r="N51" i="3"/>
  <c r="O51" i="3"/>
  <c r="P51" i="3"/>
  <c r="M52" i="3"/>
  <c r="N52" i="3"/>
  <c r="O52" i="3"/>
  <c r="P52" i="3"/>
  <c r="L55" i="3"/>
  <c r="M55" i="3"/>
  <c r="N55" i="3"/>
  <c r="O55" i="3"/>
  <c r="P55" i="3"/>
  <c r="L58" i="3"/>
  <c r="M58" i="3"/>
  <c r="N58" i="3"/>
  <c r="O58" i="3"/>
  <c r="P58" i="3"/>
  <c r="L59" i="3"/>
  <c r="M59" i="3"/>
  <c r="N59" i="3"/>
  <c r="O59" i="3"/>
  <c r="P59" i="3"/>
  <c r="L61" i="3"/>
  <c r="M61" i="3"/>
  <c r="N61" i="3"/>
  <c r="O61" i="3"/>
  <c r="P61" i="3"/>
  <c r="L62" i="3"/>
  <c r="M62" i="3"/>
  <c r="N62" i="3"/>
  <c r="O62" i="3"/>
  <c r="P62" i="3"/>
  <c r="L66" i="3"/>
  <c r="M66" i="3"/>
  <c r="N66" i="3"/>
  <c r="O66" i="3"/>
  <c r="P66" i="3"/>
  <c r="L67" i="3"/>
  <c r="M67" i="3"/>
  <c r="N67" i="3"/>
  <c r="O67" i="3"/>
  <c r="P67" i="3"/>
  <c r="L74" i="3"/>
  <c r="M74" i="3"/>
  <c r="N74" i="3"/>
  <c r="L89" i="3"/>
  <c r="M89" i="3"/>
  <c r="N89" i="3"/>
  <c r="O89" i="3"/>
  <c r="P89" i="3"/>
  <c r="M99" i="3"/>
  <c r="N99" i="3"/>
  <c r="P99" i="3"/>
  <c r="M129" i="3"/>
  <c r="P129" i="3"/>
  <c r="L130" i="3"/>
  <c r="M130" i="3"/>
  <c r="O130" i="3"/>
  <c r="M145" i="3"/>
  <c r="N145" i="3"/>
  <c r="O145" i="3"/>
  <c r="P145" i="3"/>
  <c r="L186" i="3"/>
  <c r="M186" i="3"/>
  <c r="N186" i="3"/>
  <c r="O186" i="3"/>
  <c r="P186" i="3"/>
  <c r="M217" i="3"/>
  <c r="N217" i="3"/>
  <c r="O217" i="3"/>
  <c r="P217" i="3"/>
  <c r="L218" i="3"/>
  <c r="M218" i="3"/>
  <c r="N225" i="3"/>
  <c r="M227" i="3"/>
  <c r="N227" i="3"/>
  <c r="O227" i="3"/>
  <c r="P227" i="3"/>
  <c r="L281" i="3"/>
  <c r="O281" i="3"/>
  <c r="P281" i="3"/>
  <c r="L289" i="3"/>
  <c r="M291" i="3"/>
  <c r="P291" i="3"/>
  <c r="L293" i="3"/>
  <c r="M293" i="3"/>
  <c r="N293" i="3"/>
  <c r="O293" i="3"/>
  <c r="P293" i="3"/>
  <c r="L301" i="3"/>
  <c r="L307" i="3"/>
  <c r="M307" i="3"/>
  <c r="N307" i="3"/>
  <c r="O307" i="3"/>
  <c r="P307" i="3"/>
  <c r="L314" i="3"/>
  <c r="M314" i="3"/>
  <c r="N314" i="3"/>
  <c r="O314" i="3"/>
  <c r="P314" i="3"/>
  <c r="L318" i="3"/>
  <c r="M318" i="3"/>
  <c r="N318" i="3"/>
  <c r="O318" i="3"/>
  <c r="P318" i="3"/>
  <c r="L319" i="3"/>
  <c r="M319" i="3"/>
  <c r="N319" i="3"/>
  <c r="O319" i="3"/>
  <c r="P319" i="3"/>
  <c r="L329" i="3"/>
  <c r="M329" i="3"/>
  <c r="N329" i="3"/>
  <c r="O329" i="3"/>
  <c r="P329" i="3"/>
  <c r="L330" i="3"/>
  <c r="O330" i="3"/>
  <c r="P330" i="3"/>
  <c r="L345" i="3"/>
  <c r="M345" i="3"/>
  <c r="N345" i="3"/>
  <c r="O345" i="3"/>
  <c r="L346" i="3"/>
  <c r="P352" i="3"/>
  <c r="N353" i="3"/>
  <c r="O379" i="3"/>
  <c r="P379" i="3"/>
  <c r="O408" i="3"/>
  <c r="L409" i="3"/>
  <c r="O409" i="3"/>
  <c r="P409" i="3"/>
  <c r="L410" i="3"/>
  <c r="L417" i="3"/>
  <c r="L427" i="3"/>
  <c r="M427" i="3"/>
  <c r="N427" i="3"/>
  <c r="O427" i="3"/>
  <c r="P427" i="3"/>
  <c r="M430" i="3"/>
  <c r="L434" i="3"/>
  <c r="M434" i="3"/>
  <c r="N434" i="3"/>
  <c r="O434" i="3"/>
  <c r="P434" i="3"/>
  <c r="L461" i="3"/>
  <c r="M461" i="3"/>
  <c r="N461" i="3"/>
  <c r="O461" i="3"/>
  <c r="P461" i="3"/>
  <c r="N471" i="3"/>
  <c r="L472" i="3"/>
  <c r="M472" i="3"/>
  <c r="N472" i="3"/>
  <c r="O472" i="3"/>
  <c r="P472" i="3"/>
  <c r="M502" i="3"/>
  <c r="P503" i="3"/>
  <c r="L563" i="3"/>
  <c r="M563" i="3"/>
  <c r="N563" i="3"/>
  <c r="O563" i="3"/>
  <c r="P563" i="3"/>
  <c r="O564" i="3"/>
  <c r="L581" i="3"/>
  <c r="M581" i="3"/>
  <c r="N581" i="3"/>
  <c r="O581" i="3"/>
  <c r="P581" i="3"/>
  <c r="L602" i="3"/>
  <c r="M602" i="3"/>
  <c r="N602" i="3"/>
  <c r="O602" i="3"/>
  <c r="P602" i="3"/>
  <c r="L603" i="3"/>
  <c r="M603" i="3"/>
  <c r="N603" i="3"/>
  <c r="O603" i="3"/>
  <c r="P603" i="3"/>
  <c r="O622" i="3"/>
  <c r="L623" i="3"/>
  <c r="M623" i="3"/>
  <c r="N623" i="3"/>
  <c r="O623" i="3"/>
  <c r="P623" i="3"/>
  <c r="L625" i="3"/>
  <c r="M625" i="3"/>
  <c r="L637" i="3"/>
  <c r="M637" i="3"/>
  <c r="N637" i="3"/>
  <c r="O637" i="3"/>
  <c r="P637" i="3"/>
  <c r="L638" i="3"/>
  <c r="M638" i="3"/>
  <c r="N638" i="3"/>
  <c r="O638" i="3"/>
  <c r="P638" i="3"/>
  <c r="M639" i="3"/>
  <c r="N639" i="3"/>
  <c r="L663" i="3"/>
  <c r="M663" i="3"/>
  <c r="N663" i="3"/>
  <c r="O663" i="3"/>
  <c r="P663" i="3"/>
  <c r="L665" i="3"/>
  <c r="M665" i="3"/>
  <c r="N665" i="3"/>
  <c r="O665" i="3"/>
  <c r="P665" i="3"/>
  <c r="L689" i="3"/>
  <c r="M689" i="3"/>
  <c r="N689" i="3"/>
  <c r="O689" i="3"/>
  <c r="P689" i="3"/>
  <c r="L690" i="3"/>
  <c r="M690" i="3"/>
  <c r="N690" i="3"/>
  <c r="O690" i="3"/>
  <c r="P690" i="3"/>
  <c r="L691" i="3"/>
  <c r="M691" i="3"/>
  <c r="N691" i="3"/>
  <c r="O691" i="3"/>
  <c r="P691" i="3"/>
  <c r="L716" i="3"/>
  <c r="M716" i="3"/>
  <c r="N716" i="3"/>
  <c r="O716" i="3"/>
  <c r="P716" i="3"/>
  <c r="L717" i="3"/>
  <c r="M717" i="3"/>
  <c r="N717" i="3"/>
  <c r="O717" i="3"/>
  <c r="P717" i="3"/>
  <c r="K24" i="3"/>
  <c r="K25" i="3"/>
  <c r="K26" i="3"/>
  <c r="K27" i="3"/>
  <c r="K51" i="3"/>
  <c r="K52" i="3"/>
  <c r="K55" i="3"/>
  <c r="K58" i="3"/>
  <c r="K59" i="3"/>
  <c r="K61" i="3"/>
  <c r="K62" i="3"/>
  <c r="K66" i="3"/>
  <c r="K67" i="3"/>
  <c r="K74" i="3"/>
  <c r="K89" i="3"/>
  <c r="K130" i="3"/>
  <c r="K145" i="3"/>
  <c r="K186" i="3"/>
  <c r="K217" i="3"/>
  <c r="K218" i="3"/>
  <c r="K275" i="3"/>
  <c r="K291" i="3"/>
  <c r="K293" i="3"/>
  <c r="K307" i="3"/>
  <c r="K312" i="3"/>
  <c r="K314" i="3"/>
  <c r="K318" i="3"/>
  <c r="K319" i="3"/>
  <c r="K329" i="3"/>
  <c r="K330" i="3"/>
  <c r="K345" i="3"/>
  <c r="K349" i="3"/>
  <c r="K408" i="3"/>
  <c r="K427" i="3"/>
  <c r="K434" i="3"/>
  <c r="K461" i="3"/>
  <c r="K472" i="3"/>
  <c r="K563" i="3"/>
  <c r="K581" i="3"/>
  <c r="K602" i="3"/>
  <c r="K603" i="3"/>
  <c r="K622" i="3"/>
  <c r="K623" i="3"/>
  <c r="K637" i="3"/>
  <c r="K638" i="3"/>
  <c r="K663" i="3"/>
  <c r="K665" i="3"/>
  <c r="K689" i="3"/>
  <c r="K690" i="3"/>
  <c r="K691" i="3"/>
  <c r="K716" i="3"/>
  <c r="K717" i="3"/>
  <c r="K19" i="3"/>
  <c r="K20" i="3"/>
  <c r="N617" i="3" l="1"/>
  <c r="N689" i="5"/>
  <c r="L689" i="5"/>
  <c r="P689" i="5"/>
  <c r="M689" i="5"/>
  <c r="O689" i="5"/>
  <c r="K689" i="5"/>
  <c r="M6" i="3"/>
  <c r="K6" i="3"/>
  <c r="P90" i="3"/>
  <c r="M466" i="3"/>
  <c r="O129" i="3"/>
  <c r="N129" i="3"/>
  <c r="K129" i="3"/>
  <c r="O99" i="3"/>
  <c r="K112" i="3"/>
  <c r="P101" i="3"/>
  <c r="L101" i="3"/>
  <c r="N454" i="3"/>
  <c r="O275" i="3"/>
  <c r="N275" i="3"/>
  <c r="L275" i="3"/>
  <c r="M270" i="3"/>
  <c r="K239" i="3"/>
  <c r="M275" i="3"/>
  <c r="K169" i="3"/>
  <c r="P169" i="3"/>
  <c r="P510" i="3"/>
  <c r="O270" i="3"/>
  <c r="K270" i="3"/>
  <c r="O510" i="3"/>
  <c r="P295" i="3"/>
  <c r="L277" i="3"/>
  <c r="N270" i="3"/>
  <c r="L149" i="3"/>
  <c r="L270" i="3"/>
  <c r="O76" i="3"/>
  <c r="L359" i="3"/>
  <c r="P92" i="3"/>
  <c r="P277" i="3"/>
  <c r="P149" i="3"/>
  <c r="O92" i="3"/>
  <c r="N76" i="3"/>
  <c r="K510" i="3"/>
  <c r="O277" i="3"/>
  <c r="O149" i="3"/>
  <c r="K277" i="3"/>
  <c r="K149" i="3"/>
  <c r="N277" i="3"/>
  <c r="N149" i="3"/>
  <c r="M205" i="3"/>
  <c r="L75" i="3"/>
  <c r="K205" i="3"/>
  <c r="M370" i="3"/>
  <c r="M252" i="3"/>
  <c r="K203" i="3"/>
  <c r="K110" i="3"/>
  <c r="L454" i="3"/>
  <c r="L370" i="3"/>
  <c r="N246" i="3"/>
  <c r="L205" i="3"/>
  <c r="L112" i="3"/>
  <c r="K370" i="3"/>
  <c r="P203" i="3"/>
  <c r="O110" i="3"/>
  <c r="P269" i="3"/>
  <c r="L110" i="3"/>
  <c r="K269" i="3"/>
  <c r="K300" i="3"/>
  <c r="P75" i="3"/>
  <c r="K75" i="3"/>
  <c r="P279" i="3"/>
  <c r="O203" i="3"/>
  <c r="O269" i="3"/>
  <c r="N203" i="3"/>
  <c r="P180" i="3"/>
  <c r="P370" i="3"/>
  <c r="N269" i="3"/>
  <c r="P205" i="3"/>
  <c r="M203" i="3"/>
  <c r="O75" i="3"/>
  <c r="K454" i="3"/>
  <c r="K44" i="3"/>
  <c r="O370" i="3"/>
  <c r="M269" i="3"/>
  <c r="O205" i="3"/>
  <c r="P151" i="3"/>
  <c r="N75" i="3"/>
  <c r="K286" i="3"/>
  <c r="K214" i="3"/>
  <c r="M151" i="3"/>
  <c r="L246" i="3"/>
  <c r="K246" i="3"/>
  <c r="K182" i="3"/>
  <c r="P454" i="3"/>
  <c r="O422" i="3"/>
  <c r="N312" i="3"/>
  <c r="P300" i="3"/>
  <c r="O291" i="3"/>
  <c r="O90" i="3"/>
  <c r="K180" i="3"/>
  <c r="O617" i="3"/>
  <c r="O454" i="3"/>
  <c r="N422" i="3"/>
  <c r="M312" i="3"/>
  <c r="N291" i="3"/>
  <c r="P130" i="3"/>
  <c r="M410" i="3"/>
  <c r="L349" i="3"/>
  <c r="L180" i="3"/>
  <c r="M112" i="3"/>
  <c r="N102" i="3"/>
  <c r="K227" i="3"/>
  <c r="K101" i="3"/>
  <c r="N409" i="3"/>
  <c r="N330" i="3"/>
  <c r="P325" i="3"/>
  <c r="N281" i="3"/>
  <c r="M254" i="3"/>
  <c r="O101" i="3"/>
  <c r="L99" i="3"/>
  <c r="P382" i="3"/>
  <c r="K409" i="3"/>
  <c r="K281" i="3"/>
  <c r="N214" i="3"/>
  <c r="N101" i="3"/>
  <c r="P74" i="3"/>
  <c r="N308" i="3"/>
  <c r="K325" i="3"/>
  <c r="K383" i="3"/>
  <c r="K254" i="3"/>
  <c r="N325" i="3"/>
  <c r="O299" i="3"/>
  <c r="L248" i="3"/>
  <c r="P131" i="3"/>
  <c r="K299" i="3"/>
  <c r="K131" i="3"/>
  <c r="O382" i="3"/>
  <c r="O325" i="3"/>
  <c r="M102" i="3"/>
  <c r="L308" i="3"/>
  <c r="P383" i="3"/>
  <c r="N299" i="3"/>
  <c r="L102" i="3"/>
  <c r="O383" i="3"/>
  <c r="N383" i="3"/>
  <c r="M299" i="3"/>
  <c r="P254" i="3"/>
  <c r="N131" i="3"/>
  <c r="M308" i="3"/>
  <c r="P299" i="3"/>
  <c r="M382" i="3"/>
  <c r="L382" i="3"/>
  <c r="O131" i="3"/>
  <c r="M383" i="3"/>
  <c r="P308" i="3"/>
  <c r="O254" i="3"/>
  <c r="M236" i="3"/>
  <c r="M131" i="3"/>
  <c r="P102" i="3"/>
  <c r="L254" i="3"/>
  <c r="N382" i="3"/>
  <c r="M325" i="3"/>
  <c r="K308" i="3"/>
  <c r="K102" i="3"/>
  <c r="L247" i="3"/>
  <c r="K371" i="3"/>
  <c r="K248" i="3"/>
  <c r="O371" i="3"/>
  <c r="O214" i="3"/>
  <c r="N371" i="3"/>
  <c r="O271" i="3"/>
  <c r="P371" i="3"/>
  <c r="K247" i="3"/>
  <c r="P468" i="3"/>
  <c r="M371" i="3"/>
  <c r="P248" i="3"/>
  <c r="M276" i="3"/>
  <c r="O248" i="3"/>
  <c r="N248" i="3"/>
  <c r="O381" i="3"/>
  <c r="L214" i="3"/>
  <c r="P182" i="3"/>
  <c r="O182" i="3"/>
  <c r="O180" i="3"/>
  <c r="P112" i="3"/>
  <c r="P246" i="3"/>
  <c r="N180" i="3"/>
  <c r="O112" i="3"/>
  <c r="O246" i="3"/>
  <c r="L244" i="3"/>
  <c r="L172" i="3"/>
  <c r="N126" i="3"/>
  <c r="N103" i="3"/>
  <c r="P156" i="3"/>
  <c r="O156" i="3"/>
  <c r="N156" i="3"/>
  <c r="M100" i="3"/>
  <c r="L156" i="3"/>
  <c r="K156" i="3"/>
  <c r="K103" i="3"/>
  <c r="K346" i="3"/>
  <c r="P617" i="3"/>
  <c r="N410" i="3"/>
  <c r="M346" i="3"/>
  <c r="L282" i="3"/>
  <c r="N218" i="3"/>
  <c r="M617" i="3"/>
  <c r="O169" i="3"/>
  <c r="N90" i="3"/>
  <c r="K617" i="3"/>
  <c r="N348" i="3"/>
  <c r="P282" i="3"/>
  <c r="N169" i="3"/>
  <c r="M90" i="3"/>
  <c r="P346" i="3"/>
  <c r="O282" i="3"/>
  <c r="M169" i="3"/>
  <c r="L90" i="3"/>
  <c r="K410" i="3"/>
  <c r="K282" i="3"/>
  <c r="P410" i="3"/>
  <c r="O346" i="3"/>
  <c r="N282" i="3"/>
  <c r="P218" i="3"/>
  <c r="L320" i="3"/>
  <c r="P104" i="3"/>
  <c r="O228" i="3"/>
  <c r="P460" i="3"/>
  <c r="P317" i="3"/>
  <c r="O239" i="3"/>
  <c r="N170" i="3"/>
  <c r="M126" i="3"/>
  <c r="O111" i="3"/>
  <c r="M103" i="3"/>
  <c r="L100" i="3"/>
  <c r="O460" i="3"/>
  <c r="O317" i="3"/>
  <c r="M239" i="3"/>
  <c r="L126" i="3"/>
  <c r="N111" i="3"/>
  <c r="L103" i="3"/>
  <c r="M445" i="3"/>
  <c r="L239" i="3"/>
  <c r="O125" i="3"/>
  <c r="K172" i="3"/>
  <c r="K100" i="3"/>
  <c r="K125" i="3"/>
  <c r="L445" i="3"/>
  <c r="P331" i="3"/>
  <c r="P244" i="3"/>
  <c r="P187" i="3"/>
  <c r="P172" i="3"/>
  <c r="K317" i="3"/>
  <c r="M317" i="3"/>
  <c r="K331" i="3"/>
  <c r="L460" i="3"/>
  <c r="O331" i="3"/>
  <c r="O244" i="3"/>
  <c r="L187" i="3"/>
  <c r="M182" i="3"/>
  <c r="O172" i="3"/>
  <c r="P100" i="3"/>
  <c r="K126" i="3"/>
  <c r="N460" i="3"/>
  <c r="M460" i="3"/>
  <c r="K111" i="3"/>
  <c r="M331" i="3"/>
  <c r="P253" i="3"/>
  <c r="N244" i="3"/>
  <c r="P214" i="3"/>
  <c r="L182" i="3"/>
  <c r="N172" i="3"/>
  <c r="P126" i="3"/>
  <c r="P103" i="3"/>
  <c r="O100" i="3"/>
  <c r="K381" i="3"/>
  <c r="K244" i="3"/>
  <c r="K187" i="3"/>
  <c r="N253" i="3"/>
  <c r="L431" i="3"/>
  <c r="P348" i="3"/>
  <c r="K223" i="3"/>
  <c r="O348" i="3"/>
  <c r="L347" i="3"/>
  <c r="M320" i="3"/>
  <c r="P228" i="3"/>
  <c r="N228" i="3"/>
  <c r="O104" i="3"/>
  <c r="M348" i="3"/>
  <c r="P431" i="3"/>
  <c r="L348" i="3"/>
  <c r="M228" i="3"/>
  <c r="P223" i="3"/>
  <c r="N104" i="3"/>
  <c r="O431" i="3"/>
  <c r="P347" i="3"/>
  <c r="L228" i="3"/>
  <c r="O223" i="3"/>
  <c r="M104" i="3"/>
  <c r="N446" i="3"/>
  <c r="K320" i="3"/>
  <c r="N431" i="3"/>
  <c r="O347" i="3"/>
  <c r="P320" i="3"/>
  <c r="N223" i="3"/>
  <c r="L104" i="3"/>
  <c r="K347" i="3"/>
  <c r="M431" i="3"/>
  <c r="N347" i="3"/>
  <c r="O320" i="3"/>
  <c r="M223" i="3"/>
  <c r="P479" i="3"/>
  <c r="P380" i="3"/>
  <c r="K302" i="3"/>
  <c r="P564" i="3"/>
  <c r="O446" i="3"/>
  <c r="N380" i="3"/>
  <c r="L302" i="3"/>
  <c r="O128" i="3"/>
  <c r="L446" i="3"/>
  <c r="P326" i="3"/>
  <c r="O326" i="3"/>
  <c r="N226" i="3"/>
  <c r="O480" i="3"/>
  <c r="K480" i="3"/>
  <c r="N480" i="3"/>
  <c r="N326" i="3"/>
  <c r="M226" i="3"/>
  <c r="K380" i="3"/>
  <c r="K479" i="3"/>
  <c r="M480" i="3"/>
  <c r="O304" i="3"/>
  <c r="N216" i="3"/>
  <c r="N304" i="3"/>
  <c r="P215" i="3"/>
  <c r="K305" i="3"/>
  <c r="K215" i="3"/>
  <c r="K128" i="3"/>
  <c r="L479" i="3"/>
  <c r="P446" i="3"/>
  <c r="O380" i="3"/>
  <c r="M304" i="3"/>
  <c r="O215" i="3"/>
  <c r="N564" i="3"/>
  <c r="L480" i="3"/>
  <c r="M446" i="3"/>
  <c r="P381" i="3"/>
  <c r="M380" i="3"/>
  <c r="N331" i="3"/>
  <c r="M326" i="3"/>
  <c r="N317" i="3"/>
  <c r="L304" i="3"/>
  <c r="O253" i="3"/>
  <c r="N215" i="3"/>
  <c r="N128" i="3"/>
  <c r="P125" i="3"/>
  <c r="K326" i="3"/>
  <c r="M564" i="3"/>
  <c r="N419" i="3"/>
  <c r="P302" i="3"/>
  <c r="M215" i="3"/>
  <c r="K564" i="3"/>
  <c r="K253" i="3"/>
  <c r="O479" i="3"/>
  <c r="P445" i="3"/>
  <c r="N381" i="3"/>
  <c r="O302" i="3"/>
  <c r="M253" i="3"/>
  <c r="O187" i="3"/>
  <c r="L128" i="3"/>
  <c r="N125" i="3"/>
  <c r="N187" i="3"/>
  <c r="M125" i="3"/>
  <c r="M128" i="3"/>
  <c r="N479" i="3"/>
  <c r="O445" i="3"/>
  <c r="M381" i="3"/>
  <c r="N302" i="3"/>
  <c r="K445" i="3"/>
  <c r="K304" i="3"/>
  <c r="K235" i="3"/>
  <c r="L606" i="3"/>
  <c r="M470" i="3"/>
  <c r="M422" i="3"/>
  <c r="N354" i="3"/>
  <c r="L312" i="3"/>
  <c r="K606" i="3"/>
  <c r="P324" i="3"/>
  <c r="P287" i="3"/>
  <c r="L422" i="3"/>
  <c r="P224" i="3"/>
  <c r="K433" i="3"/>
  <c r="K303" i="3"/>
  <c r="P305" i="3"/>
  <c r="P240" i="3"/>
  <c r="P604" i="3"/>
  <c r="M354" i="3"/>
  <c r="P582" i="3"/>
  <c r="P312" i="3"/>
  <c r="O305" i="3"/>
  <c r="P433" i="3"/>
  <c r="K422" i="3"/>
  <c r="K301" i="3"/>
  <c r="P171" i="3"/>
  <c r="M604" i="3"/>
  <c r="P355" i="3"/>
  <c r="L323" i="3"/>
  <c r="P303" i="3"/>
  <c r="P272" i="3"/>
  <c r="K355" i="3"/>
  <c r="P432" i="3"/>
  <c r="O355" i="3"/>
  <c r="K501" i="3"/>
  <c r="K240" i="3"/>
  <c r="M355" i="3"/>
  <c r="L355" i="3"/>
  <c r="O234" i="3"/>
  <c r="K309" i="3"/>
  <c r="K234" i="3"/>
  <c r="K430" i="3"/>
  <c r="K353" i="3"/>
  <c r="O604" i="3"/>
  <c r="L470" i="3"/>
  <c r="L430" i="3"/>
  <c r="M353" i="3"/>
  <c r="O303" i="3"/>
  <c r="N280" i="3"/>
  <c r="L245" i="3"/>
  <c r="O240" i="3"/>
  <c r="P225" i="3"/>
  <c r="O151" i="3"/>
  <c r="N110" i="3"/>
  <c r="K284" i="3"/>
  <c r="N622" i="3"/>
  <c r="K607" i="3"/>
  <c r="K428" i="3"/>
  <c r="K352" i="3"/>
  <c r="M622" i="3"/>
  <c r="P607" i="3"/>
  <c r="N604" i="3"/>
  <c r="P428" i="3"/>
  <c r="L353" i="3"/>
  <c r="N303" i="3"/>
  <c r="P284" i="3"/>
  <c r="M280" i="3"/>
  <c r="N240" i="3"/>
  <c r="O225" i="3"/>
  <c r="N151" i="3"/>
  <c r="P111" i="3"/>
  <c r="M110" i="3"/>
  <c r="O607" i="3"/>
  <c r="O428" i="3"/>
  <c r="M303" i="3"/>
  <c r="O284" i="3"/>
  <c r="K279" i="3"/>
  <c r="L604" i="3"/>
  <c r="N428" i="3"/>
  <c r="O426" i="3"/>
  <c r="O362" i="3"/>
  <c r="O352" i="3"/>
  <c r="O279" i="3"/>
  <c r="O272" i="3"/>
  <c r="M170" i="3"/>
  <c r="N284" i="3"/>
  <c r="L240" i="3"/>
  <c r="N234" i="3"/>
  <c r="M225" i="3"/>
  <c r="L151" i="3"/>
  <c r="K417" i="3"/>
  <c r="M607" i="3"/>
  <c r="O565" i="3"/>
  <c r="P470" i="3"/>
  <c r="N432" i="3"/>
  <c r="P430" i="3"/>
  <c r="M428" i="3"/>
  <c r="N426" i="3"/>
  <c r="O417" i="3"/>
  <c r="N362" i="3"/>
  <c r="N352" i="3"/>
  <c r="O289" i="3"/>
  <c r="M284" i="3"/>
  <c r="N279" i="3"/>
  <c r="N272" i="3"/>
  <c r="P239" i="3"/>
  <c r="L225" i="3"/>
  <c r="M111" i="3"/>
  <c r="L622" i="3"/>
  <c r="P618" i="3"/>
  <c r="O470" i="3"/>
  <c r="M432" i="3"/>
  <c r="N417" i="3"/>
  <c r="P353" i="3"/>
  <c r="M352" i="3"/>
  <c r="N289" i="3"/>
  <c r="M279" i="3"/>
  <c r="M272" i="3"/>
  <c r="N607" i="3"/>
  <c r="O501" i="3"/>
  <c r="O432" i="3"/>
  <c r="P417" i="3"/>
  <c r="P289" i="3"/>
  <c r="O430" i="3"/>
  <c r="K470" i="3"/>
  <c r="K432" i="3"/>
  <c r="K362" i="3"/>
  <c r="K289" i="3"/>
  <c r="K272" i="3"/>
  <c r="M323" i="3"/>
  <c r="N243" i="3"/>
  <c r="M155" i="3"/>
  <c r="M243" i="3"/>
  <c r="K245" i="3"/>
  <c r="L639" i="3"/>
  <c r="P624" i="3"/>
  <c r="N510" i="3"/>
  <c r="M501" i="3"/>
  <c r="O433" i="3"/>
  <c r="M426" i="3"/>
  <c r="M419" i="3"/>
  <c r="M408" i="3"/>
  <c r="N379" i="3"/>
  <c r="M362" i="3"/>
  <c r="L354" i="3"/>
  <c r="P332" i="3"/>
  <c r="N324" i="3"/>
  <c r="O309" i="3"/>
  <c r="N305" i="3"/>
  <c r="M300" i="3"/>
  <c r="O295" i="3"/>
  <c r="P290" i="3"/>
  <c r="M271" i="3"/>
  <c r="L243" i="3"/>
  <c r="P235" i="3"/>
  <c r="M234" i="3"/>
  <c r="L226" i="3"/>
  <c r="L224" i="3"/>
  <c r="M204" i="3"/>
  <c r="P181" i="3"/>
  <c r="O171" i="3"/>
  <c r="L170" i="3"/>
  <c r="N92" i="3"/>
  <c r="M76" i="3"/>
  <c r="O44" i="3"/>
  <c r="L236" i="3"/>
  <c r="M224" i="3"/>
  <c r="K618" i="3"/>
  <c r="K426" i="3"/>
  <c r="K323" i="3"/>
  <c r="K271" i="3"/>
  <c r="K127" i="3"/>
  <c r="K76" i="3"/>
  <c r="O618" i="3"/>
  <c r="M565" i="3"/>
  <c r="K639" i="3"/>
  <c r="K580" i="3"/>
  <c r="K354" i="3"/>
  <c r="K332" i="3"/>
  <c r="K295" i="3"/>
  <c r="K181" i="3"/>
  <c r="O624" i="3"/>
  <c r="N618" i="3"/>
  <c r="P608" i="3"/>
  <c r="P580" i="3"/>
  <c r="L565" i="3"/>
  <c r="M510" i="3"/>
  <c r="L501" i="3"/>
  <c r="N433" i="3"/>
  <c r="L426" i="3"/>
  <c r="P418" i="3"/>
  <c r="L408" i="3"/>
  <c r="M379" i="3"/>
  <c r="L362" i="3"/>
  <c r="O332" i="3"/>
  <c r="M324" i="3"/>
  <c r="N313" i="3"/>
  <c r="N309" i="3"/>
  <c r="M305" i="3"/>
  <c r="L300" i="3"/>
  <c r="N295" i="3"/>
  <c r="O290" i="3"/>
  <c r="L271" i="3"/>
  <c r="O235" i="3"/>
  <c r="L234" i="3"/>
  <c r="L204" i="3"/>
  <c r="N185" i="3"/>
  <c r="O181" i="3"/>
  <c r="N171" i="3"/>
  <c r="L150" i="3"/>
  <c r="L127" i="3"/>
  <c r="P98" i="3"/>
  <c r="M92" i="3"/>
  <c r="L76" i="3"/>
  <c r="N44" i="3"/>
  <c r="N408" i="3"/>
  <c r="N624" i="3"/>
  <c r="M618" i="3"/>
  <c r="O580" i="3"/>
  <c r="M433" i="3"/>
  <c r="O418" i="3"/>
  <c r="L379" i="3"/>
  <c r="P359" i="3"/>
  <c r="N332" i="3"/>
  <c r="L324" i="3"/>
  <c r="M309" i="3"/>
  <c r="P301" i="3"/>
  <c r="M295" i="3"/>
  <c r="N290" i="3"/>
  <c r="P245" i="3"/>
  <c r="N235" i="3"/>
  <c r="L183" i="3"/>
  <c r="N181" i="3"/>
  <c r="M171" i="3"/>
  <c r="O98" i="3"/>
  <c r="L92" i="3"/>
  <c r="K324" i="3"/>
  <c r="K183" i="3"/>
  <c r="N565" i="3"/>
  <c r="N501" i="3"/>
  <c r="N271" i="3"/>
  <c r="K565" i="3"/>
  <c r="K294" i="3"/>
  <c r="K243" i="3"/>
  <c r="O608" i="3"/>
  <c r="K280" i="3"/>
  <c r="K204" i="3"/>
  <c r="K132" i="3"/>
  <c r="P625" i="3"/>
  <c r="M624" i="3"/>
  <c r="N608" i="3"/>
  <c r="N580" i="3"/>
  <c r="N418" i="3"/>
  <c r="O359" i="3"/>
  <c r="M332" i="3"/>
  <c r="P323" i="3"/>
  <c r="L309" i="3"/>
  <c r="O301" i="3"/>
  <c r="M290" i="3"/>
  <c r="N286" i="3"/>
  <c r="O245" i="3"/>
  <c r="P236" i="3"/>
  <c r="M235" i="3"/>
  <c r="M181" i="3"/>
  <c r="L171" i="3"/>
  <c r="N98" i="3"/>
  <c r="K608" i="3"/>
  <c r="K625" i="3"/>
  <c r="K224" i="3"/>
  <c r="N359" i="3"/>
  <c r="P354" i="3"/>
  <c r="O323" i="3"/>
  <c r="N301" i="3"/>
  <c r="P294" i="3"/>
  <c r="L290" i="3"/>
  <c r="M286" i="3"/>
  <c r="N245" i="3"/>
  <c r="P243" i="3"/>
  <c r="O236" i="3"/>
  <c r="P226" i="3"/>
  <c r="P170" i="3"/>
  <c r="M132" i="3"/>
  <c r="M98" i="3"/>
  <c r="K359" i="3"/>
  <c r="K418" i="3"/>
  <c r="K226" i="3"/>
  <c r="K98" i="3"/>
  <c r="P639" i="3"/>
  <c r="O625" i="3"/>
  <c r="L624" i="3"/>
  <c r="M608" i="3"/>
  <c r="L580" i="3"/>
  <c r="P532" i="3"/>
  <c r="M418" i="3"/>
  <c r="K532" i="3"/>
  <c r="K236" i="3"/>
  <c r="K170" i="3"/>
  <c r="O532" i="3"/>
  <c r="O294" i="3"/>
  <c r="L286" i="3"/>
  <c r="P280" i="3"/>
  <c r="N532" i="3"/>
  <c r="L419" i="3"/>
  <c r="O300" i="3"/>
  <c r="N294" i="3"/>
  <c r="P286" i="3"/>
  <c r="L280" i="3"/>
  <c r="O224" i="3"/>
  <c r="P183" i="3"/>
  <c r="M44" i="3"/>
  <c r="K419" i="3"/>
  <c r="K150" i="3"/>
  <c r="M532" i="3"/>
  <c r="M294" i="3"/>
  <c r="O183" i="3"/>
  <c r="P132" i="3"/>
  <c r="L44" i="3"/>
  <c r="N183" i="3"/>
  <c r="O132" i="3"/>
  <c r="P127" i="3"/>
  <c r="P204" i="3"/>
  <c r="P150" i="3"/>
  <c r="N132" i="3"/>
  <c r="O127" i="3"/>
  <c r="P419" i="3"/>
  <c r="O204" i="3"/>
  <c r="O150" i="3"/>
  <c r="N127" i="3"/>
  <c r="M150" i="3"/>
  <c r="K664" i="3"/>
  <c r="K447" i="3"/>
  <c r="K146" i="3"/>
  <c r="P664" i="3"/>
  <c r="O582" i="3"/>
  <c r="O503" i="3"/>
  <c r="L502" i="3"/>
  <c r="M471" i="3"/>
  <c r="O468" i="3"/>
  <c r="L466" i="3"/>
  <c r="P447" i="3"/>
  <c r="M313" i="3"/>
  <c r="O287" i="3"/>
  <c r="L276" i="3"/>
  <c r="L252" i="3"/>
  <c r="M216" i="3"/>
  <c r="M185" i="3"/>
  <c r="L155" i="3"/>
  <c r="P146" i="3"/>
  <c r="P40" i="3"/>
  <c r="K185" i="3"/>
  <c r="O664" i="3"/>
  <c r="P636" i="3"/>
  <c r="N582" i="3"/>
  <c r="N503" i="3"/>
  <c r="L471" i="3"/>
  <c r="N468" i="3"/>
  <c r="O447" i="3"/>
  <c r="L313" i="3"/>
  <c r="N287" i="3"/>
  <c r="P285" i="3"/>
  <c r="P249" i="3"/>
  <c r="L216" i="3"/>
  <c r="L185" i="3"/>
  <c r="O146" i="3"/>
  <c r="P91" i="3"/>
  <c r="O40" i="3"/>
  <c r="K471" i="3"/>
  <c r="K216" i="3"/>
  <c r="K620" i="3"/>
  <c r="K157" i="3"/>
  <c r="N664" i="3"/>
  <c r="O636" i="3"/>
  <c r="P620" i="3"/>
  <c r="M582" i="3"/>
  <c r="M503" i="3"/>
  <c r="M468" i="3"/>
  <c r="N447" i="3"/>
  <c r="M287" i="3"/>
  <c r="O285" i="3"/>
  <c r="O249" i="3"/>
  <c r="P157" i="3"/>
  <c r="N146" i="3"/>
  <c r="O91" i="3"/>
  <c r="N40" i="3"/>
  <c r="K313" i="3"/>
  <c r="K503" i="3"/>
  <c r="K287" i="3"/>
  <c r="M664" i="3"/>
  <c r="N636" i="3"/>
  <c r="O620" i="3"/>
  <c r="P606" i="3"/>
  <c r="L582" i="3"/>
  <c r="L468" i="3"/>
  <c r="M447" i="3"/>
  <c r="P349" i="3"/>
  <c r="N285" i="3"/>
  <c r="N249" i="3"/>
  <c r="P247" i="3"/>
  <c r="O157" i="3"/>
  <c r="M146" i="3"/>
  <c r="N91" i="3"/>
  <c r="M40" i="3"/>
  <c r="K502" i="3"/>
  <c r="K466" i="3"/>
  <c r="K276" i="3"/>
  <c r="K252" i="3"/>
  <c r="K155" i="3"/>
  <c r="M636" i="3"/>
  <c r="N620" i="3"/>
  <c r="O606" i="3"/>
  <c r="P502" i="3"/>
  <c r="P466" i="3"/>
  <c r="O349" i="3"/>
  <c r="M285" i="3"/>
  <c r="P276" i="3"/>
  <c r="P252" i="3"/>
  <c r="M249" i="3"/>
  <c r="O247" i="3"/>
  <c r="N157" i="3"/>
  <c r="P155" i="3"/>
  <c r="M91" i="3"/>
  <c r="K636" i="3"/>
  <c r="K285" i="3"/>
  <c r="K249" i="3"/>
  <c r="K91" i="3"/>
  <c r="K40" i="3"/>
  <c r="M620" i="3"/>
  <c r="N606" i="3"/>
  <c r="O502" i="3"/>
  <c r="P471" i="3"/>
  <c r="O466" i="3"/>
  <c r="N349" i="3"/>
  <c r="P313" i="3"/>
  <c r="O276" i="3"/>
  <c r="O252" i="3"/>
  <c r="N247" i="3"/>
  <c r="P216" i="3"/>
  <c r="P185" i="3"/>
  <c r="M157" i="3"/>
  <c r="O155" i="3"/>
  <c r="L45" i="3"/>
  <c r="N43" i="3"/>
  <c r="M43" i="3"/>
  <c r="K45" i="3"/>
  <c r="L43" i="3"/>
  <c r="P41" i="3"/>
  <c r="K43" i="3"/>
  <c r="P45" i="3"/>
  <c r="O41" i="3"/>
  <c r="K41" i="3"/>
  <c r="O45" i="3"/>
  <c r="N41" i="3"/>
  <c r="N45" i="3"/>
  <c r="P43" i="3"/>
  <c r="P54" i="3"/>
  <c r="O54" i="3"/>
  <c r="M41" i="3"/>
  <c r="N54" i="3"/>
  <c r="M54" i="3"/>
  <c r="K54" i="3"/>
  <c r="O25" i="3"/>
  <c r="O20" i="3"/>
  <c r="L19" i="3"/>
  <c r="K14" i="3"/>
  <c r="P14" i="3"/>
  <c r="O14" i="3"/>
  <c r="N14" i="3"/>
  <c r="M14" i="3"/>
  <c r="L6" i="3"/>
  <c r="L13" i="3"/>
  <c r="M13" i="3"/>
  <c r="N13" i="3"/>
  <c r="P13" i="3"/>
  <c r="O13" i="3"/>
  <c r="K13" i="3"/>
  <c r="P12" i="3"/>
  <c r="M12" i="3"/>
  <c r="N12" i="3"/>
  <c r="L12" i="3"/>
  <c r="O12" i="3"/>
  <c r="K12" i="3"/>
  <c r="L7" i="3"/>
  <c r="M7" i="3"/>
  <c r="O7" i="3"/>
  <c r="P7" i="3"/>
  <c r="P6" i="3"/>
  <c r="O6" i="3"/>
  <c r="M11" i="3"/>
  <c r="O11" i="3"/>
  <c r="P11" i="3"/>
  <c r="L11" i="3"/>
  <c r="O9" i="3"/>
  <c r="P9" i="3"/>
  <c r="L9" i="3"/>
  <c r="M9" i="3"/>
  <c r="N9" i="3"/>
  <c r="N8" i="3"/>
  <c r="M8" i="3"/>
  <c r="L8" i="3"/>
  <c r="P8" i="3"/>
  <c r="K8" i="3"/>
  <c r="H676" i="3"/>
  <c r="L688" i="3" l="1"/>
  <c r="O688" i="3"/>
  <c r="P688" i="3"/>
  <c r="M688" i="3"/>
  <c r="K688" i="3"/>
  <c r="N688" i="3"/>
  <c r="L680" i="3"/>
  <c r="P680" i="3"/>
  <c r="N680" i="3"/>
  <c r="K680" i="3"/>
  <c r="M680" i="3"/>
  <c r="O680" i="3"/>
  <c r="L672" i="3"/>
  <c r="O672" i="3"/>
  <c r="K672" i="3"/>
  <c r="M672" i="3"/>
  <c r="N672" i="3"/>
  <c r="P672" i="3"/>
  <c r="L715" i="3"/>
  <c r="M715" i="3"/>
  <c r="N715" i="3"/>
  <c r="K715" i="3"/>
  <c r="O715" i="3"/>
  <c r="P715" i="3"/>
  <c r="L707" i="3"/>
  <c r="M707" i="3"/>
  <c r="N707" i="3"/>
  <c r="O707" i="3"/>
  <c r="K707" i="3"/>
  <c r="P707" i="3"/>
  <c r="P698" i="3"/>
  <c r="K698" i="3"/>
  <c r="L698" i="3"/>
  <c r="O698" i="3"/>
  <c r="M698" i="3"/>
  <c r="N698" i="3"/>
  <c r="L693" i="3"/>
  <c r="K693" i="3"/>
  <c r="O693" i="3"/>
  <c r="P693" i="3"/>
  <c r="M693" i="3"/>
  <c r="N693" i="3"/>
  <c r="O679" i="3"/>
  <c r="P679" i="3"/>
  <c r="L679" i="3"/>
  <c r="M679" i="3"/>
  <c r="N679" i="3"/>
  <c r="K679" i="3"/>
  <c r="P714" i="3"/>
  <c r="O714" i="3"/>
  <c r="K714" i="3"/>
  <c r="M714" i="3"/>
  <c r="N714" i="3"/>
  <c r="L714" i="3"/>
  <c r="P706" i="3"/>
  <c r="K706" i="3"/>
  <c r="N706" i="3"/>
  <c r="L706" i="3"/>
  <c r="M706" i="3"/>
  <c r="O706" i="3"/>
  <c r="P701" i="3"/>
  <c r="K701" i="3"/>
  <c r="N701" i="3"/>
  <c r="M701" i="3"/>
  <c r="O701" i="3"/>
  <c r="L701" i="3"/>
  <c r="P666" i="3"/>
  <c r="K666" i="3"/>
  <c r="N666" i="3"/>
  <c r="L666" i="3"/>
  <c r="M666" i="3"/>
  <c r="O666" i="3"/>
  <c r="O687" i="3"/>
  <c r="P687" i="3"/>
  <c r="L687" i="3"/>
  <c r="K687" i="3"/>
  <c r="M687" i="3"/>
  <c r="N687" i="3"/>
  <c r="O671" i="3"/>
  <c r="P671" i="3"/>
  <c r="L671" i="3"/>
  <c r="M671" i="3"/>
  <c r="N671" i="3"/>
  <c r="K671" i="3"/>
  <c r="L678" i="3"/>
  <c r="M678" i="3"/>
  <c r="N678" i="3"/>
  <c r="O678" i="3"/>
  <c r="P678" i="3"/>
  <c r="K678" i="3"/>
  <c r="L670" i="3"/>
  <c r="M670" i="3"/>
  <c r="N670" i="3"/>
  <c r="O670" i="3"/>
  <c r="P670" i="3"/>
  <c r="K670" i="3"/>
  <c r="M713" i="3"/>
  <c r="N713" i="3"/>
  <c r="O713" i="3"/>
  <c r="L713" i="3"/>
  <c r="K713" i="3"/>
  <c r="P713" i="3"/>
  <c r="M697" i="3"/>
  <c r="N697" i="3"/>
  <c r="O697" i="3"/>
  <c r="L697" i="3"/>
  <c r="P697" i="3"/>
  <c r="K697" i="3"/>
  <c r="O703" i="3"/>
  <c r="P703" i="3"/>
  <c r="L703" i="3"/>
  <c r="M703" i="3"/>
  <c r="N703" i="3"/>
  <c r="K703" i="3"/>
  <c r="P685" i="3"/>
  <c r="K685" i="3"/>
  <c r="N685" i="3"/>
  <c r="L685" i="3"/>
  <c r="M685" i="3"/>
  <c r="O685" i="3"/>
  <c r="L677" i="3"/>
  <c r="K677" i="3"/>
  <c r="O677" i="3"/>
  <c r="M677" i="3"/>
  <c r="N677" i="3"/>
  <c r="P677" i="3"/>
  <c r="L669" i="3"/>
  <c r="K669" i="3"/>
  <c r="O669" i="3"/>
  <c r="N669" i="3"/>
  <c r="P669" i="3"/>
  <c r="M669" i="3"/>
  <c r="L712" i="3"/>
  <c r="N712" i="3"/>
  <c r="O712" i="3"/>
  <c r="P712" i="3"/>
  <c r="K712" i="3"/>
  <c r="M712" i="3"/>
  <c r="L696" i="3"/>
  <c r="P696" i="3"/>
  <c r="N696" i="3"/>
  <c r="K696" i="3"/>
  <c r="M696" i="3"/>
  <c r="O696" i="3"/>
  <c r="L702" i="3"/>
  <c r="M702" i="3"/>
  <c r="N702" i="3"/>
  <c r="O702" i="3"/>
  <c r="P702" i="3"/>
  <c r="K702" i="3"/>
  <c r="N684" i="3"/>
  <c r="O684" i="3"/>
  <c r="P684" i="3"/>
  <c r="L684" i="3"/>
  <c r="K684" i="3"/>
  <c r="M684" i="3"/>
  <c r="N676" i="3"/>
  <c r="O676" i="3"/>
  <c r="P676" i="3"/>
  <c r="L676" i="3"/>
  <c r="M676" i="3"/>
  <c r="K676" i="3"/>
  <c r="N668" i="3"/>
  <c r="O668" i="3"/>
  <c r="P668" i="3"/>
  <c r="L668" i="3"/>
  <c r="K668" i="3"/>
  <c r="M668" i="3"/>
  <c r="O711" i="3"/>
  <c r="P711" i="3"/>
  <c r="N711" i="3"/>
  <c r="K711" i="3"/>
  <c r="L711" i="3"/>
  <c r="M711" i="3"/>
  <c r="O695" i="3"/>
  <c r="P695" i="3"/>
  <c r="L695" i="3"/>
  <c r="M695" i="3"/>
  <c r="K695" i="3"/>
  <c r="N695" i="3"/>
  <c r="L704" i="3"/>
  <c r="O704" i="3"/>
  <c r="P704" i="3"/>
  <c r="M704" i="3"/>
  <c r="N704" i="3"/>
  <c r="K704" i="3"/>
  <c r="L683" i="3"/>
  <c r="M683" i="3"/>
  <c r="O683" i="3"/>
  <c r="P683" i="3"/>
  <c r="K683" i="3"/>
  <c r="N683" i="3"/>
  <c r="L675" i="3"/>
  <c r="M675" i="3"/>
  <c r="P675" i="3"/>
  <c r="K675" i="3"/>
  <c r="N675" i="3"/>
  <c r="O675" i="3"/>
  <c r="L667" i="3"/>
  <c r="M667" i="3"/>
  <c r="N667" i="3"/>
  <c r="O667" i="3"/>
  <c r="P667" i="3"/>
  <c r="K667" i="3"/>
  <c r="L710" i="3"/>
  <c r="M710" i="3"/>
  <c r="N710" i="3"/>
  <c r="O710" i="3"/>
  <c r="P710" i="3"/>
  <c r="K710" i="3"/>
  <c r="L694" i="3"/>
  <c r="M694" i="3"/>
  <c r="N694" i="3"/>
  <c r="O694" i="3"/>
  <c r="P694" i="3"/>
  <c r="K694" i="3"/>
  <c r="M705" i="3"/>
  <c r="N705" i="3"/>
  <c r="O705" i="3"/>
  <c r="L705" i="3"/>
  <c r="P705" i="3"/>
  <c r="K705" i="3"/>
  <c r="M681" i="3"/>
  <c r="N681" i="3"/>
  <c r="O681" i="3"/>
  <c r="L681" i="3"/>
  <c r="P681" i="3"/>
  <c r="K681" i="3"/>
  <c r="M673" i="3"/>
  <c r="N673" i="3"/>
  <c r="O673" i="3"/>
  <c r="L673" i="3"/>
  <c r="P673" i="3"/>
  <c r="K673" i="3"/>
  <c r="N708" i="3"/>
  <c r="O708" i="3"/>
  <c r="P708" i="3"/>
  <c r="K708" i="3"/>
  <c r="L708" i="3"/>
  <c r="M708" i="3"/>
  <c r="L686" i="3"/>
  <c r="M686" i="3"/>
  <c r="N686" i="3"/>
  <c r="O686" i="3"/>
  <c r="P686" i="3"/>
  <c r="K686" i="3"/>
  <c r="L109" i="3"/>
  <c r="M109" i="3"/>
  <c r="N109" i="3"/>
  <c r="O109" i="3"/>
  <c r="P109" i="3"/>
  <c r="K109" i="3"/>
  <c r="P682" i="3"/>
  <c r="K682" i="3"/>
  <c r="L682" i="3"/>
  <c r="O682" i="3"/>
  <c r="M682" i="3"/>
  <c r="N682" i="3"/>
  <c r="P674" i="3"/>
  <c r="K674" i="3"/>
  <c r="L674" i="3"/>
  <c r="M674" i="3"/>
  <c r="N674" i="3"/>
  <c r="O674" i="3"/>
  <c r="N692" i="3"/>
  <c r="O692" i="3"/>
  <c r="P692" i="3"/>
  <c r="L692" i="3"/>
  <c r="M692" i="3"/>
  <c r="K692" i="3"/>
  <c r="O709" i="3"/>
  <c r="P709" i="3"/>
  <c r="K709" i="3"/>
  <c r="M709" i="3"/>
  <c r="L709" i="3"/>
  <c r="N709" i="3"/>
  <c r="L699" i="3"/>
  <c r="M699" i="3"/>
  <c r="O699" i="3"/>
  <c r="P699" i="3"/>
  <c r="K699" i="3"/>
  <c r="N699" i="3"/>
  <c r="L184" i="3"/>
  <c r="M184" i="3"/>
  <c r="N184" i="3"/>
  <c r="O184" i="3"/>
  <c r="P184" i="3"/>
  <c r="K184" i="3"/>
  <c r="N700" i="3"/>
  <c r="O700" i="3"/>
  <c r="P700" i="3"/>
  <c r="L700" i="3"/>
  <c r="K700" i="3"/>
  <c r="M700" i="3"/>
  <c r="H649" i="3"/>
  <c r="H631" i="3"/>
  <c r="H609" i="3"/>
  <c r="H586" i="3"/>
  <c r="H569" i="3"/>
  <c r="H546" i="3"/>
  <c r="H486" i="3"/>
  <c r="L613" i="3" l="1"/>
  <c r="M613" i="3"/>
  <c r="N613" i="3"/>
  <c r="K613" i="3"/>
  <c r="O613" i="3"/>
  <c r="P613" i="3"/>
  <c r="O476" i="3"/>
  <c r="P476" i="3"/>
  <c r="N476" i="3"/>
  <c r="L476" i="3"/>
  <c r="K476" i="3"/>
  <c r="M476" i="3"/>
  <c r="L547" i="3"/>
  <c r="M547" i="3"/>
  <c r="N547" i="3"/>
  <c r="O547" i="3"/>
  <c r="P547" i="3"/>
  <c r="K547" i="3"/>
  <c r="N605" i="3"/>
  <c r="O605" i="3"/>
  <c r="P605" i="3"/>
  <c r="L605" i="3"/>
  <c r="M605" i="3"/>
  <c r="K605" i="3"/>
  <c r="O500" i="3"/>
  <c r="P500" i="3"/>
  <c r="N500" i="3"/>
  <c r="L500" i="3"/>
  <c r="M500" i="3"/>
  <c r="K500" i="3"/>
  <c r="O484" i="3"/>
  <c r="P484" i="3"/>
  <c r="N484" i="3"/>
  <c r="K484" i="3"/>
  <c r="L484" i="3"/>
  <c r="M484" i="3"/>
  <c r="N497" i="3"/>
  <c r="O497" i="3"/>
  <c r="P497" i="3"/>
  <c r="M497" i="3"/>
  <c r="K497" i="3"/>
  <c r="L497" i="3"/>
  <c r="N489" i="3"/>
  <c r="O489" i="3"/>
  <c r="P489" i="3"/>
  <c r="L489" i="3"/>
  <c r="M489" i="3"/>
  <c r="K489" i="3"/>
  <c r="N481" i="3"/>
  <c r="O481" i="3"/>
  <c r="P481" i="3"/>
  <c r="M481" i="3"/>
  <c r="L481" i="3"/>
  <c r="K481" i="3"/>
  <c r="N530" i="3"/>
  <c r="O530" i="3"/>
  <c r="P530" i="3"/>
  <c r="L530" i="3"/>
  <c r="K530" i="3"/>
  <c r="M530" i="3"/>
  <c r="O522" i="3"/>
  <c r="P522" i="3"/>
  <c r="M522" i="3"/>
  <c r="K522" i="3"/>
  <c r="L522" i="3"/>
  <c r="N522" i="3"/>
  <c r="P514" i="3"/>
  <c r="N514" i="3"/>
  <c r="M514" i="3"/>
  <c r="K514" i="3"/>
  <c r="O514" i="3"/>
  <c r="L514" i="3"/>
  <c r="N505" i="3"/>
  <c r="O505" i="3"/>
  <c r="P505" i="3"/>
  <c r="L505" i="3"/>
  <c r="M505" i="3"/>
  <c r="K505" i="3"/>
  <c r="M558" i="3"/>
  <c r="N558" i="3"/>
  <c r="L558" i="3"/>
  <c r="O558" i="3"/>
  <c r="P558" i="3"/>
  <c r="K558" i="3"/>
  <c r="M550" i="3"/>
  <c r="N550" i="3"/>
  <c r="O550" i="3"/>
  <c r="P550" i="3"/>
  <c r="K550" i="3"/>
  <c r="L550" i="3"/>
  <c r="M542" i="3"/>
  <c r="N542" i="3"/>
  <c r="O542" i="3"/>
  <c r="P542" i="3"/>
  <c r="L542" i="3"/>
  <c r="K542" i="3"/>
  <c r="N573" i="3"/>
  <c r="O573" i="3"/>
  <c r="P573" i="3"/>
  <c r="L573" i="3"/>
  <c r="M573" i="3"/>
  <c r="K573" i="3"/>
  <c r="P583" i="3"/>
  <c r="L583" i="3"/>
  <c r="M583" i="3"/>
  <c r="N583" i="3"/>
  <c r="O583" i="3"/>
  <c r="K583" i="3"/>
  <c r="L594" i="3"/>
  <c r="M594" i="3"/>
  <c r="N594" i="3"/>
  <c r="K594" i="3"/>
  <c r="O594" i="3"/>
  <c r="P594" i="3"/>
  <c r="L586" i="3"/>
  <c r="K586" i="3"/>
  <c r="M586" i="3"/>
  <c r="P586" i="3"/>
  <c r="N586" i="3"/>
  <c r="O586" i="3"/>
  <c r="O615" i="3"/>
  <c r="P615" i="3"/>
  <c r="M615" i="3"/>
  <c r="N615" i="3"/>
  <c r="L615" i="3"/>
  <c r="K615" i="3"/>
  <c r="N628" i="3"/>
  <c r="O628" i="3"/>
  <c r="P628" i="3"/>
  <c r="K628" i="3"/>
  <c r="L628" i="3"/>
  <c r="M628" i="3"/>
  <c r="P658" i="3"/>
  <c r="L658" i="3"/>
  <c r="K658" i="3"/>
  <c r="M658" i="3"/>
  <c r="N658" i="3"/>
  <c r="O658" i="3"/>
  <c r="P650" i="3"/>
  <c r="K650" i="3"/>
  <c r="N650" i="3"/>
  <c r="L650" i="3"/>
  <c r="M650" i="3"/>
  <c r="O650" i="3"/>
  <c r="P642" i="3"/>
  <c r="L642" i="3"/>
  <c r="K642" i="3"/>
  <c r="M642" i="3"/>
  <c r="N642" i="3"/>
  <c r="O642" i="3"/>
  <c r="L528" i="3"/>
  <c r="M528" i="3"/>
  <c r="N528" i="3"/>
  <c r="O528" i="3"/>
  <c r="P528" i="3"/>
  <c r="K528" i="3"/>
  <c r="L579" i="3"/>
  <c r="M579" i="3"/>
  <c r="P579" i="3"/>
  <c r="K579" i="3"/>
  <c r="N579" i="3"/>
  <c r="O579" i="3"/>
  <c r="P527" i="3"/>
  <c r="O527" i="3"/>
  <c r="M527" i="3"/>
  <c r="N527" i="3"/>
  <c r="L527" i="3"/>
  <c r="K527" i="3"/>
  <c r="L578" i="3"/>
  <c r="M578" i="3"/>
  <c r="N578" i="3"/>
  <c r="K578" i="3"/>
  <c r="O578" i="3"/>
  <c r="P578" i="3"/>
  <c r="L640" i="3"/>
  <c r="M640" i="3"/>
  <c r="P640" i="3"/>
  <c r="K640" i="3"/>
  <c r="N640" i="3"/>
  <c r="O640" i="3"/>
  <c r="L496" i="3"/>
  <c r="M496" i="3"/>
  <c r="N496" i="3"/>
  <c r="O496" i="3"/>
  <c r="K496" i="3"/>
  <c r="P496" i="3"/>
  <c r="L488" i="3"/>
  <c r="M488" i="3"/>
  <c r="N488" i="3"/>
  <c r="P488" i="3"/>
  <c r="O488" i="3"/>
  <c r="K488" i="3"/>
  <c r="M478" i="3"/>
  <c r="N478" i="3"/>
  <c r="O478" i="3"/>
  <c r="P478" i="3"/>
  <c r="L478" i="3"/>
  <c r="K478" i="3"/>
  <c r="N529" i="3"/>
  <c r="O529" i="3"/>
  <c r="P529" i="3"/>
  <c r="L529" i="3"/>
  <c r="M529" i="3"/>
  <c r="K529" i="3"/>
  <c r="N521" i="3"/>
  <c r="O521" i="3"/>
  <c r="P521" i="3"/>
  <c r="L521" i="3"/>
  <c r="M521" i="3"/>
  <c r="K521" i="3"/>
  <c r="N513" i="3"/>
  <c r="O513" i="3"/>
  <c r="P513" i="3"/>
  <c r="L513" i="3"/>
  <c r="M513" i="3"/>
  <c r="K513" i="3"/>
  <c r="N557" i="3"/>
  <c r="O557" i="3"/>
  <c r="P557" i="3"/>
  <c r="L557" i="3"/>
  <c r="M557" i="3"/>
  <c r="K557" i="3"/>
  <c r="L549" i="3"/>
  <c r="M549" i="3"/>
  <c r="N549" i="3"/>
  <c r="O549" i="3"/>
  <c r="K549" i="3"/>
  <c r="P549" i="3"/>
  <c r="L541" i="3"/>
  <c r="M541" i="3"/>
  <c r="K541" i="3"/>
  <c r="P541" i="3"/>
  <c r="N541" i="3"/>
  <c r="O541" i="3"/>
  <c r="M566" i="3"/>
  <c r="N566" i="3"/>
  <c r="O566" i="3"/>
  <c r="P566" i="3"/>
  <c r="L566" i="3"/>
  <c r="K566" i="3"/>
  <c r="O572" i="3"/>
  <c r="P572" i="3"/>
  <c r="L572" i="3"/>
  <c r="M572" i="3"/>
  <c r="N572" i="3"/>
  <c r="K572" i="3"/>
  <c r="N601" i="3"/>
  <c r="O601" i="3"/>
  <c r="M601" i="3"/>
  <c r="P601" i="3"/>
  <c r="L601" i="3"/>
  <c r="K601" i="3"/>
  <c r="N593" i="3"/>
  <c r="O593" i="3"/>
  <c r="P593" i="3"/>
  <c r="L593" i="3"/>
  <c r="M593" i="3"/>
  <c r="K593" i="3"/>
  <c r="N585" i="3"/>
  <c r="O585" i="3"/>
  <c r="L585" i="3"/>
  <c r="M585" i="3"/>
  <c r="P585" i="3"/>
  <c r="K585" i="3"/>
  <c r="L614" i="3"/>
  <c r="M614" i="3"/>
  <c r="N614" i="3"/>
  <c r="O614" i="3"/>
  <c r="P614" i="3"/>
  <c r="K614" i="3"/>
  <c r="L635" i="3"/>
  <c r="M635" i="3"/>
  <c r="N635" i="3"/>
  <c r="K635" i="3"/>
  <c r="O635" i="3"/>
  <c r="P635" i="3"/>
  <c r="L627" i="3"/>
  <c r="M627" i="3"/>
  <c r="N627" i="3"/>
  <c r="K627" i="3"/>
  <c r="O627" i="3"/>
  <c r="P627" i="3"/>
  <c r="M657" i="3"/>
  <c r="N657" i="3"/>
  <c r="O657" i="3"/>
  <c r="P657" i="3"/>
  <c r="L657" i="3"/>
  <c r="K657" i="3"/>
  <c r="M649" i="3"/>
  <c r="N649" i="3"/>
  <c r="O649" i="3"/>
  <c r="P649" i="3"/>
  <c r="L649" i="3"/>
  <c r="K649" i="3"/>
  <c r="M641" i="3"/>
  <c r="N641" i="3"/>
  <c r="O641" i="3"/>
  <c r="P641" i="3"/>
  <c r="L641" i="3"/>
  <c r="K641" i="3"/>
  <c r="L533" i="3"/>
  <c r="M533" i="3"/>
  <c r="N533" i="3"/>
  <c r="O533" i="3"/>
  <c r="P533" i="3"/>
  <c r="K533" i="3"/>
  <c r="L571" i="3"/>
  <c r="M571" i="3"/>
  <c r="N571" i="3"/>
  <c r="O571" i="3"/>
  <c r="P571" i="3"/>
  <c r="K571" i="3"/>
  <c r="L656" i="3"/>
  <c r="M656" i="3"/>
  <c r="P656" i="3"/>
  <c r="K656" i="3"/>
  <c r="N656" i="3"/>
  <c r="O656" i="3"/>
  <c r="P519" i="3"/>
  <c r="N519" i="3"/>
  <c r="M519" i="3"/>
  <c r="O519" i="3"/>
  <c r="K519" i="3"/>
  <c r="L519" i="3"/>
  <c r="L570" i="3"/>
  <c r="K570" i="3"/>
  <c r="O570" i="3"/>
  <c r="P570" i="3"/>
  <c r="M570" i="3"/>
  <c r="N570" i="3"/>
  <c r="M633" i="3"/>
  <c r="N633" i="3"/>
  <c r="O633" i="3"/>
  <c r="P633" i="3"/>
  <c r="L633" i="3"/>
  <c r="K633" i="3"/>
  <c r="N473" i="3"/>
  <c r="M473" i="3"/>
  <c r="O473" i="3"/>
  <c r="P473" i="3"/>
  <c r="L473" i="3"/>
  <c r="K473" i="3"/>
  <c r="L493" i="3"/>
  <c r="M493" i="3"/>
  <c r="N493" i="3"/>
  <c r="O493" i="3"/>
  <c r="P493" i="3"/>
  <c r="K493" i="3"/>
  <c r="L485" i="3"/>
  <c r="M485" i="3"/>
  <c r="O485" i="3"/>
  <c r="P485" i="3"/>
  <c r="K485" i="3"/>
  <c r="N485" i="3"/>
  <c r="L475" i="3"/>
  <c r="M475" i="3"/>
  <c r="N475" i="3"/>
  <c r="O475" i="3"/>
  <c r="K475" i="3"/>
  <c r="P475" i="3"/>
  <c r="M526" i="3"/>
  <c r="N526" i="3"/>
  <c r="O526" i="3"/>
  <c r="L526" i="3"/>
  <c r="P526" i="3"/>
  <c r="K526" i="3"/>
  <c r="M518" i="3"/>
  <c r="N518" i="3"/>
  <c r="O518" i="3"/>
  <c r="L518" i="3"/>
  <c r="P518" i="3"/>
  <c r="K518" i="3"/>
  <c r="L509" i="3"/>
  <c r="M509" i="3"/>
  <c r="N509" i="3"/>
  <c r="K509" i="3"/>
  <c r="P509" i="3"/>
  <c r="O509" i="3"/>
  <c r="L562" i="3"/>
  <c r="M562" i="3"/>
  <c r="N562" i="3"/>
  <c r="K562" i="3"/>
  <c r="O562" i="3"/>
  <c r="P562" i="3"/>
  <c r="L554" i="3"/>
  <c r="K554" i="3"/>
  <c r="O554" i="3"/>
  <c r="P554" i="3"/>
  <c r="N554" i="3"/>
  <c r="M554" i="3"/>
  <c r="O546" i="3"/>
  <c r="P546" i="3"/>
  <c r="K546" i="3"/>
  <c r="M546" i="3"/>
  <c r="N546" i="3"/>
  <c r="L546" i="3"/>
  <c r="L538" i="3"/>
  <c r="M538" i="3"/>
  <c r="N538" i="3"/>
  <c r="O538" i="3"/>
  <c r="K538" i="3"/>
  <c r="P538" i="3"/>
  <c r="N577" i="3"/>
  <c r="O577" i="3"/>
  <c r="P577" i="3"/>
  <c r="L577" i="3"/>
  <c r="M577" i="3"/>
  <c r="K577" i="3"/>
  <c r="N569" i="3"/>
  <c r="O569" i="3"/>
  <c r="L569" i="3"/>
  <c r="M569" i="3"/>
  <c r="P569" i="3"/>
  <c r="K569" i="3"/>
  <c r="M598" i="3"/>
  <c r="N598" i="3"/>
  <c r="L598" i="3"/>
  <c r="O598" i="3"/>
  <c r="P598" i="3"/>
  <c r="K598" i="3"/>
  <c r="M590" i="3"/>
  <c r="N590" i="3"/>
  <c r="L590" i="3"/>
  <c r="O590" i="3"/>
  <c r="K590" i="3"/>
  <c r="P590" i="3"/>
  <c r="N609" i="3"/>
  <c r="O609" i="3"/>
  <c r="L609" i="3"/>
  <c r="M609" i="3"/>
  <c r="P609" i="3"/>
  <c r="K609" i="3"/>
  <c r="L611" i="3"/>
  <c r="M611" i="3"/>
  <c r="N611" i="3"/>
  <c r="K611" i="3"/>
  <c r="O611" i="3"/>
  <c r="P611" i="3"/>
  <c r="L632" i="3"/>
  <c r="M632" i="3"/>
  <c r="P632" i="3"/>
  <c r="N632" i="3"/>
  <c r="O632" i="3"/>
  <c r="K632" i="3"/>
  <c r="L662" i="3"/>
  <c r="M662" i="3"/>
  <c r="N662" i="3"/>
  <c r="O662" i="3"/>
  <c r="P662" i="3"/>
  <c r="K662" i="3"/>
  <c r="L654" i="3"/>
  <c r="M654" i="3"/>
  <c r="N654" i="3"/>
  <c r="O654" i="3"/>
  <c r="P654" i="3"/>
  <c r="K654" i="3"/>
  <c r="L646" i="3"/>
  <c r="M646" i="3"/>
  <c r="N646" i="3"/>
  <c r="O646" i="3"/>
  <c r="K646" i="3"/>
  <c r="P646" i="3"/>
  <c r="L477" i="3"/>
  <c r="M477" i="3"/>
  <c r="O477" i="3"/>
  <c r="P477" i="3"/>
  <c r="K477" i="3"/>
  <c r="N477" i="3"/>
  <c r="O548" i="3"/>
  <c r="P548" i="3"/>
  <c r="L548" i="3"/>
  <c r="M548" i="3"/>
  <c r="K548" i="3"/>
  <c r="N548" i="3"/>
  <c r="L600" i="3"/>
  <c r="M600" i="3"/>
  <c r="N600" i="3"/>
  <c r="O600" i="3"/>
  <c r="P600" i="3"/>
  <c r="K600" i="3"/>
  <c r="P634" i="3"/>
  <c r="K634" i="3"/>
  <c r="L634" i="3"/>
  <c r="M634" i="3"/>
  <c r="N634" i="3"/>
  <c r="O634" i="3"/>
  <c r="P511" i="3"/>
  <c r="L511" i="3"/>
  <c r="O511" i="3"/>
  <c r="K511" i="3"/>
  <c r="M511" i="3"/>
  <c r="N511" i="3"/>
  <c r="L539" i="3"/>
  <c r="M539" i="3"/>
  <c r="N539" i="3"/>
  <c r="K539" i="3"/>
  <c r="O539" i="3"/>
  <c r="P539" i="3"/>
  <c r="N612" i="3"/>
  <c r="O612" i="3"/>
  <c r="P612" i="3"/>
  <c r="L612" i="3"/>
  <c r="M612" i="3"/>
  <c r="K612" i="3"/>
  <c r="O492" i="3"/>
  <c r="P492" i="3"/>
  <c r="L492" i="3"/>
  <c r="M492" i="3"/>
  <c r="N492" i="3"/>
  <c r="K492" i="3"/>
  <c r="L525" i="3"/>
  <c r="N525" i="3"/>
  <c r="O525" i="3"/>
  <c r="P525" i="3"/>
  <c r="K525" i="3"/>
  <c r="M525" i="3"/>
  <c r="L517" i="3"/>
  <c r="O517" i="3"/>
  <c r="P517" i="3"/>
  <c r="M517" i="3"/>
  <c r="K517" i="3"/>
  <c r="N517" i="3"/>
  <c r="O508" i="3"/>
  <c r="P508" i="3"/>
  <c r="M508" i="3"/>
  <c r="N508" i="3"/>
  <c r="K508" i="3"/>
  <c r="L508" i="3"/>
  <c r="N561" i="3"/>
  <c r="O561" i="3"/>
  <c r="P561" i="3"/>
  <c r="L561" i="3"/>
  <c r="M561" i="3"/>
  <c r="K561" i="3"/>
  <c r="N553" i="3"/>
  <c r="O553" i="3"/>
  <c r="L553" i="3"/>
  <c r="M553" i="3"/>
  <c r="P553" i="3"/>
  <c r="K553" i="3"/>
  <c r="L653" i="3"/>
  <c r="K653" i="3"/>
  <c r="O653" i="3"/>
  <c r="M653" i="3"/>
  <c r="N653" i="3"/>
  <c r="P653" i="3"/>
  <c r="L645" i="3"/>
  <c r="M645" i="3"/>
  <c r="N645" i="3"/>
  <c r="O645" i="3"/>
  <c r="P645" i="3"/>
  <c r="K645" i="3"/>
  <c r="P487" i="3"/>
  <c r="L487" i="3"/>
  <c r="O487" i="3"/>
  <c r="K487" i="3"/>
  <c r="M487" i="3"/>
  <c r="N487" i="3"/>
  <c r="L512" i="3"/>
  <c r="M512" i="3"/>
  <c r="O512" i="3"/>
  <c r="P512" i="3"/>
  <c r="N512" i="3"/>
  <c r="K512" i="3"/>
  <c r="O540" i="3"/>
  <c r="P540" i="3"/>
  <c r="L540" i="3"/>
  <c r="M540" i="3"/>
  <c r="N540" i="3"/>
  <c r="K540" i="3"/>
  <c r="L584" i="3"/>
  <c r="N584" i="3"/>
  <c r="O584" i="3"/>
  <c r="P584" i="3"/>
  <c r="M584" i="3"/>
  <c r="K584" i="3"/>
  <c r="L648" i="3"/>
  <c r="M648" i="3"/>
  <c r="N648" i="3"/>
  <c r="O648" i="3"/>
  <c r="P648" i="3"/>
  <c r="K648" i="3"/>
  <c r="M486" i="3"/>
  <c r="N486" i="3"/>
  <c r="O486" i="3"/>
  <c r="P486" i="3"/>
  <c r="L486" i="3"/>
  <c r="K486" i="3"/>
  <c r="L555" i="3"/>
  <c r="M555" i="3"/>
  <c r="N555" i="3"/>
  <c r="O555" i="3"/>
  <c r="P555" i="3"/>
  <c r="K555" i="3"/>
  <c r="P591" i="3"/>
  <c r="N591" i="3"/>
  <c r="O591" i="3"/>
  <c r="M591" i="3"/>
  <c r="K591" i="3"/>
  <c r="L591" i="3"/>
  <c r="O647" i="3"/>
  <c r="P647" i="3"/>
  <c r="M647" i="3"/>
  <c r="N647" i="3"/>
  <c r="K647" i="3"/>
  <c r="L647" i="3"/>
  <c r="L474" i="3"/>
  <c r="N474" i="3"/>
  <c r="K474" i="3"/>
  <c r="O474" i="3"/>
  <c r="P474" i="3"/>
  <c r="M474" i="3"/>
  <c r="N545" i="3"/>
  <c r="O545" i="3"/>
  <c r="L545" i="3"/>
  <c r="M545" i="3"/>
  <c r="K545" i="3"/>
  <c r="P545" i="3"/>
  <c r="N537" i="3"/>
  <c r="O537" i="3"/>
  <c r="P537" i="3"/>
  <c r="M537" i="3"/>
  <c r="L537" i="3"/>
  <c r="K537" i="3"/>
  <c r="L576" i="3"/>
  <c r="M576" i="3"/>
  <c r="N576" i="3"/>
  <c r="O576" i="3"/>
  <c r="P576" i="3"/>
  <c r="K576" i="3"/>
  <c r="L568" i="3"/>
  <c r="M568" i="3"/>
  <c r="N568" i="3"/>
  <c r="O568" i="3"/>
  <c r="P568" i="3"/>
  <c r="K568" i="3"/>
  <c r="L661" i="3"/>
  <c r="M661" i="3"/>
  <c r="N661" i="3"/>
  <c r="O661" i="3"/>
  <c r="P661" i="3"/>
  <c r="K661" i="3"/>
  <c r="L491" i="3"/>
  <c r="M491" i="3"/>
  <c r="N491" i="3"/>
  <c r="O491" i="3"/>
  <c r="K491" i="3"/>
  <c r="P491" i="3"/>
  <c r="L483" i="3"/>
  <c r="M483" i="3"/>
  <c r="N483" i="3"/>
  <c r="O483" i="3"/>
  <c r="K483" i="3"/>
  <c r="P483" i="3"/>
  <c r="O524" i="3"/>
  <c r="P524" i="3"/>
  <c r="N524" i="3"/>
  <c r="K524" i="3"/>
  <c r="L524" i="3"/>
  <c r="M524" i="3"/>
  <c r="O516" i="3"/>
  <c r="P516" i="3"/>
  <c r="L516" i="3"/>
  <c r="M516" i="3"/>
  <c r="K516" i="3"/>
  <c r="N516" i="3"/>
  <c r="L560" i="3"/>
  <c r="M560" i="3"/>
  <c r="N560" i="3"/>
  <c r="O560" i="3"/>
  <c r="P560" i="3"/>
  <c r="K560" i="3"/>
  <c r="L552" i="3"/>
  <c r="M552" i="3"/>
  <c r="N552" i="3"/>
  <c r="O552" i="3"/>
  <c r="P552" i="3"/>
  <c r="K552" i="3"/>
  <c r="L544" i="3"/>
  <c r="O544" i="3"/>
  <c r="P544" i="3"/>
  <c r="M544" i="3"/>
  <c r="N544" i="3"/>
  <c r="K544" i="3"/>
  <c r="L536" i="3"/>
  <c r="M536" i="3"/>
  <c r="P536" i="3"/>
  <c r="O536" i="3"/>
  <c r="N536" i="3"/>
  <c r="K536" i="3"/>
  <c r="P575" i="3"/>
  <c r="N575" i="3"/>
  <c r="O575" i="3"/>
  <c r="L575" i="3"/>
  <c r="M575" i="3"/>
  <c r="K575" i="3"/>
  <c r="P567" i="3"/>
  <c r="L567" i="3"/>
  <c r="M567" i="3"/>
  <c r="N567" i="3"/>
  <c r="O567" i="3"/>
  <c r="K567" i="3"/>
  <c r="O596" i="3"/>
  <c r="P596" i="3"/>
  <c r="L596" i="3"/>
  <c r="M596" i="3"/>
  <c r="N596" i="3"/>
  <c r="K596" i="3"/>
  <c r="O588" i="3"/>
  <c r="P588" i="3"/>
  <c r="L588" i="3"/>
  <c r="N588" i="3"/>
  <c r="K588" i="3"/>
  <c r="M588" i="3"/>
  <c r="L619" i="3"/>
  <c r="M619" i="3"/>
  <c r="N619" i="3"/>
  <c r="P619" i="3"/>
  <c r="K619" i="3"/>
  <c r="O619" i="3"/>
  <c r="L630" i="3"/>
  <c r="M630" i="3"/>
  <c r="N630" i="3"/>
  <c r="O630" i="3"/>
  <c r="P630" i="3"/>
  <c r="K630" i="3"/>
  <c r="N660" i="3"/>
  <c r="O660" i="3"/>
  <c r="P660" i="3"/>
  <c r="K660" i="3"/>
  <c r="L660" i="3"/>
  <c r="M660" i="3"/>
  <c r="N652" i="3"/>
  <c r="O652" i="3"/>
  <c r="P652" i="3"/>
  <c r="L652" i="3"/>
  <c r="K652" i="3"/>
  <c r="M652" i="3"/>
  <c r="N644" i="3"/>
  <c r="O644" i="3"/>
  <c r="P644" i="3"/>
  <c r="K644" i="3"/>
  <c r="L644" i="3"/>
  <c r="M644" i="3"/>
  <c r="P495" i="3"/>
  <c r="M495" i="3"/>
  <c r="N495" i="3"/>
  <c r="O495" i="3"/>
  <c r="K495" i="3"/>
  <c r="L495" i="3"/>
  <c r="L520" i="3"/>
  <c r="M520" i="3"/>
  <c r="N520" i="3"/>
  <c r="O520" i="3"/>
  <c r="P520" i="3"/>
  <c r="K520" i="3"/>
  <c r="O556" i="3"/>
  <c r="P556" i="3"/>
  <c r="L556" i="3"/>
  <c r="M556" i="3"/>
  <c r="N556" i="3"/>
  <c r="K556" i="3"/>
  <c r="L592" i="3"/>
  <c r="M592" i="3"/>
  <c r="N592" i="3"/>
  <c r="P592" i="3"/>
  <c r="O592" i="3"/>
  <c r="K592" i="3"/>
  <c r="M494" i="3"/>
  <c r="N494" i="3"/>
  <c r="O494" i="3"/>
  <c r="P494" i="3"/>
  <c r="L494" i="3"/>
  <c r="K494" i="3"/>
  <c r="M534" i="3"/>
  <c r="N534" i="3"/>
  <c r="O534" i="3"/>
  <c r="L534" i="3"/>
  <c r="K534" i="3"/>
  <c r="P534" i="3"/>
  <c r="P599" i="3"/>
  <c r="L599" i="3"/>
  <c r="O599" i="3"/>
  <c r="M599" i="3"/>
  <c r="N599" i="3"/>
  <c r="K599" i="3"/>
  <c r="O655" i="3"/>
  <c r="P655" i="3"/>
  <c r="L655" i="3"/>
  <c r="M655" i="3"/>
  <c r="N655" i="3"/>
  <c r="K655" i="3"/>
  <c r="P597" i="3"/>
  <c r="M597" i="3"/>
  <c r="N597" i="3"/>
  <c r="O597" i="3"/>
  <c r="K597" i="3"/>
  <c r="L597" i="3"/>
  <c r="N589" i="3"/>
  <c r="O589" i="3"/>
  <c r="P589" i="3"/>
  <c r="L589" i="3"/>
  <c r="M589" i="3"/>
  <c r="K589" i="3"/>
  <c r="L621" i="3"/>
  <c r="O621" i="3"/>
  <c r="P621" i="3"/>
  <c r="K621" i="3"/>
  <c r="M621" i="3"/>
  <c r="N621" i="3"/>
  <c r="O610" i="3"/>
  <c r="P610" i="3"/>
  <c r="K610" i="3"/>
  <c r="L610" i="3"/>
  <c r="M610" i="3"/>
  <c r="N610" i="3"/>
  <c r="O631" i="3"/>
  <c r="P631" i="3"/>
  <c r="L631" i="3"/>
  <c r="M631" i="3"/>
  <c r="N631" i="3"/>
  <c r="K631" i="3"/>
  <c r="L499" i="3"/>
  <c r="M499" i="3"/>
  <c r="N499" i="3"/>
  <c r="O499" i="3"/>
  <c r="K499" i="3"/>
  <c r="P499" i="3"/>
  <c r="L504" i="3"/>
  <c r="M504" i="3"/>
  <c r="N504" i="3"/>
  <c r="O504" i="3"/>
  <c r="K504" i="3"/>
  <c r="P504" i="3"/>
  <c r="L507" i="3"/>
  <c r="M507" i="3"/>
  <c r="N507" i="3"/>
  <c r="O507" i="3"/>
  <c r="K507" i="3"/>
  <c r="P507" i="3"/>
  <c r="L498" i="3"/>
  <c r="N498" i="3"/>
  <c r="K498" i="3"/>
  <c r="O498" i="3"/>
  <c r="P498" i="3"/>
  <c r="M498" i="3"/>
  <c r="L490" i="3"/>
  <c r="K490" i="3"/>
  <c r="M490" i="3"/>
  <c r="P490" i="3"/>
  <c r="O490" i="3"/>
  <c r="N490" i="3"/>
  <c r="L482" i="3"/>
  <c r="N482" i="3"/>
  <c r="K482" i="3"/>
  <c r="O482" i="3"/>
  <c r="P482" i="3"/>
  <c r="M482" i="3"/>
  <c r="L531" i="3"/>
  <c r="M531" i="3"/>
  <c r="N531" i="3"/>
  <c r="O531" i="3"/>
  <c r="K531" i="3"/>
  <c r="P531" i="3"/>
  <c r="L523" i="3"/>
  <c r="M523" i="3"/>
  <c r="N523" i="3"/>
  <c r="O523" i="3"/>
  <c r="P523" i="3"/>
  <c r="K523" i="3"/>
  <c r="L515" i="3"/>
  <c r="M515" i="3"/>
  <c r="N515" i="3"/>
  <c r="O515" i="3"/>
  <c r="P515" i="3"/>
  <c r="K515" i="3"/>
  <c r="L506" i="3"/>
  <c r="K506" i="3"/>
  <c r="M506" i="3"/>
  <c r="N506" i="3"/>
  <c r="O506" i="3"/>
  <c r="P506" i="3"/>
  <c r="P559" i="3"/>
  <c r="N559" i="3"/>
  <c r="O559" i="3"/>
  <c r="L559" i="3"/>
  <c r="M559" i="3"/>
  <c r="K559" i="3"/>
  <c r="P551" i="3"/>
  <c r="L551" i="3"/>
  <c r="M551" i="3"/>
  <c r="N551" i="3"/>
  <c r="O551" i="3"/>
  <c r="K551" i="3"/>
  <c r="P543" i="3"/>
  <c r="L543" i="3"/>
  <c r="M543" i="3"/>
  <c r="N543" i="3"/>
  <c r="O543" i="3"/>
  <c r="K543" i="3"/>
  <c r="P535" i="3"/>
  <c r="L535" i="3"/>
  <c r="M535" i="3"/>
  <c r="N535" i="3"/>
  <c r="O535" i="3"/>
  <c r="K535" i="3"/>
  <c r="M574" i="3"/>
  <c r="N574" i="3"/>
  <c r="L574" i="3"/>
  <c r="P574" i="3"/>
  <c r="K574" i="3"/>
  <c r="O574" i="3"/>
  <c r="L595" i="3"/>
  <c r="M595" i="3"/>
  <c r="P595" i="3"/>
  <c r="K595" i="3"/>
  <c r="O595" i="3"/>
  <c r="N595" i="3"/>
  <c r="L587" i="3"/>
  <c r="M587" i="3"/>
  <c r="N587" i="3"/>
  <c r="O587" i="3"/>
  <c r="P587" i="3"/>
  <c r="K587" i="3"/>
  <c r="L616" i="3"/>
  <c r="M616" i="3"/>
  <c r="N616" i="3"/>
  <c r="O616" i="3"/>
  <c r="K616" i="3"/>
  <c r="P616" i="3"/>
  <c r="P626" i="3"/>
  <c r="N626" i="3"/>
  <c r="K626" i="3"/>
  <c r="O626" i="3"/>
  <c r="L626" i="3"/>
  <c r="M626" i="3"/>
  <c r="L629" i="3"/>
  <c r="O629" i="3"/>
  <c r="P629" i="3"/>
  <c r="K629" i="3"/>
  <c r="M629" i="3"/>
  <c r="N629" i="3"/>
  <c r="L659" i="3"/>
  <c r="M659" i="3"/>
  <c r="N659" i="3"/>
  <c r="K659" i="3"/>
  <c r="O659" i="3"/>
  <c r="P659" i="3"/>
  <c r="L651" i="3"/>
  <c r="M651" i="3"/>
  <c r="N651" i="3"/>
  <c r="O651" i="3"/>
  <c r="P651" i="3"/>
  <c r="K651" i="3"/>
  <c r="L643" i="3"/>
  <c r="M643" i="3"/>
  <c r="N643" i="3"/>
  <c r="K643" i="3"/>
  <c r="O643" i="3"/>
  <c r="P643" i="3"/>
  <c r="H463" i="3"/>
  <c r="F2587" i="2"/>
  <c r="H450" i="3"/>
  <c r="P423" i="3" l="1"/>
  <c r="L423" i="3"/>
  <c r="M423" i="3"/>
  <c r="N423" i="3"/>
  <c r="O423" i="3"/>
  <c r="K423" i="3"/>
  <c r="P439" i="3"/>
  <c r="L439" i="3"/>
  <c r="M439" i="3"/>
  <c r="N439" i="3"/>
  <c r="O439" i="3"/>
  <c r="K439" i="3"/>
  <c r="N457" i="3"/>
  <c r="P457" i="3"/>
  <c r="M457" i="3"/>
  <c r="O457" i="3"/>
  <c r="L457" i="3"/>
  <c r="K457" i="3"/>
  <c r="M462" i="3"/>
  <c r="O462" i="3"/>
  <c r="P462" i="3"/>
  <c r="L462" i="3"/>
  <c r="N462" i="3"/>
  <c r="K462" i="3"/>
  <c r="P429" i="3"/>
  <c r="L429" i="3"/>
  <c r="O429" i="3"/>
  <c r="M429" i="3"/>
  <c r="N429" i="3"/>
  <c r="K429" i="3"/>
  <c r="M438" i="3"/>
  <c r="N438" i="3"/>
  <c r="O438" i="3"/>
  <c r="P438" i="3"/>
  <c r="L438" i="3"/>
  <c r="K438" i="3"/>
  <c r="L456" i="3"/>
  <c r="M456" i="3"/>
  <c r="N456" i="3"/>
  <c r="O456" i="3"/>
  <c r="K456" i="3"/>
  <c r="P456" i="3"/>
  <c r="P455" i="3"/>
  <c r="L455" i="3"/>
  <c r="M455" i="3"/>
  <c r="N455" i="3"/>
  <c r="O455" i="3"/>
  <c r="K455" i="3"/>
  <c r="O444" i="3"/>
  <c r="L444" i="3"/>
  <c r="M444" i="3"/>
  <c r="N444" i="3"/>
  <c r="P444" i="3"/>
  <c r="K444" i="3"/>
  <c r="L453" i="3"/>
  <c r="M453" i="3"/>
  <c r="N453" i="3"/>
  <c r="O453" i="3"/>
  <c r="P453" i="3"/>
  <c r="K453" i="3"/>
  <c r="O452" i="3"/>
  <c r="N452" i="3"/>
  <c r="P452" i="3"/>
  <c r="L452" i="3"/>
  <c r="M452" i="3"/>
  <c r="K452" i="3"/>
  <c r="L467" i="3"/>
  <c r="M467" i="3"/>
  <c r="N467" i="3"/>
  <c r="K467" i="3"/>
  <c r="O467" i="3"/>
  <c r="P467" i="3"/>
  <c r="L437" i="3"/>
  <c r="M437" i="3"/>
  <c r="P437" i="3"/>
  <c r="N437" i="3"/>
  <c r="O437" i="3"/>
  <c r="K437" i="3"/>
  <c r="L451" i="3"/>
  <c r="M451" i="3"/>
  <c r="N451" i="3"/>
  <c r="K451" i="3"/>
  <c r="O451" i="3"/>
  <c r="P451" i="3"/>
  <c r="N465" i="3"/>
  <c r="L465" i="3"/>
  <c r="M465" i="3"/>
  <c r="O465" i="3"/>
  <c r="P465" i="3"/>
  <c r="K465" i="3"/>
  <c r="O450" i="3"/>
  <c r="P450" i="3"/>
  <c r="K450" i="3"/>
  <c r="L450" i="3"/>
  <c r="M450" i="3"/>
  <c r="N450" i="3"/>
  <c r="P464" i="3"/>
  <c r="L464" i="3"/>
  <c r="M464" i="3"/>
  <c r="K464" i="3"/>
  <c r="N464" i="3"/>
  <c r="O464" i="3"/>
  <c r="L435" i="3"/>
  <c r="M435" i="3"/>
  <c r="N435" i="3"/>
  <c r="O435" i="3"/>
  <c r="P435" i="3"/>
  <c r="K435" i="3"/>
  <c r="O436" i="3"/>
  <c r="N436" i="3"/>
  <c r="P436" i="3"/>
  <c r="L436" i="3"/>
  <c r="M436" i="3"/>
  <c r="K436" i="3"/>
  <c r="L469" i="3"/>
  <c r="M469" i="3"/>
  <c r="P469" i="3"/>
  <c r="N469" i="3"/>
  <c r="O469" i="3"/>
  <c r="K469" i="3"/>
  <c r="L443" i="3"/>
  <c r="P443" i="3"/>
  <c r="M443" i="3"/>
  <c r="K443" i="3"/>
  <c r="N443" i="3"/>
  <c r="O443" i="3"/>
  <c r="L442" i="3"/>
  <c r="M442" i="3"/>
  <c r="N442" i="3"/>
  <c r="O442" i="3"/>
  <c r="P442" i="3"/>
  <c r="K442" i="3"/>
  <c r="P448" i="3"/>
  <c r="N448" i="3"/>
  <c r="L448" i="3"/>
  <c r="M448" i="3"/>
  <c r="O448" i="3"/>
  <c r="K448" i="3"/>
  <c r="N441" i="3"/>
  <c r="O441" i="3"/>
  <c r="P441" i="3"/>
  <c r="K441" i="3"/>
  <c r="L441" i="3"/>
  <c r="M441" i="3"/>
  <c r="L459" i="3"/>
  <c r="O459" i="3"/>
  <c r="P459" i="3"/>
  <c r="K459" i="3"/>
  <c r="M459" i="3"/>
  <c r="N459" i="3"/>
  <c r="P424" i="3"/>
  <c r="M424" i="3"/>
  <c r="N424" i="3"/>
  <c r="O424" i="3"/>
  <c r="L424" i="3"/>
  <c r="K424" i="3"/>
  <c r="M440" i="3"/>
  <c r="N440" i="3"/>
  <c r="O440" i="3"/>
  <c r="P440" i="3"/>
  <c r="L440" i="3"/>
  <c r="K440" i="3"/>
  <c r="L458" i="3"/>
  <c r="M458" i="3"/>
  <c r="N458" i="3"/>
  <c r="O458" i="3"/>
  <c r="K458" i="3"/>
  <c r="P458" i="3"/>
  <c r="N449" i="3"/>
  <c r="L449" i="3"/>
  <c r="M449" i="3"/>
  <c r="O449" i="3"/>
  <c r="P449" i="3"/>
  <c r="K449" i="3"/>
  <c r="P463" i="3"/>
  <c r="L463" i="3"/>
  <c r="M463" i="3"/>
  <c r="N463" i="3"/>
  <c r="O463" i="3"/>
  <c r="K463" i="3"/>
  <c r="L384" i="3" l="1"/>
  <c r="N384" i="3"/>
  <c r="O384" i="3"/>
  <c r="P384" i="3"/>
  <c r="M384" i="3"/>
  <c r="K384" i="3"/>
  <c r="L389" i="3"/>
  <c r="M389" i="3"/>
  <c r="N389" i="3"/>
  <c r="O389" i="3"/>
  <c r="P389" i="3"/>
  <c r="K389" i="3"/>
  <c r="O412" i="3"/>
  <c r="P412" i="3"/>
  <c r="N412" i="3"/>
  <c r="L412" i="3"/>
  <c r="M412" i="3"/>
  <c r="K412" i="3"/>
  <c r="L411" i="3"/>
  <c r="M411" i="3"/>
  <c r="N411" i="3"/>
  <c r="O411" i="3"/>
  <c r="K411" i="3"/>
  <c r="P411" i="3"/>
  <c r="M390" i="3"/>
  <c r="N390" i="3"/>
  <c r="L390" i="3"/>
  <c r="O390" i="3"/>
  <c r="P390" i="3"/>
  <c r="K390" i="3"/>
  <c r="O420" i="3"/>
  <c r="L420" i="3"/>
  <c r="M420" i="3"/>
  <c r="N420" i="3"/>
  <c r="P420" i="3"/>
  <c r="K420" i="3"/>
  <c r="N425" i="3"/>
  <c r="L425" i="3"/>
  <c r="M425" i="3"/>
  <c r="O425" i="3"/>
  <c r="P425" i="3"/>
  <c r="K425" i="3"/>
  <c r="M385" i="3"/>
  <c r="N385" i="3"/>
  <c r="O385" i="3"/>
  <c r="L385" i="3"/>
  <c r="P385" i="3"/>
  <c r="K385" i="3"/>
  <c r="N416" i="3"/>
  <c r="O416" i="3"/>
  <c r="P416" i="3"/>
  <c r="M416" i="3"/>
  <c r="K416" i="3"/>
  <c r="L416" i="3"/>
  <c r="N421" i="3"/>
  <c r="O421" i="3"/>
  <c r="P421" i="3"/>
  <c r="L421" i="3"/>
  <c r="M421" i="3"/>
  <c r="K421" i="3"/>
  <c r="O386" i="3"/>
  <c r="P386" i="3"/>
  <c r="K386" i="3"/>
  <c r="L386" i="3"/>
  <c r="M386" i="3"/>
  <c r="N386" i="3"/>
  <c r="P391" i="3"/>
  <c r="L391" i="3"/>
  <c r="M391" i="3"/>
  <c r="N391" i="3"/>
  <c r="O391" i="3"/>
  <c r="K391" i="3"/>
  <c r="M414" i="3"/>
  <c r="O414" i="3"/>
  <c r="P414" i="3"/>
  <c r="L414" i="3"/>
  <c r="N414" i="3"/>
  <c r="K414" i="3"/>
  <c r="P415" i="3"/>
  <c r="L415" i="3"/>
  <c r="M415" i="3"/>
  <c r="N415" i="3"/>
  <c r="O415" i="3"/>
  <c r="K415" i="3"/>
  <c r="L387" i="3"/>
  <c r="M387" i="3"/>
  <c r="N387" i="3"/>
  <c r="O387" i="3"/>
  <c r="K387" i="3"/>
  <c r="P387" i="3"/>
  <c r="O388" i="3"/>
  <c r="P388" i="3"/>
  <c r="M388" i="3"/>
  <c r="L388" i="3"/>
  <c r="K388" i="3"/>
  <c r="N388" i="3"/>
  <c r="L413" i="3"/>
  <c r="M413" i="3"/>
  <c r="N413" i="3"/>
  <c r="P413" i="3"/>
  <c r="O413" i="3"/>
  <c r="K413" i="3"/>
  <c r="H356" i="3"/>
  <c r="H350" i="3"/>
  <c r="J2251" i="2"/>
  <c r="O350" i="3" l="1"/>
  <c r="P350" i="3"/>
  <c r="L350" i="3"/>
  <c r="M350" i="3"/>
  <c r="N350" i="3"/>
  <c r="K350" i="3"/>
  <c r="P358" i="3"/>
  <c r="L358" i="3"/>
  <c r="M358" i="3"/>
  <c r="N358" i="3"/>
  <c r="O358" i="3"/>
  <c r="K358" i="3"/>
  <c r="P363" i="3"/>
  <c r="L363" i="3"/>
  <c r="M363" i="3"/>
  <c r="N363" i="3"/>
  <c r="O363" i="3"/>
  <c r="K363" i="3"/>
  <c r="M377" i="3"/>
  <c r="N377" i="3"/>
  <c r="O377" i="3"/>
  <c r="L377" i="3"/>
  <c r="P377" i="3"/>
  <c r="K377" i="3"/>
  <c r="N401" i="3"/>
  <c r="O401" i="3"/>
  <c r="P401" i="3"/>
  <c r="L401" i="3"/>
  <c r="M401" i="3"/>
  <c r="K401" i="3"/>
  <c r="N393" i="3"/>
  <c r="O393" i="3"/>
  <c r="L393" i="3"/>
  <c r="M393" i="3"/>
  <c r="P393" i="3"/>
  <c r="K393" i="3"/>
  <c r="N357" i="3"/>
  <c r="M357" i="3"/>
  <c r="O357" i="3"/>
  <c r="P357" i="3"/>
  <c r="L357" i="3"/>
  <c r="K357" i="3"/>
  <c r="L361" i="3"/>
  <c r="M361" i="3"/>
  <c r="N361" i="3"/>
  <c r="O361" i="3"/>
  <c r="P361" i="3"/>
  <c r="K361" i="3"/>
  <c r="P378" i="3"/>
  <c r="L378" i="3"/>
  <c r="M378" i="3"/>
  <c r="K378" i="3"/>
  <c r="O378" i="3"/>
  <c r="N378" i="3"/>
  <c r="L400" i="3"/>
  <c r="M400" i="3"/>
  <c r="N400" i="3"/>
  <c r="O400" i="3"/>
  <c r="P400" i="3"/>
  <c r="K400" i="3"/>
  <c r="L392" i="3"/>
  <c r="O392" i="3"/>
  <c r="M392" i="3"/>
  <c r="K392" i="3"/>
  <c r="N392" i="3"/>
  <c r="P392" i="3"/>
  <c r="P399" i="3"/>
  <c r="N399" i="3"/>
  <c r="O399" i="3"/>
  <c r="L399" i="3"/>
  <c r="M399" i="3"/>
  <c r="K399" i="3"/>
  <c r="N372" i="3"/>
  <c r="O372" i="3"/>
  <c r="P372" i="3"/>
  <c r="L372" i="3"/>
  <c r="M372" i="3"/>
  <c r="K372" i="3"/>
  <c r="O367" i="3"/>
  <c r="P367" i="3"/>
  <c r="M367" i="3"/>
  <c r="N367" i="3"/>
  <c r="K367" i="3"/>
  <c r="L367" i="3"/>
  <c r="N397" i="3"/>
  <c r="O397" i="3"/>
  <c r="P397" i="3"/>
  <c r="L397" i="3"/>
  <c r="M397" i="3"/>
  <c r="K397" i="3"/>
  <c r="O360" i="3"/>
  <c r="P360" i="3"/>
  <c r="N360" i="3"/>
  <c r="L360" i="3"/>
  <c r="M360" i="3"/>
  <c r="K360" i="3"/>
  <c r="L373" i="3"/>
  <c r="M373" i="3"/>
  <c r="P373" i="3"/>
  <c r="N373" i="3"/>
  <c r="O373" i="3"/>
  <c r="K373" i="3"/>
  <c r="O405" i="3"/>
  <c r="P405" i="3"/>
  <c r="M405" i="3"/>
  <c r="N405" i="3"/>
  <c r="K405" i="3"/>
  <c r="L405" i="3"/>
  <c r="L366" i="3"/>
  <c r="M366" i="3"/>
  <c r="N366" i="3"/>
  <c r="O366" i="3"/>
  <c r="K366" i="3"/>
  <c r="P366" i="3"/>
  <c r="L374" i="3"/>
  <c r="M374" i="3"/>
  <c r="N374" i="3"/>
  <c r="P374" i="3"/>
  <c r="O374" i="3"/>
  <c r="K374" i="3"/>
  <c r="O404" i="3"/>
  <c r="L404" i="3"/>
  <c r="M404" i="3"/>
  <c r="N404" i="3"/>
  <c r="K404" i="3"/>
  <c r="P404" i="3"/>
  <c r="O396" i="3"/>
  <c r="P396" i="3"/>
  <c r="L396" i="3"/>
  <c r="M396" i="3"/>
  <c r="N396" i="3"/>
  <c r="K396" i="3"/>
  <c r="M369" i="3"/>
  <c r="N369" i="3"/>
  <c r="O369" i="3"/>
  <c r="L369" i="3"/>
  <c r="P369" i="3"/>
  <c r="K369" i="3"/>
  <c r="L351" i="3"/>
  <c r="M351" i="3"/>
  <c r="N351" i="3"/>
  <c r="O351" i="3"/>
  <c r="P351" i="3"/>
  <c r="K351" i="3"/>
  <c r="M398" i="3"/>
  <c r="N398" i="3"/>
  <c r="L398" i="3"/>
  <c r="O398" i="3"/>
  <c r="P398" i="3"/>
  <c r="K398" i="3"/>
  <c r="O375" i="3"/>
  <c r="P375" i="3"/>
  <c r="L375" i="3"/>
  <c r="M375" i="3"/>
  <c r="N375" i="3"/>
  <c r="K375" i="3"/>
  <c r="L395" i="3"/>
  <c r="M395" i="3"/>
  <c r="N395" i="3"/>
  <c r="O395" i="3"/>
  <c r="P395" i="3"/>
  <c r="K395" i="3"/>
  <c r="P407" i="3"/>
  <c r="N407" i="3"/>
  <c r="O407" i="3"/>
  <c r="L407" i="3"/>
  <c r="M407" i="3"/>
  <c r="K407" i="3"/>
  <c r="L368" i="3"/>
  <c r="M368" i="3"/>
  <c r="N368" i="3"/>
  <c r="O368" i="3"/>
  <c r="P368" i="3"/>
  <c r="K368" i="3"/>
  <c r="M406" i="3"/>
  <c r="L406" i="3"/>
  <c r="N406" i="3"/>
  <c r="O406" i="3"/>
  <c r="P406" i="3"/>
  <c r="K406" i="3"/>
  <c r="N365" i="3"/>
  <c r="M365" i="3"/>
  <c r="O365" i="3"/>
  <c r="P365" i="3"/>
  <c r="L365" i="3"/>
  <c r="K365" i="3"/>
  <c r="L403" i="3"/>
  <c r="M403" i="3"/>
  <c r="P403" i="3"/>
  <c r="K403" i="3"/>
  <c r="N403" i="3"/>
  <c r="O403" i="3"/>
  <c r="L356" i="3"/>
  <c r="N356" i="3"/>
  <c r="O356" i="3"/>
  <c r="P356" i="3"/>
  <c r="M356" i="3"/>
  <c r="K356" i="3"/>
  <c r="M364" i="3"/>
  <c r="N364" i="3"/>
  <c r="O364" i="3"/>
  <c r="L364" i="3"/>
  <c r="P364" i="3"/>
  <c r="K364" i="3"/>
  <c r="L376" i="3"/>
  <c r="M376" i="3"/>
  <c r="N376" i="3"/>
  <c r="O376" i="3"/>
  <c r="P376" i="3"/>
  <c r="K376" i="3"/>
  <c r="L402" i="3"/>
  <c r="M402" i="3"/>
  <c r="N402" i="3"/>
  <c r="O402" i="3"/>
  <c r="K402" i="3"/>
  <c r="P402" i="3"/>
  <c r="L394" i="3"/>
  <c r="M394" i="3"/>
  <c r="K394" i="3"/>
  <c r="N394" i="3"/>
  <c r="O394" i="3"/>
  <c r="P394" i="3"/>
  <c r="I335" i="3"/>
  <c r="J335" i="3" s="1"/>
  <c r="I336" i="3"/>
  <c r="J336" i="3" s="1"/>
  <c r="P339" i="3" l="1"/>
  <c r="L339" i="3"/>
  <c r="M339" i="3"/>
  <c r="N339" i="3"/>
  <c r="O339" i="3"/>
  <c r="K339" i="3"/>
  <c r="O328" i="3"/>
  <c r="L328" i="3"/>
  <c r="M328" i="3"/>
  <c r="N328" i="3"/>
  <c r="P328" i="3"/>
  <c r="K328" i="3"/>
  <c r="O288" i="3"/>
  <c r="L288" i="3"/>
  <c r="M288" i="3"/>
  <c r="N288" i="3"/>
  <c r="P288" i="3"/>
  <c r="K288" i="3"/>
  <c r="L337" i="3"/>
  <c r="M337" i="3"/>
  <c r="N337" i="3"/>
  <c r="O337" i="3"/>
  <c r="P337" i="3"/>
  <c r="K337" i="3"/>
  <c r="M298" i="3"/>
  <c r="L298" i="3"/>
  <c r="N298" i="3"/>
  <c r="O298" i="3"/>
  <c r="P298" i="3"/>
  <c r="K298" i="3"/>
  <c r="M321" i="3"/>
  <c r="N321" i="3"/>
  <c r="O321" i="3"/>
  <c r="P321" i="3"/>
  <c r="L321" i="3"/>
  <c r="K321" i="3"/>
  <c r="N341" i="3"/>
  <c r="L341" i="3"/>
  <c r="P341" i="3"/>
  <c r="M341" i="3"/>
  <c r="O341" i="3"/>
  <c r="K341" i="3"/>
  <c r="L297" i="3"/>
  <c r="M297" i="3"/>
  <c r="N297" i="3"/>
  <c r="O297" i="3"/>
  <c r="P297" i="3"/>
  <c r="K297" i="3"/>
  <c r="M322" i="3"/>
  <c r="O322" i="3"/>
  <c r="L322" i="3"/>
  <c r="K322" i="3"/>
  <c r="N322" i="3"/>
  <c r="P322" i="3"/>
  <c r="N340" i="3"/>
  <c r="O340" i="3"/>
  <c r="P340" i="3"/>
  <c r="L340" i="3"/>
  <c r="M340" i="3"/>
  <c r="K340" i="3"/>
  <c r="L327" i="3"/>
  <c r="O327" i="3"/>
  <c r="N327" i="3"/>
  <c r="P327" i="3"/>
  <c r="K327" i="3"/>
  <c r="M327" i="3"/>
  <c r="M306" i="3"/>
  <c r="N306" i="3"/>
  <c r="O306" i="3"/>
  <c r="P306" i="3"/>
  <c r="L306" i="3"/>
  <c r="K306" i="3"/>
  <c r="M338" i="3"/>
  <c r="O338" i="3"/>
  <c r="P338" i="3"/>
  <c r="L338" i="3"/>
  <c r="K338" i="3"/>
  <c r="N338" i="3"/>
  <c r="L311" i="3"/>
  <c r="N311" i="3"/>
  <c r="O311" i="3"/>
  <c r="P311" i="3"/>
  <c r="M311" i="3"/>
  <c r="K311" i="3"/>
  <c r="N333" i="3"/>
  <c r="L333" i="3"/>
  <c r="M333" i="3"/>
  <c r="O333" i="3"/>
  <c r="P333" i="3"/>
  <c r="K333" i="3"/>
  <c r="L292" i="3"/>
  <c r="P292" i="3"/>
  <c r="N292" i="3"/>
  <c r="O292" i="3"/>
  <c r="M292" i="3"/>
  <c r="K292" i="3"/>
  <c r="L310" i="3"/>
  <c r="M310" i="3"/>
  <c r="N310" i="3"/>
  <c r="O310" i="3"/>
  <c r="P310" i="3"/>
  <c r="K310" i="3"/>
  <c r="O344" i="3"/>
  <c r="L344" i="3"/>
  <c r="M344" i="3"/>
  <c r="N344" i="3"/>
  <c r="P344" i="3"/>
  <c r="K344" i="3"/>
  <c r="O336" i="3"/>
  <c r="P336" i="3"/>
  <c r="L336" i="3"/>
  <c r="M336" i="3"/>
  <c r="N336" i="3"/>
  <c r="K336" i="3"/>
  <c r="P315" i="3"/>
  <c r="L315" i="3"/>
  <c r="M315" i="3"/>
  <c r="N315" i="3"/>
  <c r="K315" i="3"/>
  <c r="O315" i="3"/>
  <c r="L343" i="3"/>
  <c r="M343" i="3"/>
  <c r="N343" i="3"/>
  <c r="O343" i="3"/>
  <c r="P343" i="3"/>
  <c r="K343" i="3"/>
  <c r="L335" i="3"/>
  <c r="M335" i="3"/>
  <c r="N335" i="3"/>
  <c r="O335" i="3"/>
  <c r="P335" i="3"/>
  <c r="K335" i="3"/>
  <c r="O296" i="3"/>
  <c r="M296" i="3"/>
  <c r="N296" i="3"/>
  <c r="P296" i="3"/>
  <c r="L296" i="3"/>
  <c r="K296" i="3"/>
  <c r="N316" i="3"/>
  <c r="O316" i="3"/>
  <c r="P316" i="3"/>
  <c r="M316" i="3"/>
  <c r="L316" i="3"/>
  <c r="K316" i="3"/>
  <c r="M342" i="3"/>
  <c r="N342" i="3"/>
  <c r="O342" i="3"/>
  <c r="P342" i="3"/>
  <c r="L342" i="3"/>
  <c r="K342" i="3"/>
  <c r="P334" i="3"/>
  <c r="N334" i="3"/>
  <c r="O334" i="3"/>
  <c r="L334" i="3"/>
  <c r="M334" i="3"/>
  <c r="K334" i="3"/>
  <c r="I256" i="3"/>
  <c r="J256" i="3" s="1"/>
  <c r="I257" i="3"/>
  <c r="J257" i="3" s="1"/>
  <c r="I258" i="3"/>
  <c r="J258" i="3" s="1"/>
  <c r="I259" i="3"/>
  <c r="J259" i="3" s="1"/>
  <c r="I260" i="3"/>
  <c r="J260" i="3" s="1"/>
  <c r="I261" i="3"/>
  <c r="J261" i="3" s="1"/>
  <c r="I262" i="3"/>
  <c r="J262" i="3" s="1"/>
  <c r="I263" i="3"/>
  <c r="J263" i="3" s="1"/>
  <c r="I264" i="3"/>
  <c r="J264" i="3" s="1"/>
  <c r="I265" i="3"/>
  <c r="J265" i="3" s="1"/>
  <c r="I266" i="3"/>
  <c r="J266" i="3" s="1"/>
  <c r="I267" i="3"/>
  <c r="J267" i="3" s="1"/>
  <c r="I268" i="3"/>
  <c r="J268" i="3" s="1"/>
  <c r="I255" i="3"/>
  <c r="J255" i="3" s="1"/>
  <c r="I250" i="3"/>
  <c r="J250" i="3" s="1"/>
  <c r="L251" i="3" l="1"/>
  <c r="M251" i="3"/>
  <c r="N251" i="3"/>
  <c r="O251" i="3"/>
  <c r="K251" i="3"/>
  <c r="L263" i="3"/>
  <c r="M263" i="3"/>
  <c r="N263" i="3"/>
  <c r="O263" i="3"/>
  <c r="P263" i="3"/>
  <c r="K263" i="3"/>
  <c r="M273" i="3"/>
  <c r="N273" i="3"/>
  <c r="O273" i="3"/>
  <c r="P273" i="3"/>
  <c r="L273" i="3"/>
  <c r="K273" i="3"/>
  <c r="M250" i="3"/>
  <c r="N250" i="3"/>
  <c r="O250" i="3"/>
  <c r="P250" i="3"/>
  <c r="L250" i="3"/>
  <c r="K250" i="3"/>
  <c r="N262" i="3"/>
  <c r="O262" i="3"/>
  <c r="P262" i="3"/>
  <c r="M262" i="3"/>
  <c r="K262" i="3"/>
  <c r="L262" i="3"/>
  <c r="M274" i="3"/>
  <c r="L274" i="3"/>
  <c r="N274" i="3"/>
  <c r="K274" i="3"/>
  <c r="O274" i="3"/>
  <c r="P274" i="3"/>
  <c r="N261" i="3"/>
  <c r="O261" i="3"/>
  <c r="L261" i="3"/>
  <c r="P261" i="3"/>
  <c r="K261" i="3"/>
  <c r="M261" i="3"/>
  <c r="N268" i="3"/>
  <c r="O268" i="3"/>
  <c r="P268" i="3"/>
  <c r="L268" i="3"/>
  <c r="M268" i="3"/>
  <c r="K268" i="3"/>
  <c r="P267" i="3"/>
  <c r="L267" i="3"/>
  <c r="M267" i="3"/>
  <c r="N267" i="3"/>
  <c r="O267" i="3"/>
  <c r="K267" i="3"/>
  <c r="L260" i="3"/>
  <c r="N260" i="3"/>
  <c r="O260" i="3"/>
  <c r="P260" i="3"/>
  <c r="M260" i="3"/>
  <c r="K260" i="3"/>
  <c r="M266" i="3"/>
  <c r="O266" i="3"/>
  <c r="P266" i="3"/>
  <c r="N266" i="3"/>
  <c r="L266" i="3"/>
  <c r="K266" i="3"/>
  <c r="L255" i="3"/>
  <c r="M255" i="3"/>
  <c r="N255" i="3"/>
  <c r="O255" i="3"/>
  <c r="P255" i="3"/>
  <c r="K255" i="3"/>
  <c r="P259" i="3"/>
  <c r="L259" i="3"/>
  <c r="M259" i="3"/>
  <c r="N259" i="3"/>
  <c r="O259" i="3"/>
  <c r="K259" i="3"/>
  <c r="M258" i="3"/>
  <c r="N258" i="3"/>
  <c r="L258" i="3"/>
  <c r="O258" i="3"/>
  <c r="P258" i="3"/>
  <c r="K258" i="3"/>
  <c r="L265" i="3"/>
  <c r="M265" i="3"/>
  <c r="N265" i="3"/>
  <c r="P265" i="3"/>
  <c r="O265" i="3"/>
  <c r="K265" i="3"/>
  <c r="M278" i="3"/>
  <c r="N278" i="3"/>
  <c r="O278" i="3"/>
  <c r="P278" i="3"/>
  <c r="L278" i="3"/>
  <c r="K278" i="3"/>
  <c r="P283" i="3"/>
  <c r="L283" i="3"/>
  <c r="M283" i="3"/>
  <c r="N283" i="3"/>
  <c r="O283" i="3"/>
  <c r="K283" i="3"/>
  <c r="L257" i="3"/>
  <c r="P257" i="3"/>
  <c r="N257" i="3"/>
  <c r="M257" i="3"/>
  <c r="O257" i="3"/>
  <c r="K257" i="3"/>
  <c r="O264" i="3"/>
  <c r="P264" i="3"/>
  <c r="N264" i="3"/>
  <c r="L264" i="3"/>
  <c r="M264" i="3"/>
  <c r="K264" i="3"/>
  <c r="O256" i="3"/>
  <c r="P256" i="3"/>
  <c r="L256" i="3"/>
  <c r="M256" i="3"/>
  <c r="N256" i="3"/>
  <c r="K256" i="3"/>
  <c r="H251" i="3"/>
  <c r="P251" i="3" s="1"/>
  <c r="M242" i="3" l="1"/>
  <c r="N242" i="3"/>
  <c r="L242" i="3"/>
  <c r="O242" i="3"/>
  <c r="P242" i="3"/>
  <c r="K242" i="3"/>
  <c r="P241" i="3"/>
  <c r="L241" i="3"/>
  <c r="M241" i="3"/>
  <c r="N241" i="3"/>
  <c r="K241" i="3"/>
  <c r="O241" i="3"/>
  <c r="I219" i="3"/>
  <c r="J219" i="3" s="1"/>
  <c r="I220" i="3"/>
  <c r="J220" i="3" s="1"/>
  <c r="H128" i="3"/>
  <c r="L136" i="3" l="1"/>
  <c r="M136" i="3"/>
  <c r="N136" i="3"/>
  <c r="O136" i="3"/>
  <c r="P136" i="3"/>
  <c r="K136" i="3"/>
  <c r="O161" i="3"/>
  <c r="P161" i="3"/>
  <c r="L161" i="3"/>
  <c r="M161" i="3"/>
  <c r="N161" i="3"/>
  <c r="K161" i="3"/>
  <c r="L197" i="3"/>
  <c r="P197" i="3"/>
  <c r="N197" i="3"/>
  <c r="O197" i="3"/>
  <c r="M197" i="3"/>
  <c r="K197" i="3"/>
  <c r="L189" i="3"/>
  <c r="O189" i="3"/>
  <c r="P189" i="3"/>
  <c r="M189" i="3"/>
  <c r="N189" i="3"/>
  <c r="K189" i="3"/>
  <c r="O207" i="3"/>
  <c r="P207" i="3"/>
  <c r="M207" i="3"/>
  <c r="L207" i="3"/>
  <c r="N207" i="3"/>
  <c r="K207" i="3"/>
  <c r="L231" i="3"/>
  <c r="M231" i="3"/>
  <c r="N231" i="3"/>
  <c r="O231" i="3"/>
  <c r="P231" i="3"/>
  <c r="K231" i="3"/>
  <c r="L144" i="3"/>
  <c r="M144" i="3"/>
  <c r="N144" i="3"/>
  <c r="O144" i="3"/>
  <c r="P144" i="3"/>
  <c r="K144" i="3"/>
  <c r="N158" i="3"/>
  <c r="O158" i="3"/>
  <c r="P158" i="3"/>
  <c r="L158" i="3"/>
  <c r="M158" i="3"/>
  <c r="K158" i="3"/>
  <c r="O175" i="3"/>
  <c r="P175" i="3"/>
  <c r="L175" i="3"/>
  <c r="M175" i="3"/>
  <c r="N175" i="3"/>
  <c r="K175" i="3"/>
  <c r="N118" i="3"/>
  <c r="O118" i="3"/>
  <c r="P118" i="3"/>
  <c r="L118" i="3"/>
  <c r="M118" i="3"/>
  <c r="K118" i="3"/>
  <c r="P143" i="3"/>
  <c r="L143" i="3"/>
  <c r="M143" i="3"/>
  <c r="N143" i="3"/>
  <c r="O143" i="3"/>
  <c r="K143" i="3"/>
  <c r="L135" i="3"/>
  <c r="O135" i="3"/>
  <c r="P135" i="3"/>
  <c r="N135" i="3"/>
  <c r="M135" i="3"/>
  <c r="K135" i="3"/>
  <c r="L168" i="3"/>
  <c r="M168" i="3"/>
  <c r="N168" i="3"/>
  <c r="O168" i="3"/>
  <c r="P168" i="3"/>
  <c r="K168" i="3"/>
  <c r="L160" i="3"/>
  <c r="M160" i="3"/>
  <c r="N160" i="3"/>
  <c r="O160" i="3"/>
  <c r="P160" i="3"/>
  <c r="K160" i="3"/>
  <c r="N174" i="3"/>
  <c r="O174" i="3"/>
  <c r="P174" i="3"/>
  <c r="L174" i="3"/>
  <c r="M174" i="3"/>
  <c r="K174" i="3"/>
  <c r="P196" i="3"/>
  <c r="L196" i="3"/>
  <c r="M196" i="3"/>
  <c r="N196" i="3"/>
  <c r="O196" i="3"/>
  <c r="K196" i="3"/>
  <c r="N206" i="3"/>
  <c r="O206" i="3"/>
  <c r="L206" i="3"/>
  <c r="M206" i="3"/>
  <c r="P206" i="3"/>
  <c r="K206" i="3"/>
  <c r="L220" i="3"/>
  <c r="M220" i="3"/>
  <c r="N220" i="3"/>
  <c r="O220" i="3"/>
  <c r="P220" i="3"/>
  <c r="K220" i="3"/>
  <c r="O230" i="3"/>
  <c r="P230" i="3"/>
  <c r="M230" i="3"/>
  <c r="L230" i="3"/>
  <c r="N230" i="3"/>
  <c r="K230" i="3"/>
  <c r="P188" i="3"/>
  <c r="L188" i="3"/>
  <c r="M188" i="3"/>
  <c r="N188" i="3"/>
  <c r="O188" i="3"/>
  <c r="K188" i="3"/>
  <c r="N213" i="3"/>
  <c r="O213" i="3"/>
  <c r="P213" i="3"/>
  <c r="M213" i="3"/>
  <c r="L213" i="3"/>
  <c r="K213" i="3"/>
  <c r="L141" i="3"/>
  <c r="M141" i="3"/>
  <c r="O141" i="3"/>
  <c r="P141" i="3"/>
  <c r="N141" i="3"/>
  <c r="K141" i="3"/>
  <c r="L194" i="3"/>
  <c r="M194" i="3"/>
  <c r="N194" i="3"/>
  <c r="P194" i="3"/>
  <c r="K194" i="3"/>
  <c r="O194" i="3"/>
  <c r="O238" i="3"/>
  <c r="P238" i="3"/>
  <c r="N238" i="3"/>
  <c r="L238" i="3"/>
  <c r="M238" i="3"/>
  <c r="K238" i="3"/>
  <c r="M123" i="3"/>
  <c r="N123" i="3"/>
  <c r="O123" i="3"/>
  <c r="P123" i="3"/>
  <c r="L123" i="3"/>
  <c r="K123" i="3"/>
  <c r="M115" i="3"/>
  <c r="N115" i="3"/>
  <c r="O115" i="3"/>
  <c r="P115" i="3"/>
  <c r="L115" i="3"/>
  <c r="K115" i="3"/>
  <c r="P140" i="3"/>
  <c r="N140" i="3"/>
  <c r="O140" i="3"/>
  <c r="L140" i="3"/>
  <c r="M140" i="3"/>
  <c r="K140" i="3"/>
  <c r="M147" i="3"/>
  <c r="N147" i="3"/>
  <c r="O147" i="3"/>
  <c r="L147" i="3"/>
  <c r="P147" i="3"/>
  <c r="K147" i="3"/>
  <c r="L165" i="3"/>
  <c r="M165" i="3"/>
  <c r="N165" i="3"/>
  <c r="O165" i="3"/>
  <c r="P165" i="3"/>
  <c r="K165" i="3"/>
  <c r="M179" i="3"/>
  <c r="N179" i="3"/>
  <c r="O179" i="3"/>
  <c r="L179" i="3"/>
  <c r="P179" i="3"/>
  <c r="K179" i="3"/>
  <c r="O201" i="3"/>
  <c r="P201" i="3"/>
  <c r="N201" i="3"/>
  <c r="L201" i="3"/>
  <c r="M201" i="3"/>
  <c r="K201" i="3"/>
  <c r="O193" i="3"/>
  <c r="P193" i="3"/>
  <c r="L193" i="3"/>
  <c r="M193" i="3"/>
  <c r="N193" i="3"/>
  <c r="K193" i="3"/>
  <c r="M211" i="3"/>
  <c r="P211" i="3"/>
  <c r="O211" i="3"/>
  <c r="L211" i="3"/>
  <c r="K211" i="3"/>
  <c r="N211" i="3"/>
  <c r="N221" i="3"/>
  <c r="O221" i="3"/>
  <c r="P221" i="3"/>
  <c r="L221" i="3"/>
  <c r="M221" i="3"/>
  <c r="K221" i="3"/>
  <c r="O113" i="3"/>
  <c r="P113" i="3"/>
  <c r="L113" i="3"/>
  <c r="M113" i="3"/>
  <c r="N113" i="3"/>
  <c r="K113" i="3"/>
  <c r="N134" i="3"/>
  <c r="O134" i="3"/>
  <c r="P134" i="3"/>
  <c r="L134" i="3"/>
  <c r="M134" i="3"/>
  <c r="K134" i="3"/>
  <c r="P159" i="3"/>
  <c r="L159" i="3"/>
  <c r="M159" i="3"/>
  <c r="N159" i="3"/>
  <c r="O159" i="3"/>
  <c r="K159" i="3"/>
  <c r="N237" i="3"/>
  <c r="O237" i="3"/>
  <c r="L237" i="3"/>
  <c r="M237" i="3"/>
  <c r="P237" i="3"/>
  <c r="K237" i="3"/>
  <c r="N166" i="3"/>
  <c r="O166" i="3"/>
  <c r="P166" i="3"/>
  <c r="M166" i="3"/>
  <c r="L166" i="3"/>
  <c r="K166" i="3"/>
  <c r="L114" i="3"/>
  <c r="M114" i="3"/>
  <c r="P114" i="3"/>
  <c r="N114" i="3"/>
  <c r="O114" i="3"/>
  <c r="K114" i="3"/>
  <c r="P164" i="3"/>
  <c r="L164" i="3"/>
  <c r="N164" i="3"/>
  <c r="M164" i="3"/>
  <c r="O164" i="3"/>
  <c r="K164" i="3"/>
  <c r="L178" i="3"/>
  <c r="N178" i="3"/>
  <c r="O178" i="3"/>
  <c r="P178" i="3"/>
  <c r="M178" i="3"/>
  <c r="K178" i="3"/>
  <c r="L200" i="3"/>
  <c r="M200" i="3"/>
  <c r="N200" i="3"/>
  <c r="O200" i="3"/>
  <c r="P200" i="3"/>
  <c r="K200" i="3"/>
  <c r="L192" i="3"/>
  <c r="M192" i="3"/>
  <c r="N192" i="3"/>
  <c r="O192" i="3"/>
  <c r="P192" i="3"/>
  <c r="K192" i="3"/>
  <c r="L210" i="3"/>
  <c r="M210" i="3"/>
  <c r="N210" i="3"/>
  <c r="O210" i="3"/>
  <c r="P210" i="3"/>
  <c r="K210" i="3"/>
  <c r="N229" i="3"/>
  <c r="O229" i="3"/>
  <c r="P229" i="3"/>
  <c r="L229" i="3"/>
  <c r="M229" i="3"/>
  <c r="K229" i="3"/>
  <c r="L117" i="3"/>
  <c r="M117" i="3"/>
  <c r="N117" i="3"/>
  <c r="O117" i="3"/>
  <c r="P117" i="3"/>
  <c r="K117" i="3"/>
  <c r="P116" i="3"/>
  <c r="L116" i="3"/>
  <c r="M116" i="3"/>
  <c r="N116" i="3"/>
  <c r="O116" i="3"/>
  <c r="K116" i="3"/>
  <c r="L173" i="3"/>
  <c r="M173" i="3"/>
  <c r="N173" i="3"/>
  <c r="O173" i="3"/>
  <c r="P173" i="3"/>
  <c r="K173" i="3"/>
  <c r="L222" i="3"/>
  <c r="M222" i="3"/>
  <c r="N222" i="3"/>
  <c r="O222" i="3"/>
  <c r="P222" i="3"/>
  <c r="K222" i="3"/>
  <c r="M139" i="3"/>
  <c r="N139" i="3"/>
  <c r="O139" i="3"/>
  <c r="L139" i="3"/>
  <c r="P139" i="3"/>
  <c r="K139" i="3"/>
  <c r="O121" i="3"/>
  <c r="P121" i="3"/>
  <c r="M121" i="3"/>
  <c r="N121" i="3"/>
  <c r="L121" i="3"/>
  <c r="K121" i="3"/>
  <c r="L154" i="3"/>
  <c r="N154" i="3"/>
  <c r="O154" i="3"/>
  <c r="P154" i="3"/>
  <c r="M154" i="3"/>
  <c r="K154" i="3"/>
  <c r="L199" i="3"/>
  <c r="M199" i="3"/>
  <c r="N199" i="3"/>
  <c r="O199" i="3"/>
  <c r="P199" i="3"/>
  <c r="K199" i="3"/>
  <c r="L119" i="3"/>
  <c r="M119" i="3"/>
  <c r="N119" i="3"/>
  <c r="O119" i="3"/>
  <c r="P119" i="3"/>
  <c r="K119" i="3"/>
  <c r="N142" i="3"/>
  <c r="O142" i="3"/>
  <c r="P142" i="3"/>
  <c r="L142" i="3"/>
  <c r="M142" i="3"/>
  <c r="K142" i="3"/>
  <c r="O167" i="3"/>
  <c r="P167" i="3"/>
  <c r="L167" i="3"/>
  <c r="M167" i="3"/>
  <c r="N167" i="3"/>
  <c r="K167" i="3"/>
  <c r="M195" i="3"/>
  <c r="N195" i="3"/>
  <c r="L195" i="3"/>
  <c r="O195" i="3"/>
  <c r="P195" i="3"/>
  <c r="K195" i="3"/>
  <c r="P219" i="3"/>
  <c r="M219" i="3"/>
  <c r="N219" i="3"/>
  <c r="O219" i="3"/>
  <c r="L219" i="3"/>
  <c r="K219" i="3"/>
  <c r="P124" i="3"/>
  <c r="N124" i="3"/>
  <c r="O124" i="3"/>
  <c r="L124" i="3"/>
  <c r="M124" i="3"/>
  <c r="K124" i="3"/>
  <c r="P148" i="3"/>
  <c r="M148" i="3"/>
  <c r="N148" i="3"/>
  <c r="O148" i="3"/>
  <c r="L148" i="3"/>
  <c r="K148" i="3"/>
  <c r="N202" i="3"/>
  <c r="O202" i="3"/>
  <c r="P202" i="3"/>
  <c r="L202" i="3"/>
  <c r="M202" i="3"/>
  <c r="K202" i="3"/>
  <c r="L212" i="3"/>
  <c r="M212" i="3"/>
  <c r="N212" i="3"/>
  <c r="O212" i="3"/>
  <c r="P212" i="3"/>
  <c r="K212" i="3"/>
  <c r="L122" i="3"/>
  <c r="M122" i="3"/>
  <c r="N122" i="3"/>
  <c r="P122" i="3"/>
  <c r="K122" i="3"/>
  <c r="O122" i="3"/>
  <c r="L152" i="3"/>
  <c r="M152" i="3"/>
  <c r="N152" i="3"/>
  <c r="O152" i="3"/>
  <c r="P152" i="3"/>
  <c r="K152" i="3"/>
  <c r="L138" i="3"/>
  <c r="M138" i="3"/>
  <c r="P138" i="3"/>
  <c r="K138" i="3"/>
  <c r="N138" i="3"/>
  <c r="O138" i="3"/>
  <c r="M163" i="3"/>
  <c r="N163" i="3"/>
  <c r="O163" i="3"/>
  <c r="L163" i="3"/>
  <c r="P163" i="3"/>
  <c r="K163" i="3"/>
  <c r="O177" i="3"/>
  <c r="P177" i="3"/>
  <c r="M177" i="3"/>
  <c r="N177" i="3"/>
  <c r="L177" i="3"/>
  <c r="K177" i="3"/>
  <c r="O191" i="3"/>
  <c r="P191" i="3"/>
  <c r="M191" i="3"/>
  <c r="N191" i="3"/>
  <c r="L191" i="3"/>
  <c r="K191" i="3"/>
  <c r="O209" i="3"/>
  <c r="P209" i="3"/>
  <c r="L209" i="3"/>
  <c r="M209" i="3"/>
  <c r="N209" i="3"/>
  <c r="K209" i="3"/>
  <c r="L233" i="3"/>
  <c r="N233" i="3"/>
  <c r="O233" i="3"/>
  <c r="P233" i="3"/>
  <c r="M233" i="3"/>
  <c r="K233" i="3"/>
  <c r="L120" i="3"/>
  <c r="M120" i="3"/>
  <c r="N120" i="3"/>
  <c r="O120" i="3"/>
  <c r="K120" i="3"/>
  <c r="P120" i="3"/>
  <c r="L133" i="3"/>
  <c r="M133" i="3"/>
  <c r="N133" i="3"/>
  <c r="O133" i="3"/>
  <c r="P133" i="3"/>
  <c r="K133" i="3"/>
  <c r="O137" i="3"/>
  <c r="P137" i="3"/>
  <c r="L137" i="3"/>
  <c r="M137" i="3"/>
  <c r="N137" i="3"/>
  <c r="K137" i="3"/>
  <c r="O153" i="3"/>
  <c r="P153" i="3"/>
  <c r="M153" i="3"/>
  <c r="N153" i="3"/>
  <c r="L153" i="3"/>
  <c r="K153" i="3"/>
  <c r="L162" i="3"/>
  <c r="O162" i="3"/>
  <c r="P162" i="3"/>
  <c r="M162" i="3"/>
  <c r="N162" i="3"/>
  <c r="K162" i="3"/>
  <c r="L176" i="3"/>
  <c r="M176" i="3"/>
  <c r="N176" i="3"/>
  <c r="O176" i="3"/>
  <c r="P176" i="3"/>
  <c r="K176" i="3"/>
  <c r="N198" i="3"/>
  <c r="O198" i="3"/>
  <c r="L198" i="3"/>
  <c r="M198" i="3"/>
  <c r="P198" i="3"/>
  <c r="K198" i="3"/>
  <c r="N190" i="3"/>
  <c r="O190" i="3"/>
  <c r="L190" i="3"/>
  <c r="P190" i="3"/>
  <c r="M190" i="3"/>
  <c r="K190" i="3"/>
  <c r="L208" i="3"/>
  <c r="M208" i="3"/>
  <c r="N208" i="3"/>
  <c r="P208" i="3"/>
  <c r="O208" i="3"/>
  <c r="K208" i="3"/>
  <c r="O232" i="3"/>
  <c r="P232" i="3"/>
  <c r="L232" i="3"/>
  <c r="M232" i="3"/>
  <c r="N232" i="3"/>
  <c r="K232" i="3"/>
  <c r="D53" i="3"/>
  <c r="P60" i="3" l="1"/>
  <c r="N60" i="3"/>
  <c r="M60" i="3"/>
  <c r="O60" i="3"/>
  <c r="L60" i="3"/>
  <c r="K60" i="3"/>
  <c r="L53" i="3"/>
  <c r="M53" i="3"/>
  <c r="N53" i="3"/>
  <c r="O53" i="3"/>
  <c r="K53" i="3"/>
  <c r="L72" i="3"/>
  <c r="M72" i="3"/>
  <c r="N72" i="3"/>
  <c r="O72" i="3"/>
  <c r="P72" i="3"/>
  <c r="K72" i="3"/>
  <c r="L85" i="3"/>
  <c r="M85" i="3"/>
  <c r="N85" i="3"/>
  <c r="O85" i="3"/>
  <c r="P85" i="3"/>
  <c r="K85" i="3"/>
  <c r="L77" i="3"/>
  <c r="M77" i="3"/>
  <c r="N77" i="3"/>
  <c r="P77" i="3"/>
  <c r="O77" i="3"/>
  <c r="K77" i="3"/>
  <c r="M107" i="3"/>
  <c r="N107" i="3"/>
  <c r="O107" i="3"/>
  <c r="P107" i="3"/>
  <c r="L107" i="3"/>
  <c r="K107" i="3"/>
  <c r="P28" i="3"/>
  <c r="M28" i="3"/>
  <c r="N28" i="3"/>
  <c r="L28" i="3"/>
  <c r="O28" i="3"/>
  <c r="K28" i="3"/>
  <c r="L87" i="3"/>
  <c r="N87" i="3"/>
  <c r="O87" i="3"/>
  <c r="P87" i="3"/>
  <c r="M87" i="3"/>
  <c r="K87" i="3"/>
  <c r="L56" i="3"/>
  <c r="M56" i="3"/>
  <c r="N56" i="3"/>
  <c r="O56" i="3"/>
  <c r="P56" i="3"/>
  <c r="K56" i="3"/>
  <c r="P84" i="3"/>
  <c r="M84" i="3"/>
  <c r="N84" i="3"/>
  <c r="O84" i="3"/>
  <c r="L84" i="3"/>
  <c r="K84" i="3"/>
  <c r="L106" i="3"/>
  <c r="M106" i="3"/>
  <c r="N106" i="3"/>
  <c r="O106" i="3"/>
  <c r="K106" i="3"/>
  <c r="P106" i="3"/>
  <c r="L29" i="3"/>
  <c r="M29" i="3"/>
  <c r="N29" i="3"/>
  <c r="P29" i="3"/>
  <c r="O29" i="3"/>
  <c r="K29" i="3"/>
  <c r="L79" i="3"/>
  <c r="M79" i="3"/>
  <c r="P79" i="3"/>
  <c r="O79" i="3"/>
  <c r="N79" i="3"/>
  <c r="K79" i="3"/>
  <c r="M35" i="3"/>
  <c r="N35" i="3"/>
  <c r="O35" i="3"/>
  <c r="P35" i="3"/>
  <c r="L35" i="3"/>
  <c r="K35" i="3"/>
  <c r="L34" i="3"/>
  <c r="M34" i="3"/>
  <c r="P34" i="3"/>
  <c r="O34" i="3"/>
  <c r="N34" i="3"/>
  <c r="K34" i="3"/>
  <c r="L71" i="3"/>
  <c r="O71" i="3"/>
  <c r="M71" i="3"/>
  <c r="N71" i="3"/>
  <c r="P71" i="3"/>
  <c r="K71" i="3"/>
  <c r="L93" i="3"/>
  <c r="M93" i="3"/>
  <c r="N93" i="3"/>
  <c r="O93" i="3"/>
  <c r="P93" i="3"/>
  <c r="K93" i="3"/>
  <c r="N46" i="3"/>
  <c r="O46" i="3"/>
  <c r="P46" i="3"/>
  <c r="L46" i="3"/>
  <c r="M46" i="3"/>
  <c r="K46" i="3"/>
  <c r="O33" i="3"/>
  <c r="P33" i="3"/>
  <c r="M33" i="3"/>
  <c r="L33" i="3"/>
  <c r="N33" i="3"/>
  <c r="K33" i="3"/>
  <c r="O57" i="3"/>
  <c r="P57" i="3"/>
  <c r="M57" i="3"/>
  <c r="L57" i="3"/>
  <c r="N57" i="3"/>
  <c r="K57" i="3"/>
  <c r="N70" i="3"/>
  <c r="O70" i="3"/>
  <c r="P70" i="3"/>
  <c r="L70" i="3"/>
  <c r="M70" i="3"/>
  <c r="K70" i="3"/>
  <c r="M83" i="3"/>
  <c r="N83" i="3"/>
  <c r="O83" i="3"/>
  <c r="P83" i="3"/>
  <c r="L83" i="3"/>
  <c r="K83" i="3"/>
  <c r="O97" i="3"/>
  <c r="P97" i="3"/>
  <c r="L97" i="3"/>
  <c r="M97" i="3"/>
  <c r="N97" i="3"/>
  <c r="K97" i="3"/>
  <c r="L69" i="3"/>
  <c r="M69" i="3"/>
  <c r="N69" i="3"/>
  <c r="P69" i="3"/>
  <c r="O69" i="3"/>
  <c r="K69" i="3"/>
  <c r="L39" i="3"/>
  <c r="O39" i="3"/>
  <c r="M39" i="3"/>
  <c r="N39" i="3"/>
  <c r="K39" i="3"/>
  <c r="P39" i="3"/>
  <c r="L31" i="3"/>
  <c r="O31" i="3"/>
  <c r="P31" i="3"/>
  <c r="N31" i="3"/>
  <c r="M31" i="3"/>
  <c r="K31" i="3"/>
  <c r="L64" i="3"/>
  <c r="M64" i="3"/>
  <c r="N64" i="3"/>
  <c r="O64" i="3"/>
  <c r="P64" i="3"/>
  <c r="K64" i="3"/>
  <c r="P68" i="3"/>
  <c r="N68" i="3"/>
  <c r="O68" i="3"/>
  <c r="L68" i="3"/>
  <c r="M68" i="3"/>
  <c r="K68" i="3"/>
  <c r="O81" i="3"/>
  <c r="P81" i="3"/>
  <c r="L81" i="3"/>
  <c r="M81" i="3"/>
  <c r="N81" i="3"/>
  <c r="K81" i="3"/>
  <c r="L95" i="3"/>
  <c r="O95" i="3"/>
  <c r="P95" i="3"/>
  <c r="M95" i="3"/>
  <c r="N95" i="3"/>
  <c r="K95" i="3"/>
  <c r="L82" i="3"/>
  <c r="M82" i="3"/>
  <c r="N82" i="3"/>
  <c r="O82" i="3"/>
  <c r="P82" i="3"/>
  <c r="K82" i="3"/>
  <c r="N38" i="3"/>
  <c r="O38" i="3"/>
  <c r="P38" i="3"/>
  <c r="L38" i="3"/>
  <c r="M38" i="3"/>
  <c r="K38" i="3"/>
  <c r="N30" i="3"/>
  <c r="O30" i="3"/>
  <c r="P30" i="3"/>
  <c r="L30" i="3"/>
  <c r="M30" i="3"/>
  <c r="K30" i="3"/>
  <c r="O65" i="3"/>
  <c r="P65" i="3"/>
  <c r="M65" i="3"/>
  <c r="L65" i="3"/>
  <c r="N65" i="3"/>
  <c r="K65" i="3"/>
  <c r="L88" i="3"/>
  <c r="M88" i="3"/>
  <c r="N88" i="3"/>
  <c r="O88" i="3"/>
  <c r="P88" i="3"/>
  <c r="K88" i="3"/>
  <c r="L80" i="3"/>
  <c r="M80" i="3"/>
  <c r="N80" i="3"/>
  <c r="O80" i="3"/>
  <c r="P80" i="3"/>
  <c r="K80" i="3"/>
  <c r="N94" i="3"/>
  <c r="O94" i="3"/>
  <c r="P94" i="3"/>
  <c r="L94" i="3"/>
  <c r="M94" i="3"/>
  <c r="K94" i="3"/>
  <c r="L32" i="3"/>
  <c r="M32" i="3"/>
  <c r="N32" i="3"/>
  <c r="O32" i="3"/>
  <c r="P32" i="3"/>
  <c r="K32" i="3"/>
  <c r="L96" i="3"/>
  <c r="M96" i="3"/>
  <c r="N96" i="3"/>
  <c r="O96" i="3"/>
  <c r="P96" i="3"/>
  <c r="K96" i="3"/>
  <c r="L37" i="3"/>
  <c r="M37" i="3"/>
  <c r="N37" i="3"/>
  <c r="O37" i="3"/>
  <c r="P37" i="3"/>
  <c r="K37" i="3"/>
  <c r="L63" i="3"/>
  <c r="O63" i="3"/>
  <c r="M63" i="3"/>
  <c r="N63" i="3"/>
  <c r="P63" i="3"/>
  <c r="K63" i="3"/>
  <c r="O105" i="3"/>
  <c r="P105" i="3"/>
  <c r="M105" i="3"/>
  <c r="N105" i="3"/>
  <c r="L105" i="3"/>
  <c r="K105" i="3"/>
  <c r="P36" i="3"/>
  <c r="N36" i="3"/>
  <c r="M36" i="3"/>
  <c r="O36" i="3"/>
  <c r="L36" i="3"/>
  <c r="K36" i="3"/>
  <c r="O73" i="3"/>
  <c r="P73" i="3"/>
  <c r="M73" i="3"/>
  <c r="N73" i="3"/>
  <c r="L73" i="3"/>
  <c r="K73" i="3"/>
  <c r="N86" i="3"/>
  <c r="O86" i="3"/>
  <c r="P86" i="3"/>
  <c r="M86" i="3"/>
  <c r="L86" i="3"/>
  <c r="K86" i="3"/>
  <c r="N78" i="3"/>
  <c r="O78" i="3"/>
  <c r="P78" i="3"/>
  <c r="L78" i="3"/>
  <c r="M78" i="3"/>
  <c r="K78" i="3"/>
  <c r="P108" i="3"/>
  <c r="N108" i="3"/>
  <c r="O108" i="3"/>
  <c r="L108" i="3"/>
  <c r="M108" i="3"/>
  <c r="K108" i="3"/>
  <c r="H42" i="3"/>
  <c r="G42" i="3"/>
  <c r="F42" i="3"/>
  <c r="E42" i="3"/>
  <c r="D42" i="3"/>
  <c r="O49" i="3" l="1"/>
  <c r="P49" i="3"/>
  <c r="M49" i="3"/>
  <c r="L49" i="3"/>
  <c r="N49" i="3"/>
  <c r="K49" i="3"/>
  <c r="L47" i="3"/>
  <c r="O47" i="3"/>
  <c r="M47" i="3"/>
  <c r="N47" i="3"/>
  <c r="P47" i="3"/>
  <c r="K47" i="3"/>
  <c r="L50" i="3"/>
  <c r="M50" i="3"/>
  <c r="P50" i="3"/>
  <c r="N50" i="3"/>
  <c r="O50" i="3"/>
  <c r="K50" i="3"/>
  <c r="L48" i="3"/>
  <c r="M48" i="3"/>
  <c r="N48" i="3"/>
  <c r="O48" i="3"/>
  <c r="P48" i="3"/>
  <c r="K48" i="3"/>
  <c r="L42" i="3"/>
  <c r="M42" i="3"/>
  <c r="P42" i="3"/>
  <c r="N42" i="3"/>
  <c r="O42" i="3"/>
  <c r="K42" i="3"/>
  <c r="H18" i="3"/>
  <c r="G15" i="3"/>
  <c r="G16" i="3"/>
  <c r="G17" i="3"/>
  <c r="G18" i="3"/>
  <c r="F15" i="3"/>
  <c r="F16" i="3"/>
  <c r="F17" i="3"/>
  <c r="F18" i="3"/>
  <c r="E15" i="3"/>
  <c r="E16" i="3"/>
  <c r="E17" i="3"/>
  <c r="E18" i="3"/>
  <c r="D15" i="3"/>
  <c r="I10" i="3"/>
  <c r="J10" i="3" s="1"/>
  <c r="G10" i="3"/>
  <c r="F10" i="3"/>
  <c r="E10" i="3"/>
  <c r="H11" i="3"/>
  <c r="N11" i="3" s="1"/>
  <c r="G11" i="3"/>
  <c r="F11" i="3"/>
  <c r="E11" i="3"/>
  <c r="F72" i="2"/>
  <c r="D10" i="3"/>
  <c r="H7" i="3"/>
  <c r="N7" i="3" s="1"/>
  <c r="H6" i="3"/>
  <c r="F7" i="3"/>
  <c r="F6" i="3"/>
  <c r="E7" i="3"/>
  <c r="E6" i="3"/>
  <c r="D7" i="3"/>
  <c r="D6" i="3"/>
  <c r="K10" i="3" l="1"/>
  <c r="L10" i="3"/>
  <c r="M10" i="3"/>
  <c r="O10" i="3"/>
  <c r="P10" i="3"/>
  <c r="L21" i="3"/>
  <c r="M21" i="3"/>
  <c r="N21" i="3"/>
  <c r="P21" i="3"/>
  <c r="O21" i="3"/>
  <c r="K21" i="3"/>
  <c r="L23" i="3"/>
  <c r="N23" i="3"/>
  <c r="O23" i="3"/>
  <c r="M23" i="3"/>
  <c r="P23" i="3"/>
  <c r="K23" i="3"/>
  <c r="L18" i="3"/>
  <c r="M18" i="3"/>
  <c r="O18" i="3"/>
  <c r="P18" i="3"/>
  <c r="N18" i="3"/>
  <c r="K18" i="3"/>
  <c r="P17" i="3"/>
  <c r="L17" i="3"/>
  <c r="M17" i="3"/>
  <c r="N17" i="3"/>
  <c r="K17" i="3"/>
  <c r="L16" i="3"/>
  <c r="M16" i="3"/>
  <c r="N16" i="3"/>
  <c r="O16" i="3"/>
  <c r="K16" i="3"/>
  <c r="L15" i="3"/>
  <c r="N15" i="3"/>
  <c r="O15" i="3"/>
  <c r="M15" i="3"/>
  <c r="K15" i="3"/>
  <c r="N22" i="3"/>
  <c r="O22" i="3"/>
  <c r="P22" i="3"/>
  <c r="L22" i="3"/>
  <c r="M22" i="3"/>
  <c r="K22" i="3"/>
  <c r="J3237" i="2"/>
  <c r="J3236" i="2"/>
  <c r="J3235" i="2"/>
  <c r="J3234" i="2"/>
  <c r="J3233" i="2"/>
  <c r="J3232" i="2"/>
  <c r="J3231" i="2"/>
  <c r="J3230" i="2"/>
  <c r="J3229" i="2"/>
  <c r="H3228" i="2"/>
  <c r="J3228" i="2" s="1"/>
  <c r="H3227" i="2"/>
  <c r="J3227" i="2" s="1"/>
  <c r="H3226" i="2"/>
  <c r="J3226" i="2" s="1"/>
  <c r="H3225" i="2"/>
  <c r="J3225" i="2" s="1"/>
  <c r="H3224" i="2"/>
  <c r="J3224" i="2" s="1"/>
  <c r="H3223" i="2"/>
  <c r="J3223" i="2" s="1"/>
  <c r="H3222" i="2"/>
  <c r="J3222" i="2" s="1"/>
  <c r="H3221" i="2"/>
  <c r="J3221" i="2" s="1"/>
  <c r="J3220" i="2"/>
  <c r="J3219" i="2"/>
  <c r="J3218" i="2"/>
  <c r="J3217" i="2"/>
  <c r="J3216" i="2"/>
  <c r="J3215" i="2"/>
  <c r="J3214" i="2"/>
  <c r="J3213" i="2"/>
  <c r="H3212" i="2"/>
  <c r="J3212" i="2" s="1"/>
  <c r="J3211" i="2"/>
  <c r="J3210" i="2"/>
  <c r="H3209" i="2"/>
  <c r="J3209" i="2" s="1"/>
  <c r="J3208" i="2"/>
  <c r="J3207" i="2"/>
  <c r="J3206" i="2"/>
  <c r="H3206" i="2"/>
  <c r="J3205" i="2"/>
  <c r="J3204" i="2"/>
  <c r="J3203" i="2"/>
  <c r="J3202" i="2"/>
  <c r="H3201" i="2"/>
  <c r="J3201" i="2" s="1"/>
  <c r="H3200" i="2"/>
  <c r="J3200" i="2" s="1"/>
  <c r="H3199" i="2"/>
  <c r="J3199" i="2" s="1"/>
  <c r="H3198" i="2"/>
  <c r="J3198" i="2" s="1"/>
  <c r="H3197" i="2"/>
  <c r="J3197" i="2" s="1"/>
  <c r="H3196" i="2"/>
  <c r="J3196" i="2" s="1"/>
  <c r="H3195" i="2"/>
  <c r="J3195" i="2" s="1"/>
  <c r="H3194" i="2"/>
  <c r="J3194" i="2" s="1"/>
  <c r="H3193" i="2"/>
  <c r="J3193" i="2" s="1"/>
  <c r="H3192" i="2"/>
  <c r="J3192" i="2" s="1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K3167" i="2" s="1"/>
  <c r="J3162" i="2"/>
  <c r="J3161" i="2"/>
  <c r="J3160" i="2"/>
  <c r="J3159" i="2"/>
  <c r="J3158" i="2"/>
  <c r="J3157" i="2"/>
  <c r="J3156" i="2"/>
  <c r="J3155" i="2"/>
  <c r="L3154" i="2"/>
  <c r="H3154" i="2"/>
  <c r="J3154" i="2" s="1"/>
  <c r="H3153" i="2"/>
  <c r="J3153" i="2" s="1"/>
  <c r="H3152" i="2"/>
  <c r="J3152" i="2" s="1"/>
  <c r="H3151" i="2"/>
  <c r="J3151" i="2" s="1"/>
  <c r="H3150" i="2"/>
  <c r="J3150" i="2" s="1"/>
  <c r="H3149" i="2"/>
  <c r="J3149" i="2" s="1"/>
  <c r="H3148" i="2"/>
  <c r="J3148" i="2" s="1"/>
  <c r="H3147" i="2"/>
  <c r="J3147" i="2" s="1"/>
  <c r="H3146" i="2"/>
  <c r="J3146" i="2" s="1"/>
  <c r="J3145" i="2"/>
  <c r="J3144" i="2"/>
  <c r="J3143" i="2"/>
  <c r="J3142" i="2"/>
  <c r="J3141" i="2"/>
  <c r="J3140" i="2"/>
  <c r="J3139" i="2"/>
  <c r="J3138" i="2"/>
  <c r="J3137" i="2"/>
  <c r="J3136" i="2"/>
  <c r="H3135" i="2"/>
  <c r="J3135" i="2" s="1"/>
  <c r="H3134" i="2"/>
  <c r="J3134" i="2" s="1"/>
  <c r="J3133" i="2"/>
  <c r="H3132" i="2"/>
  <c r="J3132" i="2" s="1"/>
  <c r="J3131" i="2"/>
  <c r="J3130" i="2"/>
  <c r="J3129" i="2"/>
  <c r="J3128" i="2"/>
  <c r="H3127" i="2"/>
  <c r="J3127" i="2" s="1"/>
  <c r="H3126" i="2"/>
  <c r="J3126" i="2" s="1"/>
  <c r="H3125" i="2"/>
  <c r="J3125" i="2" s="1"/>
  <c r="H3124" i="2"/>
  <c r="J3124" i="2" s="1"/>
  <c r="H3123" i="2"/>
  <c r="J3123" i="2" s="1"/>
  <c r="H3122" i="2"/>
  <c r="J3122" i="2" s="1"/>
  <c r="H3121" i="2"/>
  <c r="J3121" i="2" s="1"/>
  <c r="H3120" i="2"/>
  <c r="J3120" i="2" s="1"/>
  <c r="H3119" i="2"/>
  <c r="J3119" i="2" s="1"/>
  <c r="H3118" i="2"/>
  <c r="J3118" i="2" s="1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K3093" i="2" s="1"/>
  <c r="J3089" i="2"/>
  <c r="J3088" i="2"/>
  <c r="J3087" i="2"/>
  <c r="J3086" i="2"/>
  <c r="J3085" i="2"/>
  <c r="J3084" i="2"/>
  <c r="H3083" i="2"/>
  <c r="J3083" i="2" s="1"/>
  <c r="J3082" i="2"/>
  <c r="H3081" i="2"/>
  <c r="J3081" i="2" s="1"/>
  <c r="H3080" i="2"/>
  <c r="J3080" i="2" s="1"/>
  <c r="H3079" i="2"/>
  <c r="J3079" i="2" s="1"/>
  <c r="J3078" i="2"/>
  <c r="J3077" i="2"/>
  <c r="N3076" i="2"/>
  <c r="J3076" i="2"/>
  <c r="J3075" i="2"/>
  <c r="J3074" i="2"/>
  <c r="J3073" i="2"/>
  <c r="J3072" i="2"/>
  <c r="H3071" i="2"/>
  <c r="J3071" i="2" s="1"/>
  <c r="H3070" i="2"/>
  <c r="J3070" i="2" s="1"/>
  <c r="J3069" i="2"/>
  <c r="J3068" i="2"/>
  <c r="J3067" i="2"/>
  <c r="H3066" i="2"/>
  <c r="J3066" i="2" s="1"/>
  <c r="J3065" i="2"/>
  <c r="J3064" i="2"/>
  <c r="J3063" i="2"/>
  <c r="J3062" i="2"/>
  <c r="J3061" i="2"/>
  <c r="H3060" i="2"/>
  <c r="J3060" i="2" s="1"/>
  <c r="J3059" i="2"/>
  <c r="J3058" i="2"/>
  <c r="J3057" i="2"/>
  <c r="J3056" i="2"/>
  <c r="H3055" i="2"/>
  <c r="J3055" i="2" s="1"/>
  <c r="H3054" i="2"/>
  <c r="J3054" i="2" s="1"/>
  <c r="H3053" i="2"/>
  <c r="J3053" i="2" s="1"/>
  <c r="H3052" i="2"/>
  <c r="J3052" i="2" s="1"/>
  <c r="H3051" i="2"/>
  <c r="J3051" i="2" s="1"/>
  <c r="H3050" i="2"/>
  <c r="J3050" i="2" s="1"/>
  <c r="H3049" i="2"/>
  <c r="J3049" i="2" s="1"/>
  <c r="H3048" i="2"/>
  <c r="J3048" i="2" s="1"/>
  <c r="H3047" i="2"/>
  <c r="J3047" i="2" s="1"/>
  <c r="H3046" i="2"/>
  <c r="J3046" i="2" s="1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K3022" i="2"/>
  <c r="J3022" i="2"/>
  <c r="J3021" i="2"/>
  <c r="J3017" i="2"/>
  <c r="H3016" i="2"/>
  <c r="J3016" i="2" s="1"/>
  <c r="J3015" i="2"/>
  <c r="H3014" i="2"/>
  <c r="J3014" i="2" s="1"/>
  <c r="J3013" i="2"/>
  <c r="H3012" i="2"/>
  <c r="J3012" i="2" s="1"/>
  <c r="J3011" i="2"/>
  <c r="H3010" i="2"/>
  <c r="J3010" i="2" s="1"/>
  <c r="J3009" i="2"/>
  <c r="J3008" i="2"/>
  <c r="J3007" i="2"/>
  <c r="H3006" i="2"/>
  <c r="J3006" i="2" s="1"/>
  <c r="H3005" i="2"/>
  <c r="J3005" i="2" s="1"/>
  <c r="H3004" i="2"/>
  <c r="J3004" i="2" s="1"/>
  <c r="H3003" i="2"/>
  <c r="J3003" i="2" s="1"/>
  <c r="H3002" i="2"/>
  <c r="J3002" i="2" s="1"/>
  <c r="H3001" i="2"/>
  <c r="J3001" i="2" s="1"/>
  <c r="H3000" i="2"/>
  <c r="J3000" i="2" s="1"/>
  <c r="H2999" i="2"/>
  <c r="J2999" i="2" s="1"/>
  <c r="H2998" i="2"/>
  <c r="J2998" i="2" s="1"/>
  <c r="H2997" i="2"/>
  <c r="J2997" i="2" s="1"/>
  <c r="H2996" i="2"/>
  <c r="J2996" i="2" s="1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K2977" i="2" s="1"/>
  <c r="J2971" i="2"/>
  <c r="J2970" i="2"/>
  <c r="J2969" i="2"/>
  <c r="J2968" i="2"/>
  <c r="J2967" i="2"/>
  <c r="J2966" i="2"/>
  <c r="J2965" i="2"/>
  <c r="J2964" i="2"/>
  <c r="J2963" i="2"/>
  <c r="J2962" i="2"/>
  <c r="J2961" i="2"/>
  <c r="H2960" i="2"/>
  <c r="J2960" i="2" s="1"/>
  <c r="J2959" i="2"/>
  <c r="J2958" i="2"/>
  <c r="J2957" i="2"/>
  <c r="J2956" i="2"/>
  <c r="J2955" i="2"/>
  <c r="J2954" i="2"/>
  <c r="J2953" i="2"/>
  <c r="K2952" i="2"/>
  <c r="J2952" i="2"/>
  <c r="J2951" i="2"/>
  <c r="N2948" i="2"/>
  <c r="H2948" i="2"/>
  <c r="F2948" i="2"/>
  <c r="J2948" i="2" s="1"/>
  <c r="K2949" i="2" s="1"/>
  <c r="J2943" i="2"/>
  <c r="J2942" i="2"/>
  <c r="J2941" i="2"/>
  <c r="J2940" i="2"/>
  <c r="J2939" i="2"/>
  <c r="J2938" i="2"/>
  <c r="J2937" i="2"/>
  <c r="J2936" i="2"/>
  <c r="H2935" i="2"/>
  <c r="J2935" i="2" s="1"/>
  <c r="H2934" i="2"/>
  <c r="J2934" i="2" s="1"/>
  <c r="H2933" i="2"/>
  <c r="J2933" i="2" s="1"/>
  <c r="H2932" i="2"/>
  <c r="J2932" i="2" s="1"/>
  <c r="H2931" i="2"/>
  <c r="J2931" i="2" s="1"/>
  <c r="H2930" i="2"/>
  <c r="J2930" i="2" s="1"/>
  <c r="H2929" i="2"/>
  <c r="J2929" i="2" s="1"/>
  <c r="H2928" i="2"/>
  <c r="J2928" i="2" s="1"/>
  <c r="J2927" i="2"/>
  <c r="J2926" i="2"/>
  <c r="J2925" i="2"/>
  <c r="J2924" i="2"/>
  <c r="J2923" i="2"/>
  <c r="J2922" i="2"/>
  <c r="J2921" i="2"/>
  <c r="J2920" i="2"/>
  <c r="J2919" i="2"/>
  <c r="H2918" i="2"/>
  <c r="J2918" i="2" s="1"/>
  <c r="H2917" i="2"/>
  <c r="J2917" i="2" s="1"/>
  <c r="J2916" i="2"/>
  <c r="H2915" i="2"/>
  <c r="J2915" i="2" s="1"/>
  <c r="J2914" i="2"/>
  <c r="J2913" i="2"/>
  <c r="J2912" i="2"/>
  <c r="J2911" i="2"/>
  <c r="H2910" i="2"/>
  <c r="J2910" i="2" s="1"/>
  <c r="H2909" i="2"/>
  <c r="J2909" i="2" s="1"/>
  <c r="H2908" i="2"/>
  <c r="J2908" i="2" s="1"/>
  <c r="H2907" i="2"/>
  <c r="J2907" i="2" s="1"/>
  <c r="H2906" i="2"/>
  <c r="J2906" i="2" s="1"/>
  <c r="H2905" i="2"/>
  <c r="J2905" i="2" s="1"/>
  <c r="H2904" i="2"/>
  <c r="J2904" i="2" s="1"/>
  <c r="H2903" i="2"/>
  <c r="J2903" i="2" s="1"/>
  <c r="H2902" i="2"/>
  <c r="J2902" i="2" s="1"/>
  <c r="H2901" i="2"/>
  <c r="J2901" i="2" s="1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K2876" i="2" s="1"/>
  <c r="J2867" i="2"/>
  <c r="H2866" i="2"/>
  <c r="J2866" i="2" s="1"/>
  <c r="J2865" i="2"/>
  <c r="J2864" i="2"/>
  <c r="H2863" i="2"/>
  <c r="J2863" i="2" s="1"/>
  <c r="H2862" i="2"/>
  <c r="J2862" i="2" s="1"/>
  <c r="H2861" i="2"/>
  <c r="J2861" i="2" s="1"/>
  <c r="H2860" i="2"/>
  <c r="J2860" i="2" s="1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H2845" i="2"/>
  <c r="J2845" i="2" s="1"/>
  <c r="H2844" i="2"/>
  <c r="J2844" i="2" s="1"/>
  <c r="H2843" i="2"/>
  <c r="J2843" i="2" s="1"/>
  <c r="H2842" i="2"/>
  <c r="J2842" i="2" s="1"/>
  <c r="H2841" i="2"/>
  <c r="J2841" i="2" s="1"/>
  <c r="H2840" i="2"/>
  <c r="J2840" i="2" s="1"/>
  <c r="H2839" i="2"/>
  <c r="J2839" i="2" s="1"/>
  <c r="H2838" i="2"/>
  <c r="J2838" i="2" s="1"/>
  <c r="H2837" i="2"/>
  <c r="J2837" i="2" s="1"/>
  <c r="H2836" i="2"/>
  <c r="J2836" i="2" s="1"/>
  <c r="J2835" i="2"/>
  <c r="J2834" i="2"/>
  <c r="J2833" i="2"/>
  <c r="J2832" i="2"/>
  <c r="J2831" i="2"/>
  <c r="J2830" i="2"/>
  <c r="H2829" i="2"/>
  <c r="J2829" i="2" s="1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H2815" i="2"/>
  <c r="J2815" i="2" s="1"/>
  <c r="H2814" i="2"/>
  <c r="J2814" i="2" s="1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K2799" i="2" s="1"/>
  <c r="K2800" i="2" s="1"/>
  <c r="J2795" i="2"/>
  <c r="H2794" i="2"/>
  <c r="J2794" i="2" s="1"/>
  <c r="J2793" i="2"/>
  <c r="J2792" i="2"/>
  <c r="H2791" i="2"/>
  <c r="J2791" i="2" s="1"/>
  <c r="H2790" i="2"/>
  <c r="J2790" i="2" s="1"/>
  <c r="H2789" i="2"/>
  <c r="J2789" i="2" s="1"/>
  <c r="J2788" i="2"/>
  <c r="J2787" i="2"/>
  <c r="J2786" i="2"/>
  <c r="J2785" i="2"/>
  <c r="J2784" i="2"/>
  <c r="J2783" i="2"/>
  <c r="J2782" i="2"/>
  <c r="H2781" i="2"/>
  <c r="J2781" i="2" s="1"/>
  <c r="H2780" i="2"/>
  <c r="J2780" i="2" s="1"/>
  <c r="H2779" i="2"/>
  <c r="J2779" i="2" s="1"/>
  <c r="H2778" i="2"/>
  <c r="J2778" i="2" s="1"/>
  <c r="H2777" i="2"/>
  <c r="J2777" i="2" s="1"/>
  <c r="H2776" i="2"/>
  <c r="J2776" i="2" s="1"/>
  <c r="H2775" i="2"/>
  <c r="J2775" i="2" s="1"/>
  <c r="H2774" i="2"/>
  <c r="J2774" i="2" s="1"/>
  <c r="H2773" i="2"/>
  <c r="J2773" i="2" s="1"/>
  <c r="H2772" i="2"/>
  <c r="J2772" i="2" s="1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F2759" i="2"/>
  <c r="J2759" i="2" s="1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K2738" i="2" s="1"/>
  <c r="H2734" i="2"/>
  <c r="J2734" i="2" s="1"/>
  <c r="H2733" i="2"/>
  <c r="J2733" i="2" s="1"/>
  <c r="J2732" i="2"/>
  <c r="J2731" i="2"/>
  <c r="J2730" i="2"/>
  <c r="J2729" i="2"/>
  <c r="J2728" i="2"/>
  <c r="J2727" i="2"/>
  <c r="J2726" i="2"/>
  <c r="J2725" i="2"/>
  <c r="H2724" i="2"/>
  <c r="J2724" i="2" s="1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H2710" i="2"/>
  <c r="J2710" i="2" s="1"/>
  <c r="H2709" i="2"/>
  <c r="J2709" i="2" s="1"/>
  <c r="H2708" i="2"/>
  <c r="J2708" i="2" s="1"/>
  <c r="H2707" i="2"/>
  <c r="J2707" i="2" s="1"/>
  <c r="H2706" i="2"/>
  <c r="J2706" i="2" s="1"/>
  <c r="H2705" i="2"/>
  <c r="J2705" i="2" s="1"/>
  <c r="H2704" i="2"/>
  <c r="J2704" i="2" s="1"/>
  <c r="H2703" i="2"/>
  <c r="J2703" i="2" s="1"/>
  <c r="H2702" i="2"/>
  <c r="J2702" i="2" s="1"/>
  <c r="H2701" i="2"/>
  <c r="J2701" i="2" s="1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K2664" i="2" s="1"/>
  <c r="H2660" i="2"/>
  <c r="J2660" i="2" s="1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H2637" i="2"/>
  <c r="J2637" i="2" s="1"/>
  <c r="H2636" i="2"/>
  <c r="J2636" i="2" s="1"/>
  <c r="H2635" i="2"/>
  <c r="J2635" i="2" s="1"/>
  <c r="H2634" i="2"/>
  <c r="J2634" i="2" s="1"/>
  <c r="H2633" i="2"/>
  <c r="J2633" i="2" s="1"/>
  <c r="H2632" i="2"/>
  <c r="J2632" i="2" s="1"/>
  <c r="H2631" i="2"/>
  <c r="J2631" i="2" s="1"/>
  <c r="J2630" i="2"/>
  <c r="H2629" i="2"/>
  <c r="J2629" i="2" s="1"/>
  <c r="H2628" i="2"/>
  <c r="J2628" i="2" s="1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K2591" i="2" s="1"/>
  <c r="H2587" i="2"/>
  <c r="J2587" i="2" s="1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K2541" i="2" s="1"/>
  <c r="J2537" i="2"/>
  <c r="J2536" i="2"/>
  <c r="J2535" i="2"/>
  <c r="H2534" i="2"/>
  <c r="J2534" i="2" s="1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K2480" i="2" s="1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K2463" i="2" s="1"/>
  <c r="H2458" i="2"/>
  <c r="J2458" i="2" s="1"/>
  <c r="K2460" i="2" s="1"/>
  <c r="J2440" i="2"/>
  <c r="J2439" i="2"/>
  <c r="J2438" i="2"/>
  <c r="J2437" i="2"/>
  <c r="J2436" i="2"/>
  <c r="J2435" i="2"/>
  <c r="K2436" i="2" s="1"/>
  <c r="J2432" i="2"/>
  <c r="J2431" i="2"/>
  <c r="J2430" i="2"/>
  <c r="J2429" i="2"/>
  <c r="J2428" i="2"/>
  <c r="J2427" i="2"/>
  <c r="J2426" i="2"/>
  <c r="J2425" i="2"/>
  <c r="J2424" i="2"/>
  <c r="J2423" i="2"/>
  <c r="J2422" i="2"/>
  <c r="J2421" i="2"/>
  <c r="J2420" i="2"/>
  <c r="J2419" i="2"/>
  <c r="K2420" i="2" s="1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5" i="2"/>
  <c r="H2394" i="2"/>
  <c r="J2394" i="2" s="1"/>
  <c r="J2393" i="2"/>
  <c r="K2394" i="2" s="1"/>
  <c r="J2390" i="2"/>
  <c r="J2389" i="2"/>
  <c r="J2388" i="2"/>
  <c r="J2387" i="2"/>
  <c r="J2386" i="2"/>
  <c r="J2385" i="2"/>
  <c r="J2384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K2332" i="2" s="1"/>
  <c r="J2328" i="2"/>
  <c r="J2327" i="2"/>
  <c r="J2326" i="2"/>
  <c r="J2325" i="2"/>
  <c r="J2324" i="2"/>
  <c r="J2323" i="2"/>
  <c r="J2322" i="2"/>
  <c r="J2321" i="2"/>
  <c r="J2320" i="2"/>
  <c r="H2319" i="2"/>
  <c r="J2319" i="2" s="1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K2285" i="2" s="1"/>
  <c r="K2286" i="2" s="1"/>
  <c r="J2281" i="2"/>
  <c r="J2280" i="2"/>
  <c r="J2279" i="2"/>
  <c r="J2278" i="2"/>
  <c r="J2277" i="2"/>
  <c r="J2276" i="2"/>
  <c r="H2275" i="2"/>
  <c r="J2275" i="2" s="1"/>
  <c r="J2274" i="2"/>
  <c r="J2273" i="2"/>
  <c r="H2272" i="2"/>
  <c r="J2272" i="2" s="1"/>
  <c r="J2271" i="2"/>
  <c r="J2270" i="2"/>
  <c r="J2269" i="2"/>
  <c r="J2268" i="2"/>
  <c r="J2267" i="2"/>
  <c r="J2266" i="2"/>
  <c r="H2265" i="2"/>
  <c r="J2265" i="2" s="1"/>
  <c r="J2264" i="2"/>
  <c r="J2263" i="2"/>
  <c r="J2262" i="2"/>
  <c r="J2261" i="2"/>
  <c r="J2260" i="2"/>
  <c r="J2258" i="2"/>
  <c r="J2257" i="2"/>
  <c r="J2256" i="2"/>
  <c r="H2255" i="2"/>
  <c r="J2255" i="2" s="1"/>
  <c r="K2256" i="2" s="1"/>
  <c r="J2252" i="2"/>
  <c r="J2250" i="2"/>
  <c r="J2249" i="2"/>
  <c r="J2248" i="2"/>
  <c r="J2247" i="2"/>
  <c r="J2246" i="2"/>
  <c r="J2245" i="2"/>
  <c r="J2244" i="2"/>
  <c r="L2243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L2230" i="2"/>
  <c r="J2230" i="2"/>
  <c r="L2229" i="2"/>
  <c r="J2229" i="2"/>
  <c r="L2228" i="2"/>
  <c r="J2228" i="2"/>
  <c r="J2227" i="2"/>
  <c r="J2226" i="2"/>
  <c r="J2225" i="2"/>
  <c r="J2224" i="2"/>
  <c r="J2223" i="2"/>
  <c r="J2222" i="2"/>
  <c r="J2221" i="2"/>
  <c r="K2222" i="2" s="1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K2173" i="2" s="1"/>
  <c r="J2169" i="2"/>
  <c r="J2168" i="2"/>
  <c r="J2167" i="2"/>
  <c r="J2166" i="2"/>
  <c r="J2165" i="2"/>
  <c r="J2164" i="2"/>
  <c r="J2163" i="2"/>
  <c r="J2162" i="2"/>
  <c r="K2163" i="2" s="1"/>
  <c r="L2160" i="2"/>
  <c r="J2159" i="2"/>
  <c r="J2158" i="2"/>
  <c r="H2157" i="2"/>
  <c r="J2157" i="2" s="1"/>
  <c r="H2156" i="2"/>
  <c r="J2156" i="2" s="1"/>
  <c r="H2155" i="2"/>
  <c r="J2155" i="2" s="1"/>
  <c r="J2154" i="2"/>
  <c r="J2153" i="2"/>
  <c r="J2152" i="2"/>
  <c r="J2151" i="2"/>
  <c r="J2150" i="2"/>
  <c r="L2149" i="2"/>
  <c r="J2149" i="2"/>
  <c r="J2148" i="2"/>
  <c r="J2147" i="2"/>
  <c r="J2146" i="2"/>
  <c r="J2145" i="2"/>
  <c r="J2144" i="2"/>
  <c r="J2143" i="2"/>
  <c r="J2142" i="2"/>
  <c r="J2141" i="2"/>
  <c r="K2142" i="2" s="1"/>
  <c r="J2136" i="2"/>
  <c r="J2135" i="2"/>
  <c r="J2134" i="2"/>
  <c r="J2133" i="2"/>
  <c r="J2132" i="2"/>
  <c r="J2131" i="2"/>
  <c r="J2130" i="2"/>
  <c r="J2129" i="2"/>
  <c r="J2128" i="2"/>
  <c r="H2127" i="2"/>
  <c r="J2127" i="2" s="1"/>
  <c r="J2126" i="2"/>
  <c r="J2125" i="2"/>
  <c r="J2124" i="2"/>
  <c r="J2123" i="2"/>
  <c r="J2122" i="2"/>
  <c r="J2121" i="2"/>
  <c r="H2120" i="2"/>
  <c r="J2120" i="2" s="1"/>
  <c r="J2119" i="2"/>
  <c r="J2118" i="2"/>
  <c r="J2117" i="2"/>
  <c r="J2116" i="2"/>
  <c r="J2115" i="2"/>
  <c r="H2114" i="2"/>
  <c r="J2114" i="2" s="1"/>
  <c r="J2113" i="2"/>
  <c r="J2112" i="2"/>
  <c r="J2111" i="2"/>
  <c r="J2110" i="2"/>
  <c r="H2109" i="2"/>
  <c r="J2109" i="2" s="1"/>
  <c r="J2108" i="2"/>
  <c r="J2107" i="2"/>
  <c r="J2106" i="2"/>
  <c r="K2107" i="2" s="1"/>
  <c r="J2103" i="2"/>
  <c r="J2102" i="2"/>
  <c r="H2101" i="2"/>
  <c r="J2101" i="2" s="1"/>
  <c r="H2100" i="2"/>
  <c r="J2100" i="2" s="1"/>
  <c r="H2099" i="2"/>
  <c r="J2099" i="2" s="1"/>
  <c r="H2098" i="2"/>
  <c r="J2098" i="2" s="1"/>
  <c r="H2097" i="2"/>
  <c r="J2097" i="2" s="1"/>
  <c r="H2096" i="2"/>
  <c r="J2096" i="2" s="1"/>
  <c r="H2095" i="2"/>
  <c r="J2095" i="2" s="1"/>
  <c r="H2094" i="2"/>
  <c r="J2094" i="2" s="1"/>
  <c r="H2093" i="2"/>
  <c r="J2093" i="2" s="1"/>
  <c r="H2092" i="2"/>
  <c r="J2092" i="2" s="1"/>
  <c r="H2091" i="2"/>
  <c r="J2091" i="2" s="1"/>
  <c r="H2090" i="2"/>
  <c r="J2090" i="2" s="1"/>
  <c r="H2089" i="2"/>
  <c r="J2089" i="2" s="1"/>
  <c r="H2088" i="2"/>
  <c r="J2088" i="2" s="1"/>
  <c r="H2087" i="2"/>
  <c r="J2087" i="2" s="1"/>
  <c r="H2086" i="2"/>
  <c r="J2086" i="2" s="1"/>
  <c r="J2085" i="2"/>
  <c r="H2084" i="2"/>
  <c r="J2084" i="2" s="1"/>
  <c r="H2083" i="2"/>
  <c r="J2083" i="2" s="1"/>
  <c r="J2082" i="2"/>
  <c r="J2081" i="2"/>
  <c r="J2080" i="2"/>
  <c r="J2079" i="2"/>
  <c r="J2078" i="2"/>
  <c r="J2077" i="2"/>
  <c r="J2076" i="2"/>
  <c r="J2075" i="2"/>
  <c r="J2074" i="2"/>
  <c r="H2073" i="2"/>
  <c r="J2073" i="2" s="1"/>
  <c r="H2072" i="2"/>
  <c r="J2072" i="2" s="1"/>
  <c r="H2071" i="2"/>
  <c r="J2071" i="2" s="1"/>
  <c r="H2070" i="2"/>
  <c r="J2070" i="2" s="1"/>
  <c r="H2069" i="2"/>
  <c r="J2069" i="2" s="1"/>
  <c r="H2068" i="2"/>
  <c r="J2068" i="2" s="1"/>
  <c r="H2067" i="2"/>
  <c r="J2067" i="2" s="1"/>
  <c r="H2066" i="2"/>
  <c r="J2066" i="2" s="1"/>
  <c r="J2065" i="2"/>
  <c r="K2066" i="2" s="1"/>
  <c r="J2062" i="2"/>
  <c r="J2061" i="2"/>
  <c r="K2062" i="2" s="1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K2035" i="2" s="1"/>
  <c r="J2029" i="2"/>
  <c r="J2028" i="2"/>
  <c r="H2027" i="2"/>
  <c r="J2027" i="2" s="1"/>
  <c r="H2026" i="2"/>
  <c r="J2026" i="2" s="1"/>
  <c r="H2025" i="2"/>
  <c r="J2025" i="2" s="1"/>
  <c r="H2024" i="2"/>
  <c r="J2024" i="2" s="1"/>
  <c r="H2023" i="2"/>
  <c r="J2023" i="2" s="1"/>
  <c r="H2022" i="2"/>
  <c r="J2022" i="2" s="1"/>
  <c r="H2021" i="2"/>
  <c r="J2021" i="2" s="1"/>
  <c r="H2020" i="2"/>
  <c r="J2020" i="2" s="1"/>
  <c r="J2019" i="2"/>
  <c r="J2018" i="2"/>
  <c r="H2017" i="2"/>
  <c r="J2017" i="2" s="1"/>
  <c r="J2016" i="2"/>
  <c r="K2017" i="2" s="1"/>
  <c r="J2012" i="2"/>
  <c r="J2011" i="2"/>
  <c r="K2012" i="2" s="1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H1986" i="2"/>
  <c r="J1986" i="2" s="1"/>
  <c r="J1985" i="2"/>
  <c r="J1984" i="2"/>
  <c r="H1983" i="2"/>
  <c r="J1983" i="2" s="1"/>
  <c r="J1982" i="2"/>
  <c r="J1981" i="2"/>
  <c r="J1980" i="2"/>
  <c r="J1979" i="2"/>
  <c r="J1978" i="2"/>
  <c r="J1977" i="2"/>
  <c r="J1976" i="2"/>
  <c r="J1975" i="2"/>
  <c r="K1976" i="2" s="1"/>
  <c r="H1972" i="2"/>
  <c r="J1972" i="2" s="1"/>
  <c r="H1971" i="2"/>
  <c r="J1971" i="2" s="1"/>
  <c r="H1970" i="2"/>
  <c r="J1970" i="2" s="1"/>
  <c r="H1969" i="2"/>
  <c r="J1969" i="2" s="1"/>
  <c r="H1968" i="2"/>
  <c r="J1968" i="2" s="1"/>
  <c r="H1967" i="2"/>
  <c r="J1967" i="2" s="1"/>
  <c r="H1966" i="2"/>
  <c r="J1966" i="2" s="1"/>
  <c r="J1965" i="2"/>
  <c r="H1964" i="2"/>
  <c r="J1964" i="2" s="1"/>
  <c r="H1963" i="2"/>
  <c r="J1963" i="2" s="1"/>
  <c r="H1962" i="2"/>
  <c r="J1962" i="2" s="1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K1946" i="2" s="1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K1924" i="2" s="1"/>
  <c r="K1925" i="2" s="1"/>
  <c r="J1920" i="2"/>
  <c r="J1919" i="2"/>
  <c r="J1918" i="2"/>
  <c r="K1919" i="2" s="1"/>
  <c r="J1915" i="2"/>
  <c r="J1914" i="2"/>
  <c r="J1913" i="2"/>
  <c r="J1912" i="2"/>
  <c r="K1913" i="2" s="1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K1891" i="2" s="1"/>
  <c r="J1882" i="2"/>
  <c r="H1881" i="2"/>
  <c r="J1881" i="2" s="1"/>
  <c r="H1880" i="2"/>
  <c r="J1880" i="2" s="1"/>
  <c r="J1879" i="2"/>
  <c r="H1878" i="2"/>
  <c r="J1878" i="2" s="1"/>
  <c r="H1877" i="2"/>
  <c r="J1877" i="2" s="1"/>
  <c r="J1876" i="2"/>
  <c r="J1875" i="2"/>
  <c r="J1874" i="2"/>
  <c r="J1873" i="2"/>
  <c r="J1872" i="2"/>
  <c r="H1871" i="2"/>
  <c r="J1871" i="2" s="1"/>
  <c r="J1870" i="2"/>
  <c r="J1869" i="2"/>
  <c r="J1868" i="2"/>
  <c r="H1867" i="2"/>
  <c r="J1867" i="2" s="1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H1854" i="2"/>
  <c r="J1854" i="2" s="1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K1838" i="2" s="1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H1821" i="2"/>
  <c r="J1821" i="2" s="1"/>
  <c r="J1820" i="2"/>
  <c r="J1819" i="2"/>
  <c r="J1818" i="2"/>
  <c r="J1817" i="2"/>
  <c r="J1816" i="2"/>
  <c r="H1815" i="2"/>
  <c r="J1815" i="2" s="1"/>
  <c r="J1814" i="2"/>
  <c r="J1813" i="2"/>
  <c r="J1812" i="2"/>
  <c r="J1811" i="2"/>
  <c r="J1810" i="2"/>
  <c r="J1809" i="2"/>
  <c r="J1808" i="2"/>
  <c r="J1807" i="2"/>
  <c r="J1806" i="2"/>
  <c r="H1805" i="2"/>
  <c r="J1805" i="2" s="1"/>
  <c r="J1804" i="2"/>
  <c r="J1803" i="2"/>
  <c r="J1802" i="2"/>
  <c r="J1801" i="2"/>
  <c r="J1800" i="2"/>
  <c r="J1799" i="2"/>
  <c r="J1798" i="2"/>
  <c r="J1797" i="2"/>
  <c r="J1796" i="2"/>
  <c r="K1797" i="2" s="1"/>
  <c r="J1793" i="2"/>
  <c r="J1792" i="2"/>
  <c r="J1791" i="2"/>
  <c r="J1790" i="2"/>
  <c r="J1789" i="2"/>
  <c r="J1788" i="2"/>
  <c r="J1787" i="2"/>
  <c r="J1786" i="2"/>
  <c r="H1785" i="2"/>
  <c r="J1785" i="2" s="1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H1771" i="2"/>
  <c r="J1771" i="2" s="1"/>
  <c r="J1770" i="2"/>
  <c r="J1769" i="2"/>
  <c r="J1768" i="2"/>
  <c r="J1767" i="2"/>
  <c r="H1766" i="2"/>
  <c r="J1766" i="2" s="1"/>
  <c r="J1765" i="2"/>
  <c r="J1764" i="2"/>
  <c r="H1763" i="2"/>
  <c r="J1763" i="2" s="1"/>
  <c r="J1762" i="2"/>
  <c r="J1761" i="2"/>
  <c r="J1760" i="2"/>
  <c r="J1759" i="2"/>
  <c r="J1758" i="2"/>
  <c r="J1757" i="2"/>
  <c r="J1756" i="2"/>
  <c r="J1755" i="2"/>
  <c r="H1754" i="2"/>
  <c r="J1754" i="2" s="1"/>
  <c r="J1753" i="2"/>
  <c r="J1752" i="2"/>
  <c r="J1751" i="2"/>
  <c r="K1752" i="2" s="1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K1736" i="2" s="1"/>
  <c r="K1737" i="2" s="1"/>
  <c r="J1730" i="2"/>
  <c r="J1729" i="2"/>
  <c r="J1728" i="2"/>
  <c r="J1727" i="2"/>
  <c r="J1726" i="2"/>
  <c r="J1725" i="2"/>
  <c r="J1724" i="2"/>
  <c r="J1723" i="2"/>
  <c r="J1722" i="2"/>
  <c r="K1723" i="2" s="1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H1701" i="2"/>
  <c r="J1701" i="2" s="1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K1690" i="2" s="1"/>
  <c r="J1686" i="2"/>
  <c r="J1685" i="2"/>
  <c r="J1684" i="2"/>
  <c r="J1683" i="2"/>
  <c r="J1682" i="2"/>
  <c r="J1681" i="2"/>
  <c r="J1680" i="2"/>
  <c r="J1679" i="2"/>
  <c r="J1678" i="2"/>
  <c r="K1679" i="2" s="1"/>
  <c r="J1675" i="2"/>
  <c r="J1674" i="2"/>
  <c r="H1673" i="2"/>
  <c r="J1673" i="2" s="1"/>
  <c r="J1672" i="2"/>
  <c r="J1671" i="2"/>
  <c r="H1670" i="2"/>
  <c r="J1670" i="2" s="1"/>
  <c r="J1669" i="2"/>
  <c r="H1668" i="2"/>
  <c r="J1668" i="2" s="1"/>
  <c r="J1667" i="2"/>
  <c r="J1666" i="2"/>
  <c r="J1665" i="2"/>
  <c r="J1664" i="2"/>
  <c r="J1663" i="2"/>
  <c r="J1662" i="2"/>
  <c r="J1661" i="2"/>
  <c r="J1660" i="2"/>
  <c r="J1659" i="2"/>
  <c r="H1658" i="2"/>
  <c r="J1658" i="2" s="1"/>
  <c r="J1657" i="2"/>
  <c r="J1656" i="2"/>
  <c r="H1655" i="2"/>
  <c r="J1655" i="2" s="1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K1639" i="2" s="1"/>
  <c r="J1635" i="2"/>
  <c r="J1634" i="2"/>
  <c r="J1633" i="2"/>
  <c r="J1632" i="2"/>
  <c r="J1631" i="2"/>
  <c r="J1630" i="2"/>
  <c r="J1629" i="2"/>
  <c r="J1628" i="2"/>
  <c r="J1627" i="2"/>
  <c r="J1626" i="2"/>
  <c r="J1625" i="2"/>
  <c r="K1626" i="2" s="1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K1603" i="2" s="1"/>
  <c r="J1602" i="2"/>
  <c r="J1601" i="2"/>
  <c r="J1600" i="2"/>
  <c r="J1599" i="2"/>
  <c r="J1598" i="2"/>
  <c r="J1597" i="2"/>
  <c r="K1597" i="2" s="1"/>
  <c r="J1595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K1581" i="2" s="1"/>
  <c r="J1576" i="2"/>
  <c r="J1575" i="2"/>
  <c r="J1574" i="2"/>
  <c r="K1575" i="2" s="1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H1533" i="2"/>
  <c r="J1533" i="2" s="1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K1510" i="2" s="1"/>
  <c r="J1506" i="2"/>
  <c r="J1505" i="2"/>
  <c r="J1504" i="2"/>
  <c r="J1503" i="2"/>
  <c r="J1502" i="2"/>
  <c r="J1501" i="2"/>
  <c r="J1500" i="2"/>
  <c r="J1499" i="2"/>
  <c r="J1498" i="2"/>
  <c r="J1497" i="2"/>
  <c r="H1496" i="2"/>
  <c r="J1496" i="2" s="1"/>
  <c r="H1495" i="2"/>
  <c r="J1495" i="2" s="1"/>
  <c r="H1494" i="2"/>
  <c r="J1494" i="2" s="1"/>
  <c r="J1493" i="2"/>
  <c r="H1492" i="2"/>
  <c r="J1492" i="2" s="1"/>
  <c r="H1491" i="2"/>
  <c r="J1491" i="2" s="1"/>
  <c r="H1490" i="2"/>
  <c r="J1490" i="2" s="1"/>
  <c r="H1489" i="2"/>
  <c r="J1489" i="2" s="1"/>
  <c r="H1488" i="2"/>
  <c r="J1488" i="2" s="1"/>
  <c r="J1487" i="2"/>
  <c r="O1486" i="2"/>
  <c r="H1486" i="2"/>
  <c r="J1486" i="2" s="1"/>
  <c r="H1485" i="2"/>
  <c r="J1485" i="2" s="1"/>
  <c r="H1484" i="2"/>
  <c r="J1484" i="2" s="1"/>
  <c r="J1483" i="2"/>
  <c r="J1482" i="2"/>
  <c r="H1481" i="2"/>
  <c r="J1481" i="2" s="1"/>
  <c r="J1480" i="2"/>
  <c r="J1479" i="2"/>
  <c r="H1478" i="2"/>
  <c r="J1478" i="2" s="1"/>
  <c r="H1477" i="2"/>
  <c r="J1477" i="2" s="1"/>
  <c r="H1476" i="2"/>
  <c r="J1476" i="2" s="1"/>
  <c r="H1475" i="2"/>
  <c r="J1475" i="2" s="1"/>
  <c r="J1474" i="2"/>
  <c r="J1473" i="2"/>
  <c r="J1472" i="2"/>
  <c r="H1471" i="2"/>
  <c r="J1471" i="2" s="1"/>
  <c r="J1470" i="2"/>
  <c r="H1469" i="2"/>
  <c r="J1469" i="2" s="1"/>
  <c r="H1468" i="2"/>
  <c r="J1468" i="2" s="1"/>
  <c r="J1467" i="2"/>
  <c r="J1466" i="2"/>
  <c r="J1465" i="2"/>
  <c r="J1464" i="2"/>
  <c r="J1463" i="2"/>
  <c r="J1462" i="2"/>
  <c r="J1461" i="2"/>
  <c r="J1460" i="2"/>
  <c r="J1459" i="2"/>
  <c r="J1458" i="2"/>
  <c r="K1459" i="2" s="1"/>
  <c r="K1460" i="2" s="1"/>
  <c r="J1455" i="2"/>
  <c r="J1454" i="2"/>
  <c r="J1453" i="2"/>
  <c r="J1452" i="2"/>
  <c r="J1451" i="2"/>
  <c r="J1450" i="2"/>
  <c r="J1449" i="2"/>
  <c r="J1448" i="2"/>
  <c r="H1447" i="2"/>
  <c r="J1447" i="2" s="1"/>
  <c r="J1446" i="2"/>
  <c r="H1445" i="2"/>
  <c r="J1445" i="2" s="1"/>
  <c r="H1444" i="2"/>
  <c r="J1444" i="2" s="1"/>
  <c r="J1443" i="2"/>
  <c r="J1442" i="2"/>
  <c r="J1441" i="2"/>
  <c r="J1440" i="2"/>
  <c r="J1439" i="2"/>
  <c r="J1438" i="2"/>
  <c r="H1437" i="2"/>
  <c r="J1437" i="2" s="1"/>
  <c r="H1436" i="2"/>
  <c r="J1436" i="2" s="1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K1417" i="2" s="1"/>
  <c r="J1413" i="2"/>
  <c r="J1412" i="2"/>
  <c r="J1411" i="2"/>
  <c r="J1410" i="2"/>
  <c r="J1409" i="2"/>
  <c r="K1410" i="2" s="1"/>
  <c r="J1406" i="2"/>
  <c r="J1405" i="2"/>
  <c r="J1404" i="2"/>
  <c r="H1403" i="2"/>
  <c r="J1403" i="2" s="1"/>
  <c r="H1402" i="2"/>
  <c r="J1402" i="2" s="1"/>
  <c r="J1401" i="2"/>
  <c r="J1400" i="2"/>
  <c r="J1399" i="2"/>
  <c r="J1398" i="2"/>
  <c r="J1397" i="2"/>
  <c r="J1396" i="2"/>
  <c r="H1395" i="2"/>
  <c r="J1395" i="2" s="1"/>
  <c r="H1394" i="2"/>
  <c r="J1394" i="2" s="1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K1372" i="2" s="1"/>
  <c r="J1368" i="2"/>
  <c r="J1367" i="2"/>
  <c r="J1366" i="2"/>
  <c r="J1365" i="2"/>
  <c r="J1364" i="2"/>
  <c r="J1363" i="2"/>
  <c r="J1362" i="2"/>
  <c r="J1361" i="2"/>
  <c r="K1362" i="2" s="1"/>
  <c r="J1360" i="2"/>
  <c r="J1359" i="2"/>
  <c r="J1358" i="2"/>
  <c r="J1357" i="2"/>
  <c r="K1358" i="2" s="1"/>
  <c r="J1356" i="2"/>
  <c r="J1355" i="2"/>
  <c r="J1354" i="2"/>
  <c r="J1353" i="2"/>
  <c r="J1352" i="2"/>
  <c r="J1351" i="2"/>
  <c r="J1350" i="2"/>
  <c r="J1349" i="2"/>
  <c r="J1348" i="2"/>
  <c r="J1347" i="2"/>
  <c r="H1346" i="2"/>
  <c r="J1346" i="2" s="1"/>
  <c r="J1345" i="2"/>
  <c r="J1344" i="2"/>
  <c r="H1343" i="2"/>
  <c r="J1343" i="2" s="1"/>
  <c r="J1342" i="2"/>
  <c r="H1341" i="2"/>
  <c r="J1341" i="2" s="1"/>
  <c r="J1340" i="2"/>
  <c r="H1339" i="2"/>
  <c r="J1339" i="2" s="1"/>
  <c r="J1338" i="2"/>
  <c r="H1337" i="2"/>
  <c r="J1337" i="2" s="1"/>
  <c r="J1336" i="2"/>
  <c r="J1335" i="2"/>
  <c r="J1334" i="2"/>
  <c r="J1333" i="2"/>
  <c r="H1332" i="2"/>
  <c r="J1332" i="2" s="1"/>
  <c r="J1331" i="2"/>
  <c r="J1330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L1289" i="2"/>
  <c r="J1289" i="2"/>
  <c r="J1288" i="2"/>
  <c r="J1287" i="2"/>
  <c r="J1286" i="2"/>
  <c r="J1285" i="2"/>
  <c r="J1284" i="2"/>
  <c r="J1283" i="2"/>
  <c r="H1282" i="2"/>
  <c r="J1282" i="2" s="1"/>
  <c r="K1283" i="2" s="1"/>
  <c r="J1278" i="2"/>
  <c r="J1277" i="2"/>
  <c r="J1276" i="2"/>
  <c r="J1275" i="2"/>
  <c r="J1274" i="2"/>
  <c r="J1273" i="2"/>
  <c r="J1272" i="2"/>
  <c r="F1271" i="2"/>
  <c r="J1271" i="2" s="1"/>
  <c r="K1272" i="2" s="1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H1236" i="2"/>
  <c r="J1236" i="2" s="1"/>
  <c r="J1235" i="2"/>
  <c r="J1234" i="2"/>
  <c r="J1233" i="2"/>
  <c r="J1232" i="2"/>
  <c r="J1231" i="2"/>
  <c r="K1230" i="2"/>
  <c r="K1231" i="2" s="1"/>
  <c r="J1226" i="2"/>
  <c r="J1225" i="2"/>
  <c r="J1224" i="2"/>
  <c r="J1223" i="2"/>
  <c r="J1222" i="2"/>
  <c r="J1221" i="2"/>
  <c r="J1220" i="2"/>
  <c r="J1219" i="2"/>
  <c r="J1218" i="2"/>
  <c r="H1217" i="2"/>
  <c r="J1217" i="2" s="1"/>
  <c r="J1216" i="2"/>
  <c r="J1215" i="2"/>
  <c r="J1214" i="2"/>
  <c r="J1213" i="2"/>
  <c r="J1212" i="2"/>
  <c r="J1211" i="2"/>
  <c r="J1210" i="2"/>
  <c r="J1209" i="2"/>
  <c r="J1208" i="2"/>
  <c r="K1209" i="2" s="1"/>
  <c r="J1207" i="2"/>
  <c r="J1206" i="2"/>
  <c r="J1205" i="2"/>
  <c r="J1204" i="2"/>
  <c r="J1203" i="2"/>
  <c r="K1204" i="2" s="1"/>
  <c r="H1202" i="2"/>
  <c r="J1202" i="2" s="1"/>
  <c r="J1201" i="2"/>
  <c r="J1200" i="2"/>
  <c r="J1199" i="2"/>
  <c r="J1198" i="2"/>
  <c r="J1197" i="2"/>
  <c r="H1196" i="2"/>
  <c r="J1196" i="2" s="1"/>
  <c r="J1195" i="2"/>
  <c r="J1194" i="2"/>
  <c r="J1193" i="2"/>
  <c r="J1192" i="2"/>
  <c r="J1191" i="2"/>
  <c r="J1190" i="2"/>
  <c r="J1189" i="2"/>
  <c r="K1189" i="2" s="1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K1173" i="2" s="1"/>
  <c r="K1174" i="2" s="1"/>
  <c r="J1171" i="2"/>
  <c r="J1170" i="2"/>
  <c r="J1169" i="2"/>
  <c r="J1168" i="2"/>
  <c r="J1167" i="2"/>
  <c r="J1166" i="2"/>
  <c r="J1165" i="2"/>
  <c r="J1164" i="2"/>
  <c r="J1163" i="2"/>
  <c r="J1162" i="2"/>
  <c r="H1161" i="2"/>
  <c r="J1161" i="2" s="1"/>
  <c r="K1162" i="2" s="1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K1129" i="2" s="1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H1105" i="2"/>
  <c r="J1105" i="2" s="1"/>
  <c r="J1104" i="2"/>
  <c r="J1103" i="2"/>
  <c r="J1102" i="2"/>
  <c r="J1101" i="2"/>
  <c r="J1100" i="2"/>
  <c r="J1099" i="2"/>
  <c r="J1098" i="2"/>
  <c r="H1097" i="2"/>
  <c r="J1097" i="2" s="1"/>
  <c r="K1098" i="2" s="1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K1066" i="2" s="1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K1031" i="2" s="1"/>
  <c r="J1027" i="2"/>
  <c r="J1026" i="2"/>
  <c r="H1025" i="2"/>
  <c r="J1025" i="2" s="1"/>
  <c r="J1024" i="2"/>
  <c r="J1023" i="2"/>
  <c r="J1022" i="2"/>
  <c r="J1021" i="2"/>
  <c r="J1020" i="2"/>
  <c r="J1019" i="2"/>
  <c r="J1018" i="2"/>
  <c r="J1017" i="2"/>
  <c r="H1016" i="2"/>
  <c r="J1016" i="2" s="1"/>
  <c r="J1015" i="2"/>
  <c r="J1014" i="2"/>
  <c r="J1013" i="2"/>
  <c r="K1014" i="2" s="1"/>
  <c r="J1012" i="2"/>
  <c r="J1011" i="2"/>
  <c r="J1010" i="2"/>
  <c r="J1009" i="2"/>
  <c r="J1008" i="2"/>
  <c r="J1007" i="2"/>
  <c r="J1006" i="2"/>
  <c r="J1005" i="2"/>
  <c r="J1004" i="2"/>
  <c r="J1003" i="2"/>
  <c r="J1002" i="2"/>
  <c r="K1003" i="2" s="1"/>
  <c r="J999" i="2"/>
  <c r="J998" i="2"/>
  <c r="J997" i="2"/>
  <c r="J996" i="2"/>
  <c r="J995" i="2"/>
  <c r="J994" i="2"/>
  <c r="J993" i="2"/>
  <c r="J992" i="2"/>
  <c r="J991" i="2"/>
  <c r="J990" i="2"/>
  <c r="J989" i="2"/>
  <c r="K990" i="2" s="1"/>
  <c r="J988" i="2"/>
  <c r="J987" i="2"/>
  <c r="J986" i="2"/>
  <c r="K987" i="2" s="1"/>
  <c r="J985" i="2"/>
  <c r="J984" i="2"/>
  <c r="J983" i="2"/>
  <c r="J982" i="2"/>
  <c r="J981" i="2"/>
  <c r="J980" i="2"/>
  <c r="J979" i="2"/>
  <c r="J978" i="2"/>
  <c r="J977" i="2"/>
  <c r="J976" i="2"/>
  <c r="J975" i="2"/>
  <c r="J974" i="2"/>
  <c r="H973" i="2"/>
  <c r="J973" i="2" s="1"/>
  <c r="J972" i="2"/>
  <c r="J971" i="2"/>
  <c r="J970" i="2"/>
  <c r="J969" i="2"/>
  <c r="J968" i="2"/>
  <c r="J967" i="2"/>
  <c r="F966" i="2"/>
  <c r="J966" i="2" s="1"/>
  <c r="K967" i="2" s="1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H949" i="2"/>
  <c r="J949" i="2" s="1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K929" i="2" s="1"/>
  <c r="J925" i="2"/>
  <c r="J924" i="2"/>
  <c r="J923" i="2"/>
  <c r="J922" i="2"/>
  <c r="J921" i="2"/>
  <c r="H920" i="2"/>
  <c r="J920" i="2" s="1"/>
  <c r="J919" i="2"/>
  <c r="J918" i="2"/>
  <c r="J917" i="2"/>
  <c r="J916" i="2"/>
  <c r="K917" i="2" s="1"/>
  <c r="J915" i="2"/>
  <c r="J914" i="2"/>
  <c r="J913" i="2"/>
  <c r="K914" i="2" s="1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K898" i="2"/>
  <c r="J898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H881" i="2"/>
  <c r="J881" i="2" s="1"/>
  <c r="J880" i="2"/>
  <c r="J879" i="2"/>
  <c r="H878" i="2"/>
  <c r="J878" i="2" s="1"/>
  <c r="J877" i="2"/>
  <c r="J876" i="2"/>
  <c r="J875" i="2"/>
  <c r="J874" i="2"/>
  <c r="H873" i="2"/>
  <c r="J873" i="2" s="1"/>
  <c r="J872" i="2"/>
  <c r="H871" i="2"/>
  <c r="J871" i="2" s="1"/>
  <c r="H870" i="2"/>
  <c r="J870" i="2" s="1"/>
  <c r="H869" i="2"/>
  <c r="J869" i="2" s="1"/>
  <c r="H868" i="2"/>
  <c r="J868" i="2" s="1"/>
  <c r="H867" i="2"/>
  <c r="J867" i="2" s="1"/>
  <c r="H866" i="2"/>
  <c r="J866" i="2" s="1"/>
  <c r="J865" i="2"/>
  <c r="J864" i="2"/>
  <c r="H863" i="2"/>
  <c r="J863" i="2" s="1"/>
  <c r="J862" i="2"/>
  <c r="H861" i="2"/>
  <c r="J861" i="2" s="1"/>
  <c r="H860" i="2"/>
  <c r="J860" i="2" s="1"/>
  <c r="J859" i="2"/>
  <c r="J858" i="2"/>
  <c r="H857" i="2"/>
  <c r="J857" i="2" s="1"/>
  <c r="H856" i="2"/>
  <c r="J856" i="2" s="1"/>
  <c r="H855" i="2"/>
  <c r="J855" i="2" s="1"/>
  <c r="J854" i="2"/>
  <c r="J853" i="2"/>
  <c r="K854" i="2" s="1"/>
  <c r="H850" i="2"/>
  <c r="J850" i="2" s="1"/>
  <c r="H849" i="2"/>
  <c r="J849" i="2" s="1"/>
  <c r="H848" i="2"/>
  <c r="J848" i="2" s="1"/>
  <c r="J847" i="2"/>
  <c r="J846" i="2"/>
  <c r="J845" i="2"/>
  <c r="J844" i="2"/>
  <c r="J843" i="2"/>
  <c r="K844" i="2" s="1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K789" i="2" s="1"/>
  <c r="H785" i="2"/>
  <c r="J785" i="2" s="1"/>
  <c r="H784" i="2"/>
  <c r="J784" i="2" s="1"/>
  <c r="J783" i="2"/>
  <c r="J782" i="2"/>
  <c r="J781" i="2"/>
  <c r="J780" i="2"/>
  <c r="H779" i="2"/>
  <c r="J779" i="2" s="1"/>
  <c r="H778" i="2"/>
  <c r="J778" i="2" s="1"/>
  <c r="J777" i="2"/>
  <c r="H776" i="2"/>
  <c r="J776" i="2" s="1"/>
  <c r="H775" i="2"/>
  <c r="J775" i="2" s="1"/>
  <c r="H774" i="2"/>
  <c r="J774" i="2" s="1"/>
  <c r="J773" i="2"/>
  <c r="J772" i="2"/>
  <c r="H771" i="2"/>
  <c r="J771" i="2" s="1"/>
  <c r="H770" i="2"/>
  <c r="J770" i="2" s="1"/>
  <c r="H769" i="2"/>
  <c r="J769" i="2" s="1"/>
  <c r="J768" i="2"/>
  <c r="H767" i="2"/>
  <c r="J767" i="2" s="1"/>
  <c r="H766" i="2"/>
  <c r="J766" i="2" s="1"/>
  <c r="H765" i="2"/>
  <c r="J765" i="2" s="1"/>
  <c r="H764" i="2"/>
  <c r="J764" i="2" s="1"/>
  <c r="H763" i="2"/>
  <c r="J763" i="2" s="1"/>
  <c r="H762" i="2"/>
  <c r="J762" i="2" s="1"/>
  <c r="H761" i="2"/>
  <c r="J761" i="2" s="1"/>
  <c r="H760" i="2"/>
  <c r="J760" i="2" s="1"/>
  <c r="H759" i="2"/>
  <c r="J759" i="2" s="1"/>
  <c r="H758" i="2"/>
  <c r="J758" i="2" s="1"/>
  <c r="H757" i="2"/>
  <c r="J757" i="2" s="1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H742" i="2"/>
  <c r="J742" i="2" s="1"/>
  <c r="J741" i="2"/>
  <c r="J740" i="2"/>
  <c r="J739" i="2"/>
  <c r="J738" i="2"/>
  <c r="J737" i="2"/>
  <c r="H736" i="2"/>
  <c r="J736" i="2" s="1"/>
  <c r="J735" i="2"/>
  <c r="K734" i="2"/>
  <c r="H734" i="2"/>
  <c r="J734" i="2" s="1"/>
  <c r="J731" i="2"/>
  <c r="H730" i="2"/>
  <c r="J730" i="2" s="1"/>
  <c r="H729" i="2"/>
  <c r="J729" i="2" s="1"/>
  <c r="H728" i="2"/>
  <c r="J728" i="2" s="1"/>
  <c r="H727" i="2"/>
  <c r="J727" i="2" s="1"/>
  <c r="J726" i="2"/>
  <c r="H725" i="2"/>
  <c r="J725" i="2" s="1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K699" i="2" s="1"/>
  <c r="K700" i="2" s="1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H677" i="2"/>
  <c r="J677" i="2" s="1"/>
  <c r="J676" i="2"/>
  <c r="H675" i="2"/>
  <c r="J675" i="2" s="1"/>
  <c r="J674" i="2"/>
  <c r="J673" i="2"/>
  <c r="J672" i="2"/>
  <c r="J671" i="2"/>
  <c r="J670" i="2"/>
  <c r="J669" i="2"/>
  <c r="J668" i="2"/>
  <c r="J667" i="2"/>
  <c r="J666" i="2"/>
  <c r="J665" i="2"/>
  <c r="J664" i="2"/>
  <c r="H663" i="2"/>
  <c r="J663" i="2" s="1"/>
  <c r="J662" i="2"/>
  <c r="J661" i="2"/>
  <c r="J660" i="2"/>
  <c r="J659" i="2"/>
  <c r="J658" i="2"/>
  <c r="J657" i="2"/>
  <c r="J656" i="2"/>
  <c r="J655" i="2"/>
  <c r="K656" i="2" s="1"/>
  <c r="J652" i="2"/>
  <c r="J651" i="2"/>
  <c r="H650" i="2"/>
  <c r="J650" i="2" s="1"/>
  <c r="J649" i="2"/>
  <c r="J648" i="2"/>
  <c r="J647" i="2"/>
  <c r="J646" i="2"/>
  <c r="J645" i="2"/>
  <c r="J644" i="2"/>
  <c r="J643" i="2"/>
  <c r="J642" i="2"/>
  <c r="J641" i="2"/>
  <c r="J640" i="2"/>
  <c r="H639" i="2"/>
  <c r="J639" i="2" s="1"/>
  <c r="H638" i="2"/>
  <c r="J638" i="2" s="1"/>
  <c r="H637" i="2"/>
  <c r="J637" i="2" s="1"/>
  <c r="J636" i="2"/>
  <c r="J635" i="2"/>
  <c r="H634" i="2"/>
  <c r="J634" i="2" s="1"/>
  <c r="J633" i="2"/>
  <c r="J632" i="2"/>
  <c r="H631" i="2"/>
  <c r="J631" i="2" s="1"/>
  <c r="H630" i="2"/>
  <c r="J630" i="2" s="1"/>
  <c r="K631" i="2" s="1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K601" i="2" s="1"/>
  <c r="H597" i="2"/>
  <c r="J597" i="2" s="1"/>
  <c r="J596" i="2"/>
  <c r="K597" i="2" s="1"/>
  <c r="J593" i="2"/>
  <c r="J592" i="2"/>
  <c r="J591" i="2"/>
  <c r="J590" i="2"/>
  <c r="J589" i="2"/>
  <c r="J588" i="2"/>
  <c r="J587" i="2"/>
  <c r="J586" i="2"/>
  <c r="J585" i="2"/>
  <c r="H584" i="2"/>
  <c r="J584" i="2" s="1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H556" i="2"/>
  <c r="J556" i="2" s="1"/>
  <c r="H555" i="2"/>
  <c r="J555" i="2" s="1"/>
  <c r="J554" i="2"/>
  <c r="J553" i="2"/>
  <c r="J552" i="2"/>
  <c r="J551" i="2"/>
  <c r="J550" i="2"/>
  <c r="J549" i="2"/>
  <c r="J548" i="2"/>
  <c r="J547" i="2"/>
  <c r="J546" i="2"/>
  <c r="J545" i="2"/>
  <c r="J544" i="2"/>
  <c r="K545" i="2" s="1"/>
  <c r="K546" i="2" s="1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H505" i="2"/>
  <c r="J505" i="2" s="1"/>
  <c r="J504" i="2"/>
  <c r="J503" i="2"/>
  <c r="J502" i="2"/>
  <c r="H501" i="2"/>
  <c r="J501" i="2" s="1"/>
  <c r="J500" i="2"/>
  <c r="J499" i="2"/>
  <c r="J498" i="2"/>
  <c r="J497" i="2"/>
  <c r="H496" i="2"/>
  <c r="J496" i="2" s="1"/>
  <c r="K497" i="2" s="1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H469" i="2"/>
  <c r="J469" i="2" s="1"/>
  <c r="J468" i="2"/>
  <c r="J467" i="2"/>
  <c r="J466" i="2"/>
  <c r="J465" i="2"/>
  <c r="J464" i="2"/>
  <c r="J463" i="2"/>
  <c r="J462" i="2"/>
  <c r="J461" i="2"/>
  <c r="J460" i="2"/>
  <c r="J459" i="2"/>
  <c r="J458" i="2"/>
  <c r="H457" i="2"/>
  <c r="J457" i="2" s="1"/>
  <c r="H456" i="2"/>
  <c r="J456" i="2" s="1"/>
  <c r="K457" i="2" s="1"/>
  <c r="J452" i="2"/>
  <c r="J451" i="2"/>
  <c r="J450" i="2"/>
  <c r="J449" i="2"/>
  <c r="J448" i="2"/>
  <c r="J446" i="2"/>
  <c r="J445" i="2"/>
  <c r="J444" i="2"/>
  <c r="J443" i="2"/>
  <c r="J442" i="2"/>
  <c r="J441" i="2"/>
  <c r="J440" i="2"/>
  <c r="J439" i="2"/>
  <c r="J438" i="2"/>
  <c r="J437" i="2"/>
  <c r="K438" i="2" s="1"/>
  <c r="J436" i="2"/>
  <c r="J435" i="2"/>
  <c r="K436" i="2" s="1"/>
  <c r="J432" i="2"/>
  <c r="J431" i="2"/>
  <c r="J430" i="2"/>
  <c r="J429" i="2"/>
  <c r="J428" i="2"/>
  <c r="J427" i="2"/>
  <c r="J426" i="2"/>
  <c r="J425" i="2"/>
  <c r="H424" i="2"/>
  <c r="J424" i="2" s="1"/>
  <c r="J423" i="2"/>
  <c r="J422" i="2"/>
  <c r="J421" i="2"/>
  <c r="J420" i="2"/>
  <c r="J419" i="2"/>
  <c r="J418" i="2"/>
  <c r="J417" i="2"/>
  <c r="J416" i="2"/>
  <c r="J415" i="2"/>
  <c r="J414" i="2"/>
  <c r="J413" i="2"/>
  <c r="H412" i="2"/>
  <c r="J412" i="2" s="1"/>
  <c r="H411" i="2"/>
  <c r="J411" i="2" s="1"/>
  <c r="H410" i="2"/>
  <c r="J410" i="2" s="1"/>
  <c r="H409" i="2"/>
  <c r="J409" i="2" s="1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K390" i="2" s="1"/>
  <c r="J386" i="2"/>
  <c r="H385" i="2"/>
  <c r="J385" i="2" s="1"/>
  <c r="J384" i="2"/>
  <c r="H383" i="2"/>
  <c r="J383" i="2" s="1"/>
  <c r="J382" i="2"/>
  <c r="J381" i="2"/>
  <c r="H380" i="2"/>
  <c r="J380" i="2" s="1"/>
  <c r="J379" i="2"/>
  <c r="J378" i="2"/>
  <c r="J377" i="2"/>
  <c r="J376" i="2"/>
  <c r="J375" i="2"/>
  <c r="J374" i="2"/>
  <c r="H373" i="2"/>
  <c r="J373" i="2" s="1"/>
  <c r="J372" i="2"/>
  <c r="H371" i="2"/>
  <c r="J371" i="2" s="1"/>
  <c r="H370" i="2"/>
  <c r="J370" i="2" s="1"/>
  <c r="J369" i="2"/>
  <c r="J368" i="2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J361" i="2"/>
  <c r="H360" i="2"/>
  <c r="J360" i="2" s="1"/>
  <c r="J359" i="2"/>
  <c r="H358" i="2"/>
  <c r="J358" i="2" s="1"/>
  <c r="J357" i="2"/>
  <c r="H356" i="2"/>
  <c r="J356" i="2" s="1"/>
  <c r="H355" i="2"/>
  <c r="J355" i="2" s="1"/>
  <c r="J354" i="2"/>
  <c r="J353" i="2"/>
  <c r="H352" i="2"/>
  <c r="J352" i="2" s="1"/>
  <c r="J351" i="2"/>
  <c r="J350" i="2"/>
  <c r="J349" i="2"/>
  <c r="H348" i="2"/>
  <c r="J348" i="2" s="1"/>
  <c r="J347" i="2"/>
  <c r="H346" i="2"/>
  <c r="J346" i="2" s="1"/>
  <c r="H345" i="2"/>
  <c r="J345" i="2" s="1"/>
  <c r="J344" i="2"/>
  <c r="J343" i="2"/>
  <c r="J342" i="2"/>
  <c r="J341" i="2"/>
  <c r="J340" i="2"/>
  <c r="J339" i="2"/>
  <c r="J338" i="2"/>
  <c r="J337" i="2"/>
  <c r="J336" i="2"/>
  <c r="J335" i="2"/>
  <c r="J334" i="2"/>
  <c r="K335" i="2" s="1"/>
  <c r="J331" i="2"/>
  <c r="J330" i="2"/>
  <c r="J329" i="2"/>
  <c r="J328" i="2"/>
  <c r="J327" i="2"/>
  <c r="J326" i="2"/>
  <c r="H325" i="2"/>
  <c r="J325" i="2" s="1"/>
  <c r="J324" i="2"/>
  <c r="J323" i="2"/>
  <c r="J322" i="2"/>
  <c r="J321" i="2"/>
  <c r="J320" i="2"/>
  <c r="H319" i="2"/>
  <c r="J319" i="2" s="1"/>
  <c r="J318" i="2"/>
  <c r="J317" i="2"/>
  <c r="J316" i="2"/>
  <c r="J315" i="2"/>
  <c r="J314" i="2"/>
  <c r="J313" i="2"/>
  <c r="K314" i="2" s="1"/>
  <c r="J310" i="2"/>
  <c r="J309" i="2"/>
  <c r="J308" i="2"/>
  <c r="J307" i="2"/>
  <c r="H306" i="2"/>
  <c r="J306" i="2" s="1"/>
  <c r="J305" i="2"/>
  <c r="J304" i="2"/>
  <c r="J303" i="2"/>
  <c r="J302" i="2"/>
  <c r="J301" i="2"/>
  <c r="J300" i="2"/>
  <c r="J299" i="2"/>
  <c r="J298" i="2"/>
  <c r="H297" i="2"/>
  <c r="J297" i="2" s="1"/>
  <c r="H296" i="2"/>
  <c r="J296" i="2" s="1"/>
  <c r="J295" i="2"/>
  <c r="H294" i="2"/>
  <c r="J294" i="2" s="1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2" i="2"/>
  <c r="J271" i="2"/>
  <c r="J270" i="2"/>
  <c r="J269" i="2"/>
  <c r="J268" i="2"/>
  <c r="J267" i="2"/>
  <c r="J266" i="2"/>
  <c r="J265" i="2"/>
  <c r="J264" i="2"/>
  <c r="J263" i="2"/>
  <c r="J262" i="2"/>
  <c r="K263" i="2" s="1"/>
  <c r="J259" i="2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J249" i="2"/>
  <c r="J248" i="2"/>
  <c r="J247" i="2"/>
  <c r="H246" i="2"/>
  <c r="J246" i="2" s="1"/>
  <c r="J245" i="2"/>
  <c r="H244" i="2"/>
  <c r="J244" i="2" s="1"/>
  <c r="H243" i="2"/>
  <c r="H242" i="2"/>
  <c r="J242" i="2" s="1"/>
  <c r="H241" i="2"/>
  <c r="J241" i="2" s="1"/>
  <c r="H240" i="2"/>
  <c r="J240" i="2" s="1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K195" i="2" s="1"/>
  <c r="K196" i="2" s="1"/>
  <c r="J191" i="2"/>
  <c r="K192" i="2" s="1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F148" i="2"/>
  <c r="J148" i="2" s="1"/>
  <c r="K149" i="2" s="1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K116" i="2" s="1"/>
  <c r="J112" i="2"/>
  <c r="J111" i="2"/>
  <c r="J110" i="2"/>
  <c r="J109" i="2"/>
  <c r="J108" i="2"/>
  <c r="J107" i="2"/>
  <c r="J106" i="2"/>
  <c r="J105" i="2"/>
  <c r="J104" i="2"/>
  <c r="H17" i="3" s="1"/>
  <c r="O17" i="3" s="1"/>
  <c r="J103" i="2"/>
  <c r="J102" i="2"/>
  <c r="H16" i="3" s="1"/>
  <c r="P16" i="3" s="1"/>
  <c r="J101" i="2"/>
  <c r="H15" i="3" s="1"/>
  <c r="P15" i="3" s="1"/>
  <c r="H100" i="2"/>
  <c r="J100" i="2" s="1"/>
  <c r="J99" i="2"/>
  <c r="K100" i="2" s="1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H82" i="2"/>
  <c r="J82" i="2" s="1"/>
  <c r="J81" i="2"/>
  <c r="J80" i="2"/>
  <c r="J79" i="2"/>
  <c r="J78" i="2"/>
  <c r="J77" i="2"/>
  <c r="J76" i="2"/>
  <c r="J75" i="2"/>
  <c r="J74" i="2"/>
  <c r="K74" i="2" s="1"/>
  <c r="J71" i="2"/>
  <c r="J70" i="2"/>
  <c r="J69" i="2"/>
  <c r="J68" i="2"/>
  <c r="J67" i="2"/>
  <c r="H66" i="2"/>
  <c r="J66" i="2" s="1"/>
  <c r="H65" i="2"/>
  <c r="J65" i="2" s="1"/>
  <c r="J64" i="2"/>
  <c r="J63" i="2"/>
  <c r="H62" i="2"/>
  <c r="J62" i="2" s="1"/>
  <c r="J61" i="2"/>
  <c r="H60" i="2"/>
  <c r="J60" i="2" s="1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F34" i="2"/>
  <c r="J34" i="2" s="1"/>
  <c r="K35" i="2" s="1"/>
  <c r="J31" i="2"/>
  <c r="J30" i="2"/>
  <c r="J29" i="2"/>
  <c r="J28" i="2"/>
  <c r="J27" i="2"/>
  <c r="J26" i="2"/>
  <c r="J25" i="2"/>
  <c r="J24" i="2"/>
  <c r="J23" i="2"/>
  <c r="H22" i="2"/>
  <c r="J22" i="2" s="1"/>
  <c r="J21" i="2"/>
  <c r="J20" i="2"/>
  <c r="J19" i="2"/>
  <c r="J18" i="2"/>
  <c r="J17" i="2"/>
  <c r="J16" i="2"/>
  <c r="K17" i="2" s="1"/>
  <c r="J15" i="2"/>
  <c r="J14" i="2"/>
  <c r="H13" i="2"/>
  <c r="J13" i="2" s="1"/>
  <c r="J12" i="2"/>
  <c r="J11" i="2"/>
  <c r="J10" i="2"/>
  <c r="J9" i="2"/>
  <c r="J8" i="2"/>
  <c r="J7" i="2"/>
  <c r="J6" i="2"/>
  <c r="J5" i="2"/>
  <c r="K6" i="2" s="1"/>
  <c r="K718" i="3" l="1"/>
  <c r="L718" i="3"/>
  <c r="M718" i="3"/>
  <c r="O718" i="3"/>
  <c r="K264" i="2"/>
  <c r="K2481" i="2"/>
  <c r="K1461" i="2"/>
  <c r="K2257" i="2"/>
  <c r="K197" i="2"/>
  <c r="K598" i="2"/>
  <c r="K1738" i="2"/>
  <c r="K1739" i="2" s="1"/>
  <c r="K1740" i="2" s="1"/>
  <c r="K1741" i="2" s="1"/>
  <c r="K1742" i="2" s="1"/>
  <c r="K1743" i="2" s="1"/>
  <c r="K1744" i="2" s="1"/>
  <c r="K1745" i="2" s="1"/>
  <c r="K1746" i="2" s="1"/>
  <c r="K1747" i="2" s="1"/>
  <c r="K2482" i="2"/>
  <c r="K2483" i="2" s="1"/>
  <c r="K2484" i="2" s="1"/>
  <c r="K2485" i="2" s="1"/>
  <c r="K2486" i="2" s="1"/>
  <c r="K2487" i="2" s="1"/>
  <c r="K2488" i="2" s="1"/>
  <c r="K2489" i="2" s="1"/>
  <c r="K2490" i="2" s="1"/>
  <c r="K2491" i="2" s="1"/>
  <c r="K2492" i="2" s="1"/>
  <c r="K2493" i="2" s="1"/>
  <c r="K2494" i="2" s="1"/>
  <c r="K2495" i="2" s="1"/>
  <c r="K2496" i="2" s="1"/>
  <c r="K2497" i="2" s="1"/>
  <c r="K2498" i="2" s="1"/>
  <c r="K2499" i="2" s="1"/>
  <c r="K2500" i="2" s="1"/>
  <c r="K2501" i="2" s="1"/>
  <c r="K2502" i="2" s="1"/>
  <c r="K2503" i="2" s="1"/>
  <c r="K2504" i="2" s="1"/>
  <c r="K2505" i="2" s="1"/>
  <c r="K2506" i="2" s="1"/>
  <c r="K2507" i="2" s="1"/>
  <c r="K2508" i="2" s="1"/>
  <c r="K2509" i="2" s="1"/>
  <c r="K2510" i="2" s="1"/>
  <c r="K2511" i="2" s="1"/>
  <c r="K2512" i="2" s="1"/>
  <c r="K2513" i="2" s="1"/>
  <c r="K2514" i="2" s="1"/>
  <c r="K2515" i="2" s="1"/>
  <c r="K2516" i="2" s="1"/>
  <c r="K2517" i="2" s="1"/>
  <c r="K2518" i="2" s="1"/>
  <c r="K2519" i="2" s="1"/>
  <c r="K2520" i="2" s="1"/>
  <c r="K2521" i="2" s="1"/>
  <c r="K2522" i="2" s="1"/>
  <c r="K2523" i="2" s="1"/>
  <c r="K2524" i="2" s="1"/>
  <c r="K2525" i="2" s="1"/>
  <c r="K2526" i="2" s="1"/>
  <c r="K2527" i="2" s="1"/>
  <c r="K2528" i="2" s="1"/>
  <c r="K2529" i="2" s="1"/>
  <c r="K2530" i="2" s="1"/>
  <c r="K2531" i="2" s="1"/>
  <c r="K2532" i="2" s="1"/>
  <c r="K2533" i="2" s="1"/>
  <c r="K2534" i="2" s="1"/>
  <c r="K2535" i="2" s="1"/>
  <c r="K2536" i="2" s="1"/>
  <c r="K2537" i="2" s="1"/>
  <c r="K2538" i="2" s="1"/>
  <c r="K602" i="2"/>
  <c r="K1232" i="2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691" i="2"/>
  <c r="K1692" i="2" s="1"/>
  <c r="K1693" i="2" s="1"/>
  <c r="K1694" i="2" s="1"/>
  <c r="K1695" i="2" s="1"/>
  <c r="K1696" i="2" s="1"/>
  <c r="K1697" i="2" s="1"/>
  <c r="K1698" i="2" s="1"/>
  <c r="K1699" i="2" s="1"/>
  <c r="K1700" i="2" s="1"/>
  <c r="K1701" i="2" s="1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K1717" i="2" s="1"/>
  <c r="K1718" i="2" s="1"/>
  <c r="K1719" i="2" s="1"/>
  <c r="K1920" i="2"/>
  <c r="K1921" i="2" s="1"/>
  <c r="K2036" i="2"/>
  <c r="K2333" i="2"/>
  <c r="K2334" i="2" s="1"/>
  <c r="K2335" i="2" s="1"/>
  <c r="K2336" i="2" s="1"/>
  <c r="K2337" i="2" s="1"/>
  <c r="K2338" i="2" s="1"/>
  <c r="K2339" i="2" s="1"/>
  <c r="K2340" i="2" s="1"/>
  <c r="K2341" i="2" s="1"/>
  <c r="K2342" i="2" s="1"/>
  <c r="K2343" i="2" s="1"/>
  <c r="K2344" i="2" s="1"/>
  <c r="K2345" i="2" s="1"/>
  <c r="K2346" i="2" s="1"/>
  <c r="K2347" i="2" s="1"/>
  <c r="K2348" i="2" s="1"/>
  <c r="K2349" i="2" s="1"/>
  <c r="K2350" i="2" s="1"/>
  <c r="K2351" i="2" s="1"/>
  <c r="K2352" i="2" s="1"/>
  <c r="K2353" i="2" s="1"/>
  <c r="K2354" i="2" s="1"/>
  <c r="K2355" i="2" s="1"/>
  <c r="K2356" i="2" s="1"/>
  <c r="K2357" i="2" s="1"/>
  <c r="K2358" i="2" s="1"/>
  <c r="K2359" i="2" s="1"/>
  <c r="K2360" i="2" s="1"/>
  <c r="K2361" i="2" s="1"/>
  <c r="K2362" i="2" s="1"/>
  <c r="K2363" i="2" s="1"/>
  <c r="K2364" i="2" s="1"/>
  <c r="K2365" i="2" s="1"/>
  <c r="K2366" i="2" s="1"/>
  <c r="K2367" i="2" s="1"/>
  <c r="K2368" i="2" s="1"/>
  <c r="K2369" i="2" s="1"/>
  <c r="K2370" i="2" s="1"/>
  <c r="K2371" i="2" s="1"/>
  <c r="K2372" i="2" s="1"/>
  <c r="K2373" i="2" s="1"/>
  <c r="K2374" i="2" s="1"/>
  <c r="K2375" i="2" s="1"/>
  <c r="K2376" i="2" s="1"/>
  <c r="K2377" i="2" s="1"/>
  <c r="K2378" i="2" s="1"/>
  <c r="K2379" i="2" s="1"/>
  <c r="K2380" i="2" s="1"/>
  <c r="K2381" i="2" s="1"/>
  <c r="K2382" i="2" s="1"/>
  <c r="K2383" i="2" s="1"/>
  <c r="K2384" i="2" s="1"/>
  <c r="K2385" i="2" s="1"/>
  <c r="K2386" i="2" s="1"/>
  <c r="K2387" i="2" s="1"/>
  <c r="K2388" i="2" s="1"/>
  <c r="K2389" i="2" s="1"/>
  <c r="K2390" i="2" s="1"/>
  <c r="K2391" i="2" s="1"/>
  <c r="K547" i="2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701" i="2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336" i="2"/>
  <c r="K337" i="2" s="1"/>
  <c r="K918" i="2"/>
  <c r="K1004" i="2"/>
  <c r="K2258" i="2"/>
  <c r="K2259" i="2" s="1"/>
  <c r="L1791" i="2"/>
  <c r="K1363" i="2"/>
  <c r="K2174" i="2"/>
  <c r="K2175" i="2" s="1"/>
  <c r="K2176" i="2" s="1"/>
  <c r="K2177" i="2" s="1"/>
  <c r="K2178" i="2" s="1"/>
  <c r="K2179" i="2" s="1"/>
  <c r="K2180" i="2" s="1"/>
  <c r="K2181" i="2" s="1"/>
  <c r="K2182" i="2" s="1"/>
  <c r="K2183" i="2" s="1"/>
  <c r="K2184" i="2" s="1"/>
  <c r="K2185" i="2" s="1"/>
  <c r="K2186" i="2" s="1"/>
  <c r="K2187" i="2" s="1"/>
  <c r="K2188" i="2" s="1"/>
  <c r="K2189" i="2" s="1"/>
  <c r="K2190" i="2" s="1"/>
  <c r="K2191" i="2" s="1"/>
  <c r="K2192" i="2" s="1"/>
  <c r="K2193" i="2" s="1"/>
  <c r="K2194" i="2" s="1"/>
  <c r="K2195" i="2" s="1"/>
  <c r="K2196" i="2" s="1"/>
  <c r="K2197" i="2" s="1"/>
  <c r="K2198" i="2" s="1"/>
  <c r="K2199" i="2" s="1"/>
  <c r="K2200" i="2" s="1"/>
  <c r="K2201" i="2" s="1"/>
  <c r="K2202" i="2" s="1"/>
  <c r="K2203" i="2" s="1"/>
  <c r="K2204" i="2" s="1"/>
  <c r="K2205" i="2" s="1"/>
  <c r="K2206" i="2" s="1"/>
  <c r="K2207" i="2" s="1"/>
  <c r="K2208" i="2" s="1"/>
  <c r="K2209" i="2" s="1"/>
  <c r="K2210" i="2" s="1"/>
  <c r="K2211" i="2" s="1"/>
  <c r="K2212" i="2" s="1"/>
  <c r="K2213" i="2" s="1"/>
  <c r="K2214" i="2" s="1"/>
  <c r="K2215" i="2" s="1"/>
  <c r="K2216" i="2" s="1"/>
  <c r="K2217" i="2" s="1"/>
  <c r="K2218" i="2" s="1"/>
  <c r="K2219" i="2" s="1"/>
  <c r="K1032" i="2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3094" i="2"/>
  <c r="K3095" i="2" s="1"/>
  <c r="K3096" i="2" s="1"/>
  <c r="K3097" i="2" s="1"/>
  <c r="K3098" i="2" s="1"/>
  <c r="K3099" i="2" s="1"/>
  <c r="K3100" i="2" s="1"/>
  <c r="K3101" i="2" s="1"/>
  <c r="K3102" i="2" s="1"/>
  <c r="K3103" i="2" s="1"/>
  <c r="K3104" i="2" s="1"/>
  <c r="K3105" i="2" s="1"/>
  <c r="K3106" i="2" s="1"/>
  <c r="K3107" i="2" s="1"/>
  <c r="K3108" i="2" s="1"/>
  <c r="K3109" i="2" s="1"/>
  <c r="K3110" i="2" s="1"/>
  <c r="K3111" i="2" s="1"/>
  <c r="K3112" i="2" s="1"/>
  <c r="K3113" i="2" s="1"/>
  <c r="K3114" i="2" s="1"/>
  <c r="K3115" i="2" s="1"/>
  <c r="K3116" i="2" s="1"/>
  <c r="K3117" i="2" s="1"/>
  <c r="K3118" i="2" s="1"/>
  <c r="K3119" i="2" s="1"/>
  <c r="K3120" i="2" s="1"/>
  <c r="K3121" i="2" s="1"/>
  <c r="K3122" i="2" s="1"/>
  <c r="K3123" i="2" s="1"/>
  <c r="K3124" i="2" s="1"/>
  <c r="K3125" i="2" s="1"/>
  <c r="K3126" i="2" s="1"/>
  <c r="K3127" i="2" s="1"/>
  <c r="K3128" i="2" s="1"/>
  <c r="K3129" i="2" s="1"/>
  <c r="K3130" i="2" s="1"/>
  <c r="K3131" i="2" s="1"/>
  <c r="K3132" i="2" s="1"/>
  <c r="K3133" i="2" s="1"/>
  <c r="K3134" i="2" s="1"/>
  <c r="K3135" i="2" s="1"/>
  <c r="K3136" i="2" s="1"/>
  <c r="K3137" i="2" s="1"/>
  <c r="K3138" i="2" s="1"/>
  <c r="K3139" i="2" s="1"/>
  <c r="K3140" i="2" s="1"/>
  <c r="K3141" i="2" s="1"/>
  <c r="K3142" i="2" s="1"/>
  <c r="K3143" i="2" s="1"/>
  <c r="K3144" i="2" s="1"/>
  <c r="K3145" i="2" s="1"/>
  <c r="K3146" i="2" s="1"/>
  <c r="K3147" i="2" s="1"/>
  <c r="K3148" i="2" s="1"/>
  <c r="K3149" i="2" s="1"/>
  <c r="K3150" i="2" s="1"/>
  <c r="K3151" i="2" s="1"/>
  <c r="K3152" i="2" s="1"/>
  <c r="K3153" i="2" s="1"/>
  <c r="K3154" i="2" s="1"/>
  <c r="K3155" i="2" s="1"/>
  <c r="K3156" i="2" s="1"/>
  <c r="K3157" i="2" s="1"/>
  <c r="K3158" i="2" s="1"/>
  <c r="K3159" i="2" s="1"/>
  <c r="K3160" i="2" s="1"/>
  <c r="K3161" i="2" s="1"/>
  <c r="K3162" i="2" s="1"/>
  <c r="J2476" i="2"/>
  <c r="K2801" i="2"/>
  <c r="K2802" i="2" s="1"/>
  <c r="K2803" i="2" s="1"/>
  <c r="K2804" i="2" s="1"/>
  <c r="K2805" i="2" s="1"/>
  <c r="K2806" i="2" s="1"/>
  <c r="K2807" i="2" s="1"/>
  <c r="K2808" i="2" s="1"/>
  <c r="K2809" i="2" s="1"/>
  <c r="K2810" i="2" s="1"/>
  <c r="K2811" i="2" s="1"/>
  <c r="K2812" i="2" s="1"/>
  <c r="K2813" i="2" s="1"/>
  <c r="K2814" i="2" s="1"/>
  <c r="K2815" i="2" s="1"/>
  <c r="K2816" i="2" s="1"/>
  <c r="K2817" i="2" s="1"/>
  <c r="K2818" i="2" s="1"/>
  <c r="K2819" i="2" s="1"/>
  <c r="K2820" i="2" s="1"/>
  <c r="K2821" i="2" s="1"/>
  <c r="K2822" i="2" s="1"/>
  <c r="K2823" i="2" s="1"/>
  <c r="K2824" i="2" s="1"/>
  <c r="K2825" i="2" s="1"/>
  <c r="K2826" i="2" s="1"/>
  <c r="K2827" i="2" s="1"/>
  <c r="K2828" i="2" s="1"/>
  <c r="K2829" i="2" s="1"/>
  <c r="K2830" i="2" s="1"/>
  <c r="K2831" i="2" s="1"/>
  <c r="K2832" i="2" s="1"/>
  <c r="K2833" i="2" s="1"/>
  <c r="K2834" i="2" s="1"/>
  <c r="K2835" i="2" s="1"/>
  <c r="K2836" i="2" s="1"/>
  <c r="K2837" i="2" s="1"/>
  <c r="K2838" i="2" s="1"/>
  <c r="K2839" i="2" s="1"/>
  <c r="K2840" i="2" s="1"/>
  <c r="K2841" i="2" s="1"/>
  <c r="K2842" i="2" s="1"/>
  <c r="K2843" i="2" s="1"/>
  <c r="K2844" i="2" s="1"/>
  <c r="K2845" i="2" s="1"/>
  <c r="K2846" i="2" s="1"/>
  <c r="K2847" i="2" s="1"/>
  <c r="K2848" i="2" s="1"/>
  <c r="K2849" i="2" s="1"/>
  <c r="K2850" i="2" s="1"/>
  <c r="K2851" i="2" s="1"/>
  <c r="K2852" i="2" s="1"/>
  <c r="K2853" i="2" s="1"/>
  <c r="K2854" i="2" s="1"/>
  <c r="K2855" i="2" s="1"/>
  <c r="K2856" i="2" s="1"/>
  <c r="K2857" i="2" s="1"/>
  <c r="K2858" i="2" s="1"/>
  <c r="K2859" i="2" s="1"/>
  <c r="K2860" i="2" s="1"/>
  <c r="K2861" i="2" s="1"/>
  <c r="K2862" i="2" s="1"/>
  <c r="K2863" i="2" s="1"/>
  <c r="K2864" i="2" s="1"/>
  <c r="K2865" i="2" s="1"/>
  <c r="K2866" i="2" s="1"/>
  <c r="K2867" i="2" s="1"/>
  <c r="K2868" i="2" s="1"/>
  <c r="K2869" i="2" s="1"/>
  <c r="K18" i="2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1175" i="2"/>
  <c r="K1418" i="2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2013" i="2"/>
  <c r="K2014" i="2" s="1"/>
  <c r="K2665" i="2"/>
  <c r="K2666" i="2" s="1"/>
  <c r="K2667" i="2" s="1"/>
  <c r="K2668" i="2" s="1"/>
  <c r="K2669" i="2" s="1"/>
  <c r="K2670" i="2" s="1"/>
  <c r="K2671" i="2" s="1"/>
  <c r="K2672" i="2" s="1"/>
  <c r="K2673" i="2" s="1"/>
  <c r="K2674" i="2" s="1"/>
  <c r="K2675" i="2" s="1"/>
  <c r="K2676" i="2" s="1"/>
  <c r="K2677" i="2" s="1"/>
  <c r="K2678" i="2" s="1"/>
  <c r="K2679" i="2" s="1"/>
  <c r="K2680" i="2" s="1"/>
  <c r="K2681" i="2" s="1"/>
  <c r="K2682" i="2" s="1"/>
  <c r="K2683" i="2" s="1"/>
  <c r="K2684" i="2" s="1"/>
  <c r="K2685" i="2" s="1"/>
  <c r="K2686" i="2" s="1"/>
  <c r="K2687" i="2" s="1"/>
  <c r="K2688" i="2" s="1"/>
  <c r="K2689" i="2" s="1"/>
  <c r="K2690" i="2" s="1"/>
  <c r="K2691" i="2" s="1"/>
  <c r="K2692" i="2" s="1"/>
  <c r="K2693" i="2" s="1"/>
  <c r="K2694" i="2" s="1"/>
  <c r="K2695" i="2" s="1"/>
  <c r="K2696" i="2" s="1"/>
  <c r="K2697" i="2" s="1"/>
  <c r="K2698" i="2" s="1"/>
  <c r="K2699" i="2" s="1"/>
  <c r="K2700" i="2" s="1"/>
  <c r="K2701" i="2" s="1"/>
  <c r="K2702" i="2" s="1"/>
  <c r="K2703" i="2" s="1"/>
  <c r="K2704" i="2" s="1"/>
  <c r="K2705" i="2" s="1"/>
  <c r="K2706" i="2" s="1"/>
  <c r="K2707" i="2" s="1"/>
  <c r="K2708" i="2" s="1"/>
  <c r="K2709" i="2" s="1"/>
  <c r="K2710" i="2" s="1"/>
  <c r="K2711" i="2" s="1"/>
  <c r="K2712" i="2" s="1"/>
  <c r="K2713" i="2" s="1"/>
  <c r="K2714" i="2" s="1"/>
  <c r="K2715" i="2" s="1"/>
  <c r="K2716" i="2" s="1"/>
  <c r="K2717" i="2" s="1"/>
  <c r="K2718" i="2" s="1"/>
  <c r="K2719" i="2" s="1"/>
  <c r="K2720" i="2" s="1"/>
  <c r="K2721" i="2" s="1"/>
  <c r="K2722" i="2" s="1"/>
  <c r="K2723" i="2" s="1"/>
  <c r="K2724" i="2" s="1"/>
  <c r="K2725" i="2" s="1"/>
  <c r="K2726" i="2" s="1"/>
  <c r="K2727" i="2" s="1"/>
  <c r="K2728" i="2" s="1"/>
  <c r="K2729" i="2" s="1"/>
  <c r="K2730" i="2" s="1"/>
  <c r="K2731" i="2" s="1"/>
  <c r="K2732" i="2" s="1"/>
  <c r="K2733" i="2" s="1"/>
  <c r="K2734" i="2" s="1"/>
  <c r="K2735" i="2" s="1"/>
  <c r="K2592" i="2"/>
  <c r="K2593" i="2" s="1"/>
  <c r="K2594" i="2" s="1"/>
  <c r="K2595" i="2" s="1"/>
  <c r="K2596" i="2" s="1"/>
  <c r="K2597" i="2" s="1"/>
  <c r="K2598" i="2" s="1"/>
  <c r="K2599" i="2" s="1"/>
  <c r="K2600" i="2" s="1"/>
  <c r="K2601" i="2" s="1"/>
  <c r="K2602" i="2" s="1"/>
  <c r="K2603" i="2" s="1"/>
  <c r="K2604" i="2" s="1"/>
  <c r="K2605" i="2" s="1"/>
  <c r="K2606" i="2" s="1"/>
  <c r="K2607" i="2" s="1"/>
  <c r="K2608" i="2" s="1"/>
  <c r="K2609" i="2" s="1"/>
  <c r="K2610" i="2" s="1"/>
  <c r="K2611" i="2" s="1"/>
  <c r="K2612" i="2" s="1"/>
  <c r="K2613" i="2" s="1"/>
  <c r="K2614" i="2" s="1"/>
  <c r="K2615" i="2" s="1"/>
  <c r="K2616" i="2" s="1"/>
  <c r="K2617" i="2" s="1"/>
  <c r="K2618" i="2" s="1"/>
  <c r="K2619" i="2" s="1"/>
  <c r="K2620" i="2" s="1"/>
  <c r="K2621" i="2" s="1"/>
  <c r="K2622" i="2" s="1"/>
  <c r="K2623" i="2" s="1"/>
  <c r="K2624" i="2" s="1"/>
  <c r="K2625" i="2" s="1"/>
  <c r="K2626" i="2" s="1"/>
  <c r="K2627" i="2" s="1"/>
  <c r="K2628" i="2" s="1"/>
  <c r="K2629" i="2" s="1"/>
  <c r="K2630" i="2" s="1"/>
  <c r="K2631" i="2" s="1"/>
  <c r="K2632" i="2" s="1"/>
  <c r="K2633" i="2" s="1"/>
  <c r="K2634" i="2" s="1"/>
  <c r="K2635" i="2" s="1"/>
  <c r="K2636" i="2" s="1"/>
  <c r="K2637" i="2" s="1"/>
  <c r="K2638" i="2" s="1"/>
  <c r="K2639" i="2" s="1"/>
  <c r="K2640" i="2" s="1"/>
  <c r="K2641" i="2" s="1"/>
  <c r="K2642" i="2" s="1"/>
  <c r="K2643" i="2" s="1"/>
  <c r="K2644" i="2" s="1"/>
  <c r="K2645" i="2" s="1"/>
  <c r="K2646" i="2" s="1"/>
  <c r="K2647" i="2" s="1"/>
  <c r="K2648" i="2" s="1"/>
  <c r="K2649" i="2" s="1"/>
  <c r="K2650" i="2" s="1"/>
  <c r="K2651" i="2" s="1"/>
  <c r="K2652" i="2" s="1"/>
  <c r="K2653" i="2" s="1"/>
  <c r="K2654" i="2" s="1"/>
  <c r="K2655" i="2" s="1"/>
  <c r="K2656" i="2" s="1"/>
  <c r="K2657" i="2" s="1"/>
  <c r="K2658" i="2" s="1"/>
  <c r="K2659" i="2" s="1"/>
  <c r="K2660" i="2" s="1"/>
  <c r="K2661" i="2" s="1"/>
  <c r="K2437" i="2"/>
  <c r="K2438" i="2" s="1"/>
  <c r="K2439" i="2" s="1"/>
  <c r="K2440" i="2" s="1"/>
  <c r="K2441" i="2" s="1"/>
  <c r="K735" i="2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899" i="2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1067" i="2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5" i="2" s="1"/>
  <c r="K1627" i="2"/>
  <c r="K1628" i="2" s="1"/>
  <c r="K1629" i="2" s="1"/>
  <c r="K1630" i="2" s="1"/>
  <c r="K1631" i="2" s="1"/>
  <c r="K1632" i="2" s="1"/>
  <c r="K1633" i="2" s="1"/>
  <c r="K1634" i="2" s="1"/>
  <c r="K1635" i="2" s="1"/>
  <c r="K1636" i="2" s="1"/>
  <c r="K2978" i="2"/>
  <c r="K2979" i="2" s="1"/>
  <c r="K2980" i="2" s="1"/>
  <c r="K2981" i="2" s="1"/>
  <c r="K2982" i="2" s="1"/>
  <c r="K2983" i="2" s="1"/>
  <c r="K2984" i="2" s="1"/>
  <c r="K2985" i="2" s="1"/>
  <c r="K2986" i="2" s="1"/>
  <c r="K2987" i="2" s="1"/>
  <c r="K2988" i="2" s="1"/>
  <c r="K2989" i="2" s="1"/>
  <c r="K2990" i="2" s="1"/>
  <c r="K2991" i="2" s="1"/>
  <c r="K2992" i="2" s="1"/>
  <c r="K2993" i="2" s="1"/>
  <c r="K2994" i="2" s="1"/>
  <c r="K2995" i="2" s="1"/>
  <c r="K2996" i="2" s="1"/>
  <c r="K2997" i="2" s="1"/>
  <c r="K2998" i="2" s="1"/>
  <c r="K2999" i="2" s="1"/>
  <c r="K3000" i="2" s="1"/>
  <c r="K3001" i="2" s="1"/>
  <c r="K3002" i="2" s="1"/>
  <c r="K3003" i="2" s="1"/>
  <c r="K3004" i="2" s="1"/>
  <c r="K3005" i="2" s="1"/>
  <c r="K3006" i="2" s="1"/>
  <c r="K3007" i="2" s="1"/>
  <c r="K3008" i="2" s="1"/>
  <c r="K3009" i="2" s="1"/>
  <c r="K3010" i="2" s="1"/>
  <c r="K3011" i="2" s="1"/>
  <c r="K3012" i="2" s="1"/>
  <c r="K3013" i="2" s="1"/>
  <c r="K3014" i="2" s="1"/>
  <c r="K3015" i="2" s="1"/>
  <c r="K3016" i="2" s="1"/>
  <c r="K3017" i="2" s="1"/>
  <c r="K3018" i="2" s="1"/>
  <c r="K1604" i="2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892" i="2"/>
  <c r="K1893" i="2" s="1"/>
  <c r="K1894" i="2" s="1"/>
  <c r="K1895" i="2" s="1"/>
  <c r="K1896" i="2" s="1"/>
  <c r="K1897" i="2" s="1"/>
  <c r="K1898" i="2" s="1"/>
  <c r="K1899" i="2" s="1"/>
  <c r="K1900" i="2" s="1"/>
  <c r="K1901" i="2" s="1"/>
  <c r="K1902" i="2" s="1"/>
  <c r="K1903" i="2" s="1"/>
  <c r="K1904" i="2" s="1"/>
  <c r="K1905" i="2" s="1"/>
  <c r="K1906" i="2" s="1"/>
  <c r="K1907" i="2" s="1"/>
  <c r="K603" i="2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845" i="2"/>
  <c r="K846" i="2" s="1"/>
  <c r="K847" i="2" s="1"/>
  <c r="K848" i="2" s="1"/>
  <c r="K849" i="2" s="1"/>
  <c r="K850" i="2" s="1"/>
  <c r="K851" i="2" s="1"/>
  <c r="K2542" i="2"/>
  <c r="K2543" i="2" s="1"/>
  <c r="K2544" i="2" s="1"/>
  <c r="K2545" i="2" s="1"/>
  <c r="K2546" i="2" s="1"/>
  <c r="K2547" i="2" s="1"/>
  <c r="K2548" i="2" s="1"/>
  <c r="K2549" i="2" s="1"/>
  <c r="K2550" i="2" s="1"/>
  <c r="K2551" i="2" s="1"/>
  <c r="K2552" i="2" s="1"/>
  <c r="K2553" i="2" s="1"/>
  <c r="K2554" i="2" s="1"/>
  <c r="K2555" i="2" s="1"/>
  <c r="K2556" i="2" s="1"/>
  <c r="K2557" i="2" s="1"/>
  <c r="K2558" i="2" s="1"/>
  <c r="K2559" i="2" s="1"/>
  <c r="K2560" i="2" s="1"/>
  <c r="K2561" i="2" s="1"/>
  <c r="K2562" i="2" s="1"/>
  <c r="K2563" i="2" s="1"/>
  <c r="K2564" i="2" s="1"/>
  <c r="K2565" i="2" s="1"/>
  <c r="K2566" i="2" s="1"/>
  <c r="K2567" i="2" s="1"/>
  <c r="K2568" i="2" s="1"/>
  <c r="K2569" i="2" s="1"/>
  <c r="K2570" i="2" s="1"/>
  <c r="K2571" i="2" s="1"/>
  <c r="K2572" i="2" s="1"/>
  <c r="K2573" i="2" s="1"/>
  <c r="K2574" i="2" s="1"/>
  <c r="K2575" i="2" s="1"/>
  <c r="K2576" i="2" s="1"/>
  <c r="K2577" i="2" s="1"/>
  <c r="K2578" i="2" s="1"/>
  <c r="K2579" i="2" s="1"/>
  <c r="K2580" i="2" s="1"/>
  <c r="K2581" i="2" s="1"/>
  <c r="K2582" i="2" s="1"/>
  <c r="K2583" i="2" s="1"/>
  <c r="K2584" i="2" s="1"/>
  <c r="K2585" i="2" s="1"/>
  <c r="K2586" i="2" s="1"/>
  <c r="K2587" i="2" s="1"/>
  <c r="K2588" i="2" s="1"/>
  <c r="K632" i="2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968" i="2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1511" i="2"/>
  <c r="K1512" i="2" s="1"/>
  <c r="K1513" i="2" s="1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680" i="2"/>
  <c r="K1681" i="2" s="1"/>
  <c r="K1682" i="2" s="1"/>
  <c r="K1683" i="2" s="1"/>
  <c r="K1684" i="2" s="1"/>
  <c r="K1685" i="2" s="1"/>
  <c r="K1686" i="2" s="1"/>
  <c r="K1687" i="2" s="1"/>
  <c r="K1753" i="2"/>
  <c r="K1754" i="2" s="1"/>
  <c r="K1755" i="2" s="1"/>
  <c r="K1756" i="2" s="1"/>
  <c r="K1757" i="2" s="1"/>
  <c r="K1758" i="2" s="1"/>
  <c r="K1759" i="2" s="1"/>
  <c r="K1760" i="2" s="1"/>
  <c r="K1761" i="2" s="1"/>
  <c r="K1762" i="2" s="1"/>
  <c r="K1763" i="2" s="1"/>
  <c r="K1764" i="2" s="1"/>
  <c r="K1765" i="2" s="1"/>
  <c r="K1766" i="2" s="1"/>
  <c r="K1767" i="2" s="1"/>
  <c r="K1768" i="2" s="1"/>
  <c r="K1769" i="2" s="1"/>
  <c r="K1770" i="2" s="1"/>
  <c r="K1771" i="2" s="1"/>
  <c r="K1772" i="2" s="1"/>
  <c r="K1773" i="2" s="1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K1789" i="2" s="1"/>
  <c r="K1790" i="2" s="1"/>
  <c r="K1791" i="2" s="1"/>
  <c r="K1792" i="2" s="1"/>
  <c r="K1793" i="2" s="1"/>
  <c r="K1794" i="2" s="1"/>
  <c r="K1977" i="2"/>
  <c r="K1978" i="2" s="1"/>
  <c r="K1979" i="2" s="1"/>
  <c r="K1980" i="2" s="1"/>
  <c r="K1981" i="2" s="1"/>
  <c r="K1982" i="2" s="1"/>
  <c r="K1983" i="2" s="1"/>
  <c r="K1984" i="2" s="1"/>
  <c r="K1985" i="2" s="1"/>
  <c r="K1986" i="2" s="1"/>
  <c r="K1987" i="2" s="1"/>
  <c r="K1988" i="2" s="1"/>
  <c r="K1989" i="2" s="1"/>
  <c r="K1990" i="2" s="1"/>
  <c r="K1991" i="2" s="1"/>
  <c r="K1992" i="2" s="1"/>
  <c r="K1993" i="2" s="1"/>
  <c r="K1994" i="2" s="1"/>
  <c r="K1995" i="2" s="1"/>
  <c r="K1996" i="2" s="1"/>
  <c r="K1997" i="2" s="1"/>
  <c r="K1998" i="2" s="1"/>
  <c r="K1999" i="2" s="1"/>
  <c r="K2000" i="2" s="1"/>
  <c r="K2001" i="2" s="1"/>
  <c r="K2002" i="2" s="1"/>
  <c r="K2003" i="2" s="1"/>
  <c r="K2004" i="2" s="1"/>
  <c r="K2005" i="2" s="1"/>
  <c r="K2006" i="2" s="1"/>
  <c r="K2007" i="2" s="1"/>
  <c r="K2008" i="2" s="1"/>
  <c r="K2009" i="2" s="1"/>
  <c r="F2008" i="2" s="1"/>
  <c r="J1884" i="2"/>
  <c r="K1411" i="2"/>
  <c r="K1412" i="2" s="1"/>
  <c r="K315" i="2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H53" i="3" s="1"/>
  <c r="P53" i="3" s="1"/>
  <c r="P718" i="3" s="1"/>
  <c r="K265" i="2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790" i="2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1462" i="2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2067" i="2"/>
  <c r="K2068" i="2" s="1"/>
  <c r="K2143" i="2"/>
  <c r="K2144" i="2" s="1"/>
  <c r="K2145" i="2" s="1"/>
  <c r="K2146" i="2" s="1"/>
  <c r="K2147" i="2" s="1"/>
  <c r="K2148" i="2" s="1"/>
  <c r="K2149" i="2" s="1"/>
  <c r="K2150" i="2" s="1"/>
  <c r="K2151" i="2" s="1"/>
  <c r="K2152" i="2" s="1"/>
  <c r="K2153" i="2" s="1"/>
  <c r="K2154" i="2" s="1"/>
  <c r="K2155" i="2" s="1"/>
  <c r="K2156" i="2" s="1"/>
  <c r="K2157" i="2" s="1"/>
  <c r="K2158" i="2" s="1"/>
  <c r="K2159" i="2" s="1"/>
  <c r="K2160" i="2" s="1"/>
  <c r="K101" i="2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391" i="2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1015" i="2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130" i="2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2223" i="2"/>
  <c r="K2224" i="2" s="1"/>
  <c r="K2225" i="2" s="1"/>
  <c r="K2226" i="2" s="1"/>
  <c r="K2227" i="2" s="1"/>
  <c r="K2228" i="2" s="1"/>
  <c r="K2229" i="2" s="1"/>
  <c r="K2230" i="2" s="1"/>
  <c r="K2231" i="2" s="1"/>
  <c r="K2232" i="2" s="1"/>
  <c r="K2233" i="2" s="1"/>
  <c r="K2234" i="2" s="1"/>
  <c r="K2235" i="2" s="1"/>
  <c r="K2236" i="2" s="1"/>
  <c r="K2237" i="2" s="1"/>
  <c r="K2238" i="2" s="1"/>
  <c r="K2239" i="2" s="1"/>
  <c r="K2240" i="2" s="1"/>
  <c r="K2241" i="2" s="1"/>
  <c r="K2242" i="2" s="1"/>
  <c r="K2243" i="2" s="1"/>
  <c r="K2244" i="2" s="1"/>
  <c r="K2245" i="2" s="1"/>
  <c r="K2246" i="2" s="1"/>
  <c r="K2247" i="2" s="1"/>
  <c r="K2248" i="2" s="1"/>
  <c r="K2249" i="2" s="1"/>
  <c r="K2250" i="2" s="1"/>
  <c r="K2251" i="2" s="1"/>
  <c r="K2252" i="2" s="1"/>
  <c r="K2253" i="2" s="1"/>
  <c r="K75" i="2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1798" i="2"/>
  <c r="K1799" i="2" s="1"/>
  <c r="K1800" i="2" s="1"/>
  <c r="K1801" i="2" s="1"/>
  <c r="K1802" i="2" s="1"/>
  <c r="K1803" i="2" s="1"/>
  <c r="K1804" i="2" s="1"/>
  <c r="K1805" i="2" s="1"/>
  <c r="K1806" i="2" s="1"/>
  <c r="K1807" i="2" s="1"/>
  <c r="K1808" i="2" s="1"/>
  <c r="K1809" i="2" s="1"/>
  <c r="K1810" i="2" s="1"/>
  <c r="K1811" i="2" s="1"/>
  <c r="K1812" i="2" s="1"/>
  <c r="K1813" i="2" s="1"/>
  <c r="K1814" i="2" s="1"/>
  <c r="K1815" i="2" s="1"/>
  <c r="K1816" i="2" s="1"/>
  <c r="K1817" i="2" s="1"/>
  <c r="K1818" i="2" s="1"/>
  <c r="K1819" i="2" s="1"/>
  <c r="K1820" i="2" s="1"/>
  <c r="K1821" i="2" s="1"/>
  <c r="K1822" i="2" s="1"/>
  <c r="K1823" i="2" s="1"/>
  <c r="K1824" i="2" s="1"/>
  <c r="K1825" i="2" s="1"/>
  <c r="K1826" i="2" s="1"/>
  <c r="K1827" i="2" s="1"/>
  <c r="K1828" i="2" s="1"/>
  <c r="K1829" i="2" s="1"/>
  <c r="K1830" i="2" s="1"/>
  <c r="K1831" i="2" s="1"/>
  <c r="K1832" i="2" s="1"/>
  <c r="K1833" i="2" s="1"/>
  <c r="K1834" i="2" s="1"/>
  <c r="K1835" i="2" s="1"/>
  <c r="K1947" i="2"/>
  <c r="K1948" i="2" s="1"/>
  <c r="K1949" i="2" s="1"/>
  <c r="K1950" i="2" s="1"/>
  <c r="K1951" i="2" s="1"/>
  <c r="K1952" i="2" s="1"/>
  <c r="K1953" i="2" s="1"/>
  <c r="K1954" i="2" s="1"/>
  <c r="K1955" i="2" s="1"/>
  <c r="K1956" i="2" s="1"/>
  <c r="K1957" i="2" s="1"/>
  <c r="K1958" i="2" s="1"/>
  <c r="K1959" i="2" s="1"/>
  <c r="K1960" i="2" s="1"/>
  <c r="K1961" i="2" s="1"/>
  <c r="K1962" i="2" s="1"/>
  <c r="K1963" i="2" s="1"/>
  <c r="K1964" i="2" s="1"/>
  <c r="K1965" i="2" s="1"/>
  <c r="K1966" i="2" s="1"/>
  <c r="K1967" i="2" s="1"/>
  <c r="K1968" i="2" s="1"/>
  <c r="K1969" i="2" s="1"/>
  <c r="K1970" i="2" s="1"/>
  <c r="K1971" i="2" s="1"/>
  <c r="K1972" i="2" s="1"/>
  <c r="K1973" i="2" s="1"/>
  <c r="K36" i="2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2877" i="2"/>
  <c r="K2878" i="2" s="1"/>
  <c r="K2879" i="2" s="1"/>
  <c r="K2880" i="2" s="1"/>
  <c r="K2881" i="2" s="1"/>
  <c r="K2882" i="2" s="1"/>
  <c r="K2883" i="2" s="1"/>
  <c r="K2884" i="2" s="1"/>
  <c r="K2885" i="2" s="1"/>
  <c r="K2886" i="2" s="1"/>
  <c r="K2887" i="2" s="1"/>
  <c r="K2888" i="2" s="1"/>
  <c r="K2889" i="2" s="1"/>
  <c r="K2890" i="2" s="1"/>
  <c r="K2891" i="2" s="1"/>
  <c r="K2892" i="2" s="1"/>
  <c r="K2893" i="2" s="1"/>
  <c r="K2894" i="2" s="1"/>
  <c r="K2895" i="2" s="1"/>
  <c r="K2896" i="2" s="1"/>
  <c r="K2897" i="2" s="1"/>
  <c r="K2898" i="2" s="1"/>
  <c r="K2899" i="2" s="1"/>
  <c r="K2900" i="2" s="1"/>
  <c r="K2901" i="2" s="1"/>
  <c r="K2902" i="2" s="1"/>
  <c r="K2903" i="2" s="1"/>
  <c r="K2904" i="2" s="1"/>
  <c r="K2905" i="2" s="1"/>
  <c r="K2906" i="2" s="1"/>
  <c r="K2907" i="2" s="1"/>
  <c r="K2908" i="2" s="1"/>
  <c r="K2909" i="2" s="1"/>
  <c r="K2910" i="2" s="1"/>
  <c r="K2911" i="2" s="1"/>
  <c r="K2912" i="2" s="1"/>
  <c r="K2913" i="2" s="1"/>
  <c r="K2914" i="2" s="1"/>
  <c r="K2915" i="2" s="1"/>
  <c r="K2916" i="2" s="1"/>
  <c r="K2917" i="2" s="1"/>
  <c r="K2918" i="2" s="1"/>
  <c r="K2919" i="2" s="1"/>
  <c r="K2920" i="2" s="1"/>
  <c r="K2921" i="2" s="1"/>
  <c r="K2922" i="2" s="1"/>
  <c r="K2923" i="2" s="1"/>
  <c r="K2924" i="2" s="1"/>
  <c r="K2925" i="2" s="1"/>
  <c r="K2926" i="2" s="1"/>
  <c r="K2927" i="2" s="1"/>
  <c r="K2928" i="2" s="1"/>
  <c r="K2929" i="2" s="1"/>
  <c r="K2930" i="2" s="1"/>
  <c r="K2931" i="2" s="1"/>
  <c r="K2932" i="2" s="1"/>
  <c r="K2933" i="2" s="1"/>
  <c r="K2934" i="2" s="1"/>
  <c r="K2935" i="2" s="1"/>
  <c r="K2936" i="2" s="1"/>
  <c r="K2937" i="2" s="1"/>
  <c r="K2938" i="2" s="1"/>
  <c r="K2939" i="2" s="1"/>
  <c r="K2940" i="2" s="1"/>
  <c r="K2941" i="2" s="1"/>
  <c r="K2942" i="2" s="1"/>
  <c r="K2943" i="2" s="1"/>
  <c r="K2944" i="2" s="1"/>
  <c r="K3023" i="2"/>
  <c r="K3024" i="2" s="1"/>
  <c r="K3025" i="2" s="1"/>
  <c r="K3026" i="2" s="1"/>
  <c r="K3027" i="2" s="1"/>
  <c r="K3028" i="2" s="1"/>
  <c r="K3029" i="2" s="1"/>
  <c r="K3030" i="2" s="1"/>
  <c r="K3031" i="2" s="1"/>
  <c r="K3032" i="2" s="1"/>
  <c r="K3033" i="2" s="1"/>
  <c r="K3034" i="2" s="1"/>
  <c r="K3035" i="2" s="1"/>
  <c r="K3036" i="2" s="1"/>
  <c r="K3037" i="2" s="1"/>
  <c r="K3038" i="2" s="1"/>
  <c r="K3039" i="2" s="1"/>
  <c r="K3040" i="2" s="1"/>
  <c r="K3041" i="2" s="1"/>
  <c r="K3042" i="2" s="1"/>
  <c r="K3043" i="2" s="1"/>
  <c r="K3044" i="2" s="1"/>
  <c r="K3045" i="2" s="1"/>
  <c r="K3046" i="2" s="1"/>
  <c r="K3047" i="2" s="1"/>
  <c r="K3048" i="2" s="1"/>
  <c r="K3049" i="2" s="1"/>
  <c r="K3050" i="2" s="1"/>
  <c r="K3051" i="2" s="1"/>
  <c r="K3052" i="2" s="1"/>
  <c r="K3053" i="2" s="1"/>
  <c r="K3054" i="2" s="1"/>
  <c r="K3055" i="2" s="1"/>
  <c r="K3056" i="2" s="1"/>
  <c r="K3057" i="2" s="1"/>
  <c r="K3058" i="2" s="1"/>
  <c r="K3059" i="2" s="1"/>
  <c r="K3060" i="2" s="1"/>
  <c r="K3061" i="2" s="1"/>
  <c r="K3062" i="2" s="1"/>
  <c r="K3063" i="2" s="1"/>
  <c r="K3064" i="2" s="1"/>
  <c r="K3065" i="2" s="1"/>
  <c r="K3066" i="2" s="1"/>
  <c r="K3067" i="2" s="1"/>
  <c r="K3068" i="2" s="1"/>
  <c r="K3069" i="2" s="1"/>
  <c r="K3070" i="2" s="1"/>
  <c r="K3071" i="2" s="1"/>
  <c r="K3072" i="2" s="1"/>
  <c r="K3073" i="2" s="1"/>
  <c r="K3074" i="2" s="1"/>
  <c r="K3075" i="2" s="1"/>
  <c r="K3076" i="2" s="1"/>
  <c r="K3077" i="2" s="1"/>
  <c r="K3078" i="2" s="1"/>
  <c r="K3079" i="2" s="1"/>
  <c r="K3080" i="2" s="1"/>
  <c r="K3081" i="2" s="1"/>
  <c r="K3082" i="2" s="1"/>
  <c r="K3083" i="2" s="1"/>
  <c r="K3084" i="2" s="1"/>
  <c r="K3085" i="2" s="1"/>
  <c r="K3086" i="2" s="1"/>
  <c r="K3087" i="2" s="1"/>
  <c r="K3088" i="2" s="1"/>
  <c r="K3089" i="2" s="1"/>
  <c r="K3090" i="2" s="1"/>
  <c r="N3078" i="2" s="1"/>
  <c r="K1598" i="2"/>
  <c r="K1599" i="2" s="1"/>
  <c r="K1600" i="2" s="1"/>
  <c r="K1601" i="2" s="1"/>
  <c r="K1914" i="2"/>
  <c r="K1915" i="2" s="1"/>
  <c r="K1916" i="2" s="1"/>
  <c r="K2037" i="2"/>
  <c r="K2038" i="2" s="1"/>
  <c r="K2039" i="2" s="1"/>
  <c r="K2040" i="2" s="1"/>
  <c r="K2041" i="2" s="1"/>
  <c r="K2395" i="2"/>
  <c r="K2396" i="2" s="1"/>
  <c r="K2397" i="2" s="1"/>
  <c r="K198" i="2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338" i="2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2953" i="2"/>
  <c r="K2954" i="2" s="1"/>
  <c r="K2955" i="2" s="1"/>
  <c r="K2956" i="2" s="1"/>
  <c r="K2957" i="2" s="1"/>
  <c r="K2958" i="2" s="1"/>
  <c r="K2959" i="2" s="1"/>
  <c r="K2960" i="2" s="1"/>
  <c r="K2961" i="2" s="1"/>
  <c r="K2962" i="2" s="1"/>
  <c r="K2963" i="2" s="1"/>
  <c r="K2964" i="2" s="1"/>
  <c r="K2965" i="2" s="1"/>
  <c r="K2966" i="2" s="1"/>
  <c r="K2967" i="2" s="1"/>
  <c r="K2968" i="2" s="1"/>
  <c r="K2969" i="2" s="1"/>
  <c r="K2970" i="2" s="1"/>
  <c r="K2971" i="2" s="1"/>
  <c r="K2972" i="2" s="1"/>
  <c r="K7" i="2"/>
  <c r="K1099" i="2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6" i="2" s="1"/>
  <c r="K1205" i="2"/>
  <c r="K1206" i="2" s="1"/>
  <c r="K1207" i="2" s="1"/>
  <c r="K1582" i="2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K1595" i="2" s="1"/>
  <c r="K1724" i="2"/>
  <c r="K1725" i="2" s="1"/>
  <c r="K1726" i="2" s="1"/>
  <c r="K1727" i="2" s="1"/>
  <c r="K1728" i="2" s="1"/>
  <c r="K1729" i="2" s="1"/>
  <c r="K1730" i="2" s="1"/>
  <c r="K1731" i="2" s="1"/>
  <c r="K1732" i="2" s="1"/>
  <c r="K2063" i="2"/>
  <c r="K2108" i="2"/>
  <c r="K2109" i="2" s="1"/>
  <c r="K2110" i="2" s="1"/>
  <c r="K2111" i="2" s="1"/>
  <c r="K2112" i="2" s="1"/>
  <c r="K2113" i="2" s="1"/>
  <c r="K2114" i="2" s="1"/>
  <c r="K2115" i="2" s="1"/>
  <c r="K2116" i="2" s="1"/>
  <c r="K2117" i="2" s="1"/>
  <c r="K2118" i="2" s="1"/>
  <c r="K2119" i="2" s="1"/>
  <c r="K2120" i="2" s="1"/>
  <c r="K2121" i="2" s="1"/>
  <c r="K2122" i="2" s="1"/>
  <c r="K2123" i="2" s="1"/>
  <c r="K2124" i="2" s="1"/>
  <c r="K2125" i="2" s="1"/>
  <c r="K2126" i="2" s="1"/>
  <c r="K2127" i="2" s="1"/>
  <c r="K2128" i="2" s="1"/>
  <c r="K2129" i="2" s="1"/>
  <c r="K2130" i="2" s="1"/>
  <c r="K2131" i="2" s="1"/>
  <c r="K2132" i="2" s="1"/>
  <c r="K2133" i="2" s="1"/>
  <c r="K2134" i="2" s="1"/>
  <c r="K2135" i="2" s="1"/>
  <c r="K2136" i="2" s="1"/>
  <c r="K2138" i="2" s="1"/>
  <c r="K3168" i="2"/>
  <c r="K3169" i="2" s="1"/>
  <c r="K3170" i="2" s="1"/>
  <c r="K3171" i="2" s="1"/>
  <c r="K3172" i="2" s="1"/>
  <c r="K3173" i="2" s="1"/>
  <c r="K3174" i="2" s="1"/>
  <c r="K3175" i="2" s="1"/>
  <c r="K3176" i="2" s="1"/>
  <c r="K3177" i="2" s="1"/>
  <c r="K3178" i="2" s="1"/>
  <c r="K3179" i="2" s="1"/>
  <c r="K3180" i="2" s="1"/>
  <c r="K3181" i="2" s="1"/>
  <c r="K3182" i="2" s="1"/>
  <c r="K3183" i="2" s="1"/>
  <c r="K3184" i="2" s="1"/>
  <c r="K3185" i="2" s="1"/>
  <c r="K3186" i="2" s="1"/>
  <c r="K3187" i="2" s="1"/>
  <c r="K3188" i="2" s="1"/>
  <c r="K3189" i="2" s="1"/>
  <c r="K3190" i="2" s="1"/>
  <c r="K3191" i="2" s="1"/>
  <c r="K3192" i="2" s="1"/>
  <c r="K3193" i="2" s="1"/>
  <c r="K3194" i="2" s="1"/>
  <c r="K3195" i="2" s="1"/>
  <c r="K3196" i="2" s="1"/>
  <c r="K3197" i="2" s="1"/>
  <c r="K3198" i="2" s="1"/>
  <c r="K3199" i="2" s="1"/>
  <c r="K3200" i="2" s="1"/>
  <c r="K3201" i="2" s="1"/>
  <c r="K3202" i="2" s="1"/>
  <c r="K3203" i="2" s="1"/>
  <c r="K3204" i="2" s="1"/>
  <c r="K3205" i="2" s="1"/>
  <c r="K3206" i="2" s="1"/>
  <c r="K3207" i="2" s="1"/>
  <c r="K3208" i="2" s="1"/>
  <c r="K3209" i="2" s="1"/>
  <c r="K3210" i="2" s="1"/>
  <c r="K3211" i="2" s="1"/>
  <c r="K3212" i="2" s="1"/>
  <c r="K3213" i="2" s="1"/>
  <c r="K3214" i="2" s="1"/>
  <c r="K3215" i="2" s="1"/>
  <c r="K3216" i="2" s="1"/>
  <c r="K3217" i="2" s="1"/>
  <c r="K3218" i="2" s="1"/>
  <c r="K3219" i="2" s="1"/>
  <c r="K3220" i="2" s="1"/>
  <c r="K3221" i="2" s="1"/>
  <c r="K3222" i="2" s="1"/>
  <c r="K3223" i="2" s="1"/>
  <c r="K3224" i="2" s="1"/>
  <c r="K3225" i="2" s="1"/>
  <c r="K3226" i="2" s="1"/>
  <c r="K3227" i="2" s="1"/>
  <c r="K3228" i="2" s="1"/>
  <c r="K3229" i="2" s="1"/>
  <c r="K3230" i="2" s="1"/>
  <c r="K3231" i="2" s="1"/>
  <c r="K3232" i="2" s="1"/>
  <c r="K3233" i="2" s="1"/>
  <c r="K3234" i="2" s="1"/>
  <c r="K3235" i="2" s="1"/>
  <c r="K3236" i="2" s="1"/>
  <c r="K3237" i="2" s="1"/>
  <c r="K3238" i="2" s="1"/>
  <c r="K150" i="2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498" i="2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117" i="2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439" i="2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657" i="2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930" i="2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4" i="2" s="1"/>
  <c r="K1364" i="2"/>
  <c r="K1365" i="2" s="1"/>
  <c r="K1366" i="2" s="1"/>
  <c r="K1367" i="2" s="1"/>
  <c r="K1368" i="2" s="1"/>
  <c r="K1369" i="2" s="1"/>
  <c r="K1413" i="2"/>
  <c r="K1414" i="2" s="1"/>
  <c r="K2069" i="2"/>
  <c r="K2070" i="2" s="1"/>
  <c r="K2071" i="2" s="1"/>
  <c r="K2072" i="2" s="1"/>
  <c r="K2073" i="2" s="1"/>
  <c r="K2074" i="2" s="1"/>
  <c r="K2075" i="2" s="1"/>
  <c r="K2076" i="2" s="1"/>
  <c r="K2077" i="2" s="1"/>
  <c r="K2078" i="2" s="1"/>
  <c r="K2079" i="2" s="1"/>
  <c r="K2080" i="2" s="1"/>
  <c r="K2081" i="2" s="1"/>
  <c r="K2082" i="2" s="1"/>
  <c r="K2083" i="2" s="1"/>
  <c r="K2084" i="2" s="1"/>
  <c r="K2085" i="2" s="1"/>
  <c r="K2086" i="2" s="1"/>
  <c r="K2087" i="2" s="1"/>
  <c r="K2088" i="2" s="1"/>
  <c r="K2089" i="2" s="1"/>
  <c r="K2090" i="2" s="1"/>
  <c r="K2091" i="2" s="1"/>
  <c r="K2092" i="2" s="1"/>
  <c r="K2093" i="2" s="1"/>
  <c r="K2094" i="2" s="1"/>
  <c r="K2095" i="2" s="1"/>
  <c r="K2096" i="2" s="1"/>
  <c r="K2097" i="2" s="1"/>
  <c r="K2098" i="2" s="1"/>
  <c r="K2099" i="2" s="1"/>
  <c r="K2100" i="2" s="1"/>
  <c r="K2101" i="2" s="1"/>
  <c r="K2102" i="2" s="1"/>
  <c r="K2103" i="2" s="1"/>
  <c r="K2104" i="2" s="1"/>
  <c r="K458" i="2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991" i="2"/>
  <c r="K992" i="2" s="1"/>
  <c r="K993" i="2" s="1"/>
  <c r="K994" i="2" s="1"/>
  <c r="K995" i="2" s="1"/>
  <c r="K996" i="2" s="1"/>
  <c r="K997" i="2" s="1"/>
  <c r="K998" i="2" s="1"/>
  <c r="K999" i="2" s="1"/>
  <c r="K1000" i="2" s="1"/>
  <c r="K1273" i="2"/>
  <c r="K1274" i="2" s="1"/>
  <c r="K1275" i="2" s="1"/>
  <c r="K1276" i="2" s="1"/>
  <c r="K1277" i="2" s="1"/>
  <c r="K1278" i="2" s="1"/>
  <c r="K1279" i="2" s="1"/>
  <c r="K1280" i="2" s="1"/>
  <c r="K1330" i="2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576" i="2"/>
  <c r="K1577" i="2" s="1"/>
  <c r="K1578" i="2" s="1"/>
  <c r="K919" i="2"/>
  <c r="K920" i="2" s="1"/>
  <c r="K921" i="2" s="1"/>
  <c r="K922" i="2" s="1"/>
  <c r="K923" i="2" s="1"/>
  <c r="K924" i="2" s="1"/>
  <c r="K925" i="2" s="1"/>
  <c r="K926" i="2" s="1"/>
  <c r="M776" i="2"/>
  <c r="K1163" i="2"/>
  <c r="K1164" i="2" s="1"/>
  <c r="K1176" i="2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2018" i="2"/>
  <c r="K2019" i="2" s="1"/>
  <c r="K2020" i="2" s="1"/>
  <c r="K2021" i="2" s="1"/>
  <c r="K2022" i="2" s="1"/>
  <c r="K2023" i="2" s="1"/>
  <c r="K2024" i="2" s="1"/>
  <c r="K2025" i="2" s="1"/>
  <c r="K2026" i="2" s="1"/>
  <c r="K2027" i="2" s="1"/>
  <c r="K2028" i="2" s="1"/>
  <c r="K2029" i="2" s="1"/>
  <c r="K2030" i="2" s="1"/>
  <c r="K1373" i="2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855" i="2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1190" i="2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10" i="2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84" i="2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640" i="2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K1839" i="2"/>
  <c r="K1840" i="2" s="1"/>
  <c r="K1841" i="2" s="1"/>
  <c r="K1842" i="2" s="1"/>
  <c r="K1843" i="2" s="1"/>
  <c r="K1844" i="2" s="1"/>
  <c r="K1845" i="2" s="1"/>
  <c r="K1846" i="2" s="1"/>
  <c r="K1847" i="2" s="1"/>
  <c r="K1848" i="2" s="1"/>
  <c r="K1849" i="2" s="1"/>
  <c r="K1850" i="2" s="1"/>
  <c r="K1851" i="2" s="1"/>
  <c r="K1852" i="2" s="1"/>
  <c r="K1853" i="2" s="1"/>
  <c r="K1854" i="2" s="1"/>
  <c r="K1855" i="2" s="1"/>
  <c r="K1856" i="2" s="1"/>
  <c r="K1857" i="2" s="1"/>
  <c r="K1858" i="2" s="1"/>
  <c r="K1859" i="2" s="1"/>
  <c r="K1860" i="2" s="1"/>
  <c r="K1861" i="2" s="1"/>
  <c r="K1862" i="2" s="1"/>
  <c r="K1863" i="2" s="1"/>
  <c r="K1864" i="2" s="1"/>
  <c r="K1865" i="2" s="1"/>
  <c r="K1866" i="2" s="1"/>
  <c r="K1867" i="2" s="1"/>
  <c r="K1868" i="2" s="1"/>
  <c r="K1869" i="2" s="1"/>
  <c r="K1870" i="2" s="1"/>
  <c r="K1871" i="2" s="1"/>
  <c r="K1872" i="2" s="1"/>
  <c r="K1873" i="2" s="1"/>
  <c r="K1874" i="2" s="1"/>
  <c r="K1875" i="2" s="1"/>
  <c r="K1876" i="2" s="1"/>
  <c r="K1877" i="2" s="1"/>
  <c r="K1878" i="2" s="1"/>
  <c r="K1879" i="2" s="1"/>
  <c r="K1880" i="2" s="1"/>
  <c r="K1881" i="2" s="1"/>
  <c r="K1882" i="2" s="1"/>
  <c r="K1883" i="2" s="1"/>
  <c r="K1926" i="2"/>
  <c r="K1927" i="2" s="1"/>
  <c r="K1928" i="2" s="1"/>
  <c r="K1929" i="2" s="1"/>
  <c r="K1930" i="2" s="1"/>
  <c r="K1931" i="2" s="1"/>
  <c r="K1932" i="2" s="1"/>
  <c r="K1933" i="2" s="1"/>
  <c r="K1934" i="2" s="1"/>
  <c r="K1935" i="2" s="1"/>
  <c r="K1936" i="2" s="1"/>
  <c r="K1937" i="2" s="1"/>
  <c r="K1938" i="2" s="1"/>
  <c r="K1939" i="2" s="1"/>
  <c r="K2164" i="2"/>
  <c r="K2421" i="2"/>
  <c r="K2422" i="2" s="1"/>
  <c r="K2423" i="2" s="1"/>
  <c r="K2424" i="2" s="1"/>
  <c r="K2425" i="2" s="1"/>
  <c r="K2426" i="2" s="1"/>
  <c r="K2427" i="2" s="1"/>
  <c r="K2428" i="2" s="1"/>
  <c r="K2429" i="2" s="1"/>
  <c r="K2430" i="2" s="1"/>
  <c r="K2431" i="2" s="1"/>
  <c r="K2432" i="2" s="1"/>
  <c r="K2433" i="2" s="1"/>
  <c r="K2165" i="2"/>
  <c r="K2166" i="2" s="1"/>
  <c r="K2167" i="2" s="1"/>
  <c r="K2168" i="2" s="1"/>
  <c r="K2169" i="2" s="1"/>
  <c r="K2170" i="2" s="1"/>
  <c r="K2464" i="2"/>
  <c r="K2465" i="2" s="1"/>
  <c r="K2466" i="2" s="1"/>
  <c r="K2467" i="2" s="1"/>
  <c r="K2468" i="2" s="1"/>
  <c r="K2469" i="2" s="1"/>
  <c r="K2470" i="2" s="1"/>
  <c r="K2471" i="2" s="1"/>
  <c r="K2472" i="2" s="1"/>
  <c r="K2473" i="2" s="1"/>
  <c r="K2474" i="2" s="1"/>
  <c r="K2475" i="2" s="1"/>
  <c r="K2476" i="2" s="1"/>
  <c r="K2287" i="2"/>
  <c r="K2288" i="2" s="1"/>
  <c r="K2289" i="2" s="1"/>
  <c r="K2290" i="2" s="1"/>
  <c r="K2291" i="2" s="1"/>
  <c r="K2292" i="2" s="1"/>
  <c r="K2293" i="2" s="1"/>
  <c r="K2294" i="2" s="1"/>
  <c r="K2295" i="2" s="1"/>
  <c r="K2296" i="2" s="1"/>
  <c r="K2297" i="2" s="1"/>
  <c r="K2298" i="2" s="1"/>
  <c r="K2299" i="2" s="1"/>
  <c r="K2300" i="2" s="1"/>
  <c r="K2301" i="2" s="1"/>
  <c r="K2302" i="2" s="1"/>
  <c r="K2303" i="2" s="1"/>
  <c r="K2304" i="2" s="1"/>
  <c r="K2305" i="2" s="1"/>
  <c r="K2306" i="2" s="1"/>
  <c r="K2307" i="2" s="1"/>
  <c r="K2308" i="2" s="1"/>
  <c r="K2309" i="2" s="1"/>
  <c r="K2310" i="2" s="1"/>
  <c r="K2311" i="2" s="1"/>
  <c r="K2312" i="2" s="1"/>
  <c r="K2313" i="2" s="1"/>
  <c r="K2314" i="2" s="1"/>
  <c r="K2315" i="2" s="1"/>
  <c r="K2316" i="2" s="1"/>
  <c r="K2317" i="2" s="1"/>
  <c r="K2318" i="2" s="1"/>
  <c r="K2319" i="2" s="1"/>
  <c r="K2320" i="2" s="1"/>
  <c r="K2321" i="2" s="1"/>
  <c r="K2322" i="2" s="1"/>
  <c r="K2323" i="2" s="1"/>
  <c r="K2324" i="2" s="1"/>
  <c r="K2325" i="2" s="1"/>
  <c r="K2326" i="2" s="1"/>
  <c r="K2327" i="2" s="1"/>
  <c r="K2328" i="2" s="1"/>
  <c r="K2329" i="2" s="1"/>
  <c r="K2739" i="2"/>
  <c r="K2740" i="2" s="1"/>
  <c r="K2741" i="2" s="1"/>
  <c r="K2742" i="2" s="1"/>
  <c r="K2743" i="2" s="1"/>
  <c r="K2744" i="2" s="1"/>
  <c r="K2745" i="2" s="1"/>
  <c r="K2746" i="2" s="1"/>
  <c r="K2747" i="2" s="1"/>
  <c r="K2748" i="2" s="1"/>
  <c r="K2749" i="2" s="1"/>
  <c r="K2750" i="2" s="1"/>
  <c r="K2751" i="2" s="1"/>
  <c r="K2752" i="2" s="1"/>
  <c r="K2753" i="2" s="1"/>
  <c r="K2754" i="2" s="1"/>
  <c r="K2755" i="2" s="1"/>
  <c r="K2756" i="2" s="1"/>
  <c r="K2757" i="2" s="1"/>
  <c r="K2758" i="2" s="1"/>
  <c r="K2759" i="2" s="1"/>
  <c r="K2760" i="2" s="1"/>
  <c r="K2761" i="2" s="1"/>
  <c r="K2762" i="2" s="1"/>
  <c r="K2763" i="2" s="1"/>
  <c r="K2764" i="2" s="1"/>
  <c r="K2765" i="2" s="1"/>
  <c r="K2766" i="2" s="1"/>
  <c r="K2767" i="2" s="1"/>
  <c r="K2768" i="2" s="1"/>
  <c r="K2769" i="2" s="1"/>
  <c r="K2770" i="2" s="1"/>
  <c r="K2771" i="2" s="1"/>
  <c r="K2772" i="2" s="1"/>
  <c r="K2773" i="2" s="1"/>
  <c r="K2774" i="2" s="1"/>
  <c r="K2775" i="2" s="1"/>
  <c r="K2776" i="2" s="1"/>
  <c r="K2777" i="2" s="1"/>
  <c r="K2778" i="2" s="1"/>
  <c r="K2779" i="2" s="1"/>
  <c r="K2780" i="2" s="1"/>
  <c r="K2781" i="2" s="1"/>
  <c r="K2782" i="2" s="1"/>
  <c r="K2783" i="2" s="1"/>
  <c r="K2784" i="2" s="1"/>
  <c r="K2785" i="2" s="1"/>
  <c r="K2786" i="2" s="1"/>
  <c r="K2787" i="2" s="1"/>
  <c r="K2788" i="2" s="1"/>
  <c r="K2789" i="2" s="1"/>
  <c r="K2790" i="2" s="1"/>
  <c r="K2791" i="2" s="1"/>
  <c r="K2792" i="2" s="1"/>
  <c r="K2793" i="2" s="1"/>
  <c r="K2794" i="2" s="1"/>
  <c r="K2795" i="2" s="1"/>
  <c r="K2796" i="2" s="1"/>
  <c r="L2476" i="2" l="1"/>
  <c r="K2042" i="2"/>
  <c r="K2043" i="2" s="1"/>
  <c r="K2044" i="2" s="1"/>
  <c r="K2045" i="2" s="1"/>
  <c r="K2046" i="2" s="1"/>
  <c r="K2047" i="2" s="1"/>
  <c r="K2048" i="2" s="1"/>
  <c r="K2049" i="2" s="1"/>
  <c r="K2050" i="2" s="1"/>
  <c r="K2051" i="2" s="1"/>
  <c r="K2052" i="2" s="1"/>
  <c r="K2053" i="2" s="1"/>
  <c r="K2054" i="2" s="1"/>
  <c r="K2055" i="2" s="1"/>
  <c r="K2056" i="2" s="1"/>
  <c r="K2057" i="2" s="1"/>
  <c r="K2058" i="2" s="1"/>
  <c r="K2059" i="2" s="1"/>
  <c r="K71" i="2"/>
  <c r="H72" i="2"/>
  <c r="K3241" i="2"/>
  <c r="K2872" i="2"/>
  <c r="K72" i="2" l="1"/>
  <c r="H10" i="3"/>
  <c r="K3243" i="2"/>
  <c r="H718" i="3" l="1"/>
  <c r="N10" i="3"/>
  <c r="N718" i="3" s="1"/>
  <c r="J2259" i="2"/>
  <c r="K2260" i="2" s="1"/>
  <c r="K2261" i="2" s="1"/>
  <c r="K2262" i="2" s="1"/>
  <c r="K2263" i="2" s="1"/>
  <c r="K2264" i="2" s="1"/>
  <c r="K2265" i="2" s="1"/>
  <c r="K2266" i="2" s="1"/>
  <c r="K2267" i="2" s="1"/>
  <c r="K2268" i="2" s="1"/>
  <c r="K2269" i="2" s="1"/>
  <c r="K2270" i="2" s="1"/>
  <c r="K2271" i="2" s="1"/>
  <c r="K2272" i="2" s="1"/>
  <c r="K2273" i="2" s="1"/>
  <c r="K2274" i="2" s="1"/>
  <c r="K2275" i="2" s="1"/>
  <c r="K2276" i="2" s="1"/>
  <c r="K2277" i="2" s="1"/>
  <c r="K2278" i="2" s="1"/>
  <c r="K2279" i="2" s="1"/>
  <c r="K2280" i="2" s="1"/>
  <c r="K2281" i="2" s="1"/>
  <c r="K2282" i="2" s="1"/>
  <c r="K2453" i="2" l="1"/>
  <c r="K3245" i="2" s="1"/>
  <c r="H2282" i="2"/>
</calcChain>
</file>

<file path=xl/comments1.xml><?xml version="1.0" encoding="utf-8"?>
<comments xmlns="http://schemas.openxmlformats.org/spreadsheetml/2006/main">
  <authors>
    <author>Olumide A. Isimi</author>
    <author>Administrator</author>
    <author>Ibrahim D. Diriki</author>
    <author>REF-USER</author>
  </authors>
  <commentList>
    <comment ref="H126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WRONGLY PAID TO GGC ACCOUNT AND NGC HAS PAID BACK TO NGMC ACCOUT
</t>
        </r>
      </text>
    </comment>
    <comment ref="H596" authorId="0" shapeId="0">
      <text>
        <r>
          <rPr>
            <b/>
            <sz val="9"/>
            <color indexed="81"/>
            <rFont val="Tahoma"/>
            <family val="2"/>
          </rPr>
          <t xml:space="preserve">TEXTILE PAYMENT FOR 2018
</t>
        </r>
      </text>
    </comment>
    <comment ref="H611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AMOUNT WAS VERIFIED ON
 7TH OF MAY 2020
</t>
        </r>
      </text>
    </comment>
    <comment ref="K733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RECONCILED AND AGREED AMOUNT BTW NGMC &amp; GNL AS AT 31ST DEC 2018 : CHECK MOM  FOR 04-06 FEB, 2019
</t>
        </r>
      </text>
    </comment>
    <comment ref="H753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WRONGLY PAID TO NGC ACCOUNT
</t>
        </r>
      </text>
    </comment>
    <comment ref="H768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CAPEX RECOVERY ON SAPELE COMPRESSOR PROJECT AS ATTACHED
</t>
        </r>
      </text>
    </comment>
    <comment ref="H772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CREDIT NOTE ON TEXILE INVOICES
</t>
        </r>
      </text>
    </comment>
    <comment ref="H773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DIFFERENCE BETWEEN CITY GATE AND END USERS BILLING SEPT 2019 TO JULY 2020
</t>
        </r>
      </text>
    </comment>
    <comment ref="H777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CREDIT NOTE ON CAPEX RECOVERY GL IV  MAY, JUNE SEP AND OCT 2020
</t>
        </r>
      </text>
    </comment>
    <comment ref="L783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RECONCILIATION DONE 3RD TO 5TH MARCH 2021
</t>
        </r>
      </text>
    </comment>
    <comment ref="L933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FOR COMFIRMATION COLLECTION  MAY 2018
</t>
        </r>
      </text>
    </comment>
    <comment ref="H1033" authorId="1" shapeId="0">
      <text>
        <r>
          <rPr>
            <b/>
            <sz val="9"/>
            <color indexed="81"/>
            <rFont val="Tahoma"/>
            <family val="2"/>
          </rPr>
          <t xml:space="preserve">Not acknowleged in the past. Currently discovered through Remita and acknowleged as Payment made
</t>
        </r>
      </text>
    </comment>
    <comment ref="H1034" authorId="1" shapeId="0">
      <text>
        <r>
          <rPr>
            <b/>
            <sz val="9"/>
            <color indexed="81"/>
            <rFont val="Tahoma"/>
            <family val="2"/>
          </rPr>
          <t xml:space="preserve">Not acknowleged in the past. Currently discovered through Remita and acknowleged as Payment made
</t>
        </r>
      </text>
    </comment>
    <comment ref="H1037" authorId="1" shapeId="0">
      <text>
        <r>
          <rPr>
            <b/>
            <sz val="9"/>
            <color indexed="81"/>
            <rFont val="Tahoma"/>
            <family val="2"/>
          </rPr>
          <t xml:space="preserve">Not acknowleged in the past. Currently discovered through Remita and acknowleged as Payment made
</t>
        </r>
      </text>
    </comment>
    <comment ref="H1066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PAYMENT MADE ON 20TH NOVEMBER 2015 BUT WAS NOT RECORDED 
</t>
        </r>
      </text>
    </comment>
    <comment ref="H1437" authorId="0" shapeId="0">
      <text>
        <r>
          <rPr>
            <b/>
            <sz val="14"/>
            <color indexed="81"/>
            <rFont val="Tahoma"/>
            <family val="2"/>
          </rPr>
          <t>Olumide A. Isimi:</t>
        </r>
        <r>
          <rPr>
            <sz val="14"/>
            <color indexed="81"/>
            <rFont val="Tahoma"/>
            <family val="2"/>
          </rPr>
          <t xml:space="preserve">
1,684,388.65 outstanding balance nilled off by payment of 104,119,448.90 paid October 31st 2019. The balance 102,435,060.75 is in paras embedded for 31st October , 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45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51,207,582.92 WAS PAID ON 30/9/2020 BUT WAS RECOGNIZE TO BALANCE APRIL INVOICE
</t>
        </r>
      </text>
    </comment>
    <comment ref="H1459" authorId="0" shapeId="0">
      <text>
        <r>
          <rPr>
            <b/>
            <sz val="9"/>
            <color indexed="81"/>
            <rFont val="Tahoma"/>
            <family val="2"/>
          </rPr>
          <t xml:space="preserve">OMMITED PAYMENT BY PARAS IN THE PAST AS AT 2019 NOW CAPTURED BY NGMC,
 </t>
        </r>
      </text>
    </comment>
    <comment ref="H1488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102,435,060.75 is the balance that nilled off paras captive totalling 104,119,448.90 paid on the 31st of oct 2019. 102,435,060.75 is the balance moved here from paras captive
</t>
        </r>
      </text>
    </comment>
    <comment ref="H1496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45,609,386.73 WAS PAID ON THE 30/9/2020 BUT WAS RECOGNIZE TO BALANCE APRIL 2020 INVOICE
</t>
        </r>
      </text>
    </comment>
    <comment ref="H1689" authorId="2" shapeId="0">
      <text>
        <r>
          <rPr>
            <b/>
            <sz val="12"/>
            <color indexed="81"/>
            <rFont val="Century Gothic"/>
            <family val="2"/>
          </rPr>
          <t xml:space="preserve">Ibrahim D. Diriki:
</t>
        </r>
        <r>
          <rPr>
            <sz val="14"/>
            <color indexed="81"/>
            <rFont val="Century Gothic"/>
            <family val="2"/>
          </rPr>
          <t>N96,569,167.85 PAID ON 10th JUNE 2016 out of which N34,556,798.68 was applied as final settlement of JAN'16 INVOICE, while balance of N62,012,369.17 was used as part pmt for FEB'16 Invoce.</t>
        </r>
      </text>
    </comment>
    <comment ref="H1856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WRONG PAYMENT INTO FEDERATION ACCOUNT BY RONGSHEN , RECOVERED BY NGMC</t>
        </r>
      </text>
    </comment>
    <comment ref="H1857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MISTAKENLY PAID INTO FEDERATION ACCOUNT BY RONGSHENG.IT IS YET TO REFLECT IN NGMC ACCOUNT</t>
        </r>
      </text>
    </comment>
    <comment ref="H1858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MISTAKENLY PAID INTO FEDERATION ACCOUNT BY RONGSHENG.IT IS YET TO REFLECT IN NGMC ACCOUNT
</t>
        </r>
      </text>
    </comment>
    <comment ref="H1860" authorId="0" shapeId="0">
      <text>
        <r>
          <rPr>
            <b/>
            <sz val="9"/>
            <color indexed="81"/>
            <rFont val="Tahoma"/>
            <family val="2"/>
          </rPr>
          <t xml:space="preserve">PAYMENT MADE TO THE WRONG ACCOUNT BY RONGSHENG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173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b/>
            <sz val="11"/>
            <color indexed="81"/>
            <rFont val="Tahoma"/>
            <family val="2"/>
          </rPr>
          <t xml:space="preserve"> short payment from 4 invoices NGS 288, NGS 286, 303.And 304. payment of 1,996,431,997.81 and 17,941,273.61
</t>
        </r>
      </text>
    </comment>
    <comment ref="L2232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JANUARY INVOICE FOR LAFARGE
</t>
        </r>
      </text>
    </comment>
    <comment ref="F2294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LESS RECOVERY FOR PURCHASE OF METER. 10,274,624.59</t>
        </r>
      </text>
    </comment>
    <comment ref="H2310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WHT PAID BY WACL FROM  JULY 2017 TO JUNE 2019 POSTED IN OCTOBER 2019
</t>
        </r>
      </text>
    </comment>
    <comment ref="H2323" authorId="0" shapeId="0">
      <text>
        <r>
          <rPr>
            <b/>
            <sz val="9"/>
            <color indexed="81"/>
            <rFont val="Tahoma"/>
            <family val="2"/>
          </rPr>
          <t>Olumide A. Isimi:</t>
        </r>
        <r>
          <rPr>
            <sz val="9"/>
            <color indexed="81"/>
            <rFont val="Tahoma"/>
            <family val="2"/>
          </rPr>
          <t xml:space="preserve">
WRONGLY PAID TO NGC IN NOVEMBER 2020
</t>
        </r>
      </text>
    </comment>
    <comment ref="H2814" authorId="3" shapeId="0">
      <text>
        <r>
          <rPr>
            <b/>
            <sz val="9"/>
            <color indexed="81"/>
            <rFont val="Tahoma"/>
            <family val="2"/>
          </rPr>
          <t>REF-USER:</t>
        </r>
        <r>
          <rPr>
            <sz val="9"/>
            <color indexed="81"/>
            <rFont val="Tahoma"/>
            <family val="2"/>
          </rPr>
          <t xml:space="preserve">
ZENITH: 8 SEPT 2015</t>
        </r>
      </text>
    </comment>
    <comment ref="L2814" authorId="3" shapeId="0">
      <text>
        <r>
          <rPr>
            <b/>
            <sz val="9"/>
            <color indexed="81"/>
            <rFont val="Tahoma"/>
            <family val="2"/>
          </rPr>
          <t>REF-USER:</t>
        </r>
        <r>
          <rPr>
            <sz val="9"/>
            <color indexed="81"/>
            <rFont val="Tahoma"/>
            <family val="2"/>
          </rPr>
          <t xml:space="preserve">
ZENITH: 16 JULY 2015</t>
        </r>
      </text>
    </comment>
    <comment ref="H2815" authorId="3" shapeId="0">
      <text>
        <r>
          <rPr>
            <b/>
            <sz val="9"/>
            <color indexed="81"/>
            <rFont val="Tahoma"/>
            <family val="2"/>
          </rPr>
          <t>REF-USER:</t>
        </r>
        <r>
          <rPr>
            <sz val="9"/>
            <color indexed="81"/>
            <rFont val="Tahoma"/>
            <family val="2"/>
          </rPr>
          <t xml:space="preserve">
ZENITH: 7 OCT 2015. Being completion of payment to settle March'15 invoice with TAX NOT INCLUSIVE (ie Sales only)</t>
        </r>
      </text>
    </comment>
  </commentList>
</comments>
</file>

<file path=xl/sharedStrings.xml><?xml version="1.0" encoding="utf-8"?>
<sst xmlns="http://schemas.openxmlformats.org/spreadsheetml/2006/main" count="14335" uniqueCount="2233">
  <si>
    <t>S/N</t>
  </si>
  <si>
    <t>SAP A/C CODE</t>
  </si>
  <si>
    <t>SBU</t>
  </si>
  <si>
    <t>INVOICE DATE</t>
  </si>
  <si>
    <t>16-30 days</t>
  </si>
  <si>
    <t>31-60 days</t>
  </si>
  <si>
    <t>61-90 days</t>
  </si>
  <si>
    <t>91-180 days</t>
  </si>
  <si>
    <t>181-360 days</t>
  </si>
  <si>
    <t>over 360 days</t>
  </si>
  <si>
    <t>NGMC</t>
  </si>
  <si>
    <t>AFAM POWER PLC</t>
  </si>
  <si>
    <t>EGBIN POWER PLC</t>
  </si>
  <si>
    <t>GEREGU POWER PLC</t>
  </si>
  <si>
    <t>OLORUNSOGO POWER PLC</t>
  </si>
  <si>
    <t>OMOTOSHO POWER PLC</t>
  </si>
  <si>
    <t>SAPELE POWER PLC</t>
  </si>
  <si>
    <t>TRANSCORP UGHELLI POWER LTD</t>
  </si>
  <si>
    <t>PHCN</t>
  </si>
  <si>
    <t>IBOM POWER</t>
  </si>
  <si>
    <t xml:space="preserve">NIGER DELTA ALAOJI </t>
  </si>
  <si>
    <t>NIGER DELTA GEREGU</t>
  </si>
  <si>
    <t>NIGER DELTA OLORUNSOGO</t>
  </si>
  <si>
    <t>NIGER DELTA OMOTOSHO</t>
  </si>
  <si>
    <t>NIGER DELTA SAPELE</t>
  </si>
  <si>
    <t>ADVANCE INTERNATIONAL MERCHANTS LTD</t>
  </si>
  <si>
    <t>NGS 026</t>
  </si>
  <si>
    <t>23/02/2021</t>
  </si>
  <si>
    <t>AFRICAN FOUNDRIES</t>
  </si>
  <si>
    <t>NGS 103</t>
  </si>
  <si>
    <t>AFRICAN REFRACTORY/NON FERROUS</t>
  </si>
  <si>
    <t>NGS 595</t>
  </si>
  <si>
    <t>BN CERAMICS</t>
  </si>
  <si>
    <t>NGS 072</t>
  </si>
  <si>
    <t>BORKIR INT'L</t>
  </si>
  <si>
    <t>NGS 051</t>
  </si>
  <si>
    <t>BREEZE INDUSTRY LIMITED</t>
  </si>
  <si>
    <t>BUA CEMENT</t>
  </si>
  <si>
    <t>NGS 064</t>
  </si>
  <si>
    <t>NGS 046</t>
  </si>
  <si>
    <t>CORMART NIGERIA LIMITED</t>
  </si>
  <si>
    <t>NGS 017</t>
  </si>
  <si>
    <t>CROWN FLOUR</t>
  </si>
  <si>
    <t>NGS 058</t>
  </si>
  <si>
    <t>NGS 113</t>
  </si>
  <si>
    <t>FALCON</t>
  </si>
  <si>
    <t>NGS 170B</t>
  </si>
  <si>
    <t>15/02/2021</t>
  </si>
  <si>
    <t>15/03/2021</t>
  </si>
  <si>
    <t>FALCON (TEXTILE)</t>
  </si>
  <si>
    <t xml:space="preserve">FENICE METAL LIMITED </t>
  </si>
  <si>
    <t>GASCO CNG</t>
  </si>
  <si>
    <t>NGS 022</t>
  </si>
  <si>
    <t>GASCO MARINE</t>
  </si>
  <si>
    <t>NGS 038</t>
  </si>
  <si>
    <t>GASLINK</t>
  </si>
  <si>
    <t>GEL UTILITIES LIMITED</t>
  </si>
  <si>
    <t>NGS 075</t>
  </si>
  <si>
    <t xml:space="preserve">GOLDEN DIAMOND </t>
  </si>
  <si>
    <t>GREEN FUELS</t>
  </si>
  <si>
    <t>GUINNESS</t>
  </si>
  <si>
    <t>NGS 149</t>
  </si>
  <si>
    <t>INDUSTRIAL PROJECT INTERNATIONAL</t>
  </si>
  <si>
    <t>NGS 035</t>
  </si>
  <si>
    <t>LEXSZ PLASTIC LIMITED</t>
  </si>
  <si>
    <t>NGS 024</t>
  </si>
  <si>
    <t>LIFE FLOUR MILL LTD</t>
  </si>
  <si>
    <t>METOXIDE NIG LTD</t>
  </si>
  <si>
    <t>MIDLAND GALVANIZING</t>
  </si>
  <si>
    <t>MONARCH STEEL</t>
  </si>
  <si>
    <t>NESTLE NIGERIA PLC</t>
  </si>
  <si>
    <t>NGS 025</t>
  </si>
  <si>
    <t>NIGER BISCUIT</t>
  </si>
  <si>
    <t>NIPCO GAS LTD BENIN &amp; IBAFO</t>
  </si>
  <si>
    <t>NGS 099</t>
  </si>
  <si>
    <t>NOTORE</t>
  </si>
  <si>
    <t>OBAJANA</t>
  </si>
  <si>
    <t>OLAM NIG LTD</t>
  </si>
  <si>
    <t>OMO WOOD</t>
  </si>
  <si>
    <t>OSSIOMO POWER</t>
  </si>
  <si>
    <t>NGS 004</t>
  </si>
  <si>
    <t>16/02/2021</t>
  </si>
  <si>
    <t>16/03/2021</t>
  </si>
  <si>
    <t>PARAS CAPTIVE</t>
  </si>
  <si>
    <t>NGS 094</t>
  </si>
  <si>
    <t>23/03/2021</t>
  </si>
  <si>
    <t>PARAS ENERGY EMBEDED</t>
  </si>
  <si>
    <t xml:space="preserve">PHOENIX STEEL </t>
  </si>
  <si>
    <t>PHRC</t>
  </si>
  <si>
    <t>PORCELAIN WARE</t>
  </si>
  <si>
    <t>PURE CHEM IND LTD</t>
  </si>
  <si>
    <t xml:space="preserve">PREMIUM STEEL </t>
  </si>
  <si>
    <t>NGS 034</t>
  </si>
  <si>
    <t>23/2/2021</t>
  </si>
  <si>
    <t xml:space="preserve">PRORICH </t>
  </si>
  <si>
    <t>PZ</t>
  </si>
  <si>
    <t>QSL AND POWER LIMITED</t>
  </si>
  <si>
    <t xml:space="preserve">QUANTUM   STEELS NIGERIA LIMITED - </t>
  </si>
  <si>
    <t>RCCG/LBL GAS</t>
  </si>
  <si>
    <t>RINGARDAS</t>
  </si>
  <si>
    <t>RONGSHENG</t>
  </si>
  <si>
    <t>RUSAL</t>
  </si>
  <si>
    <t>SAGAMU STEEL</t>
  </si>
  <si>
    <t>SCOTTS INDUSTRIES LIMITED</t>
  </si>
  <si>
    <t>SEVEN ENERGY</t>
  </si>
  <si>
    <t>SONIA FOOD</t>
  </si>
  <si>
    <t>SPDC OTHERS</t>
  </si>
  <si>
    <t>SPECIALITY PULP AND PAPER LTD</t>
  </si>
  <si>
    <t>STANDARD METALLURGICAL</t>
  </si>
  <si>
    <t>STAR PIPE PRODUCT</t>
  </si>
  <si>
    <t>SUN CONTRACTOR</t>
  </si>
  <si>
    <t>NGS 012</t>
  </si>
  <si>
    <t>TIME CERAMICS</t>
  </si>
  <si>
    <t>NGS 067</t>
  </si>
  <si>
    <t>TOWER POWER</t>
  </si>
  <si>
    <t>TRANSIT GAS NIG. LIMITED</t>
  </si>
  <si>
    <t>LAFARGE WAPCO SHAGAMU</t>
  </si>
  <si>
    <t>NGS 331</t>
  </si>
  <si>
    <t>WEMPCO</t>
  </si>
  <si>
    <t>YING ZHE</t>
  </si>
  <si>
    <t>NGS 002</t>
  </si>
  <si>
    <t>YONGXING</t>
  </si>
  <si>
    <t>NGS 086</t>
  </si>
  <si>
    <t>YONGXING POWER</t>
  </si>
  <si>
    <t>NGS 005</t>
  </si>
  <si>
    <t>16/3/2021</t>
  </si>
  <si>
    <t>WRPC</t>
  </si>
  <si>
    <t xml:space="preserve">NIGERIAN GAS MARKETING COMPANY LTD </t>
  </si>
  <si>
    <t>CUSTOMERS</t>
  </si>
  <si>
    <t>MONTH</t>
  </si>
  <si>
    <t>INVOICE NUMBER</t>
  </si>
  <si>
    <t>INVOICE AMOUNT               =N=</t>
  </si>
  <si>
    <t>DUE DATE</t>
  </si>
  <si>
    <t>PAYMENT MADE</t>
  </si>
  <si>
    <t>DATE OF PAYMENT</t>
  </si>
  <si>
    <t>OUTSTANDING</t>
  </si>
  <si>
    <t>CUMMULATIVE</t>
  </si>
  <si>
    <t>REMARKS</t>
  </si>
  <si>
    <t>COMMERCIAL CUSTOMERS</t>
  </si>
  <si>
    <t>DECEMBER 2018</t>
  </si>
  <si>
    <t>NGS 001</t>
  </si>
  <si>
    <t>08/02/2019</t>
  </si>
  <si>
    <t>JANUARY 2019</t>
  </si>
  <si>
    <t>29/03/2019</t>
  </si>
  <si>
    <t>27/03/2019</t>
  </si>
  <si>
    <t>FEBRUARY 2019</t>
  </si>
  <si>
    <t>NGS 003</t>
  </si>
  <si>
    <t>20/05/2019</t>
  </si>
  <si>
    <t>MARCH 2019</t>
  </si>
  <si>
    <t>29/04/2019</t>
  </si>
  <si>
    <t>03/07/2019</t>
  </si>
  <si>
    <t>APRIL 2019</t>
  </si>
  <si>
    <t>01/06/2019</t>
  </si>
  <si>
    <t>23/07/2019</t>
  </si>
  <si>
    <t>MAY 2019</t>
  </si>
  <si>
    <t>NGS 006</t>
  </si>
  <si>
    <t>01/07/2019</t>
  </si>
  <si>
    <t>05/09/2019</t>
  </si>
  <si>
    <t>JUNE 2019</t>
  </si>
  <si>
    <t>NGS 007</t>
  </si>
  <si>
    <t>01/08/2019</t>
  </si>
  <si>
    <t>30/09/2019</t>
  </si>
  <si>
    <t>JULY 2019</t>
  </si>
  <si>
    <t>NGS 008</t>
  </si>
  <si>
    <t>01/09/2019</t>
  </si>
  <si>
    <t>31/10/2019</t>
  </si>
  <si>
    <t>AUGUST 2019</t>
  </si>
  <si>
    <t>NGS 009</t>
  </si>
  <si>
    <t>01/10/2019</t>
  </si>
  <si>
    <t>15/11/2019</t>
  </si>
  <si>
    <t>SEPTEMBER 2019</t>
  </si>
  <si>
    <t>NGS 010</t>
  </si>
  <si>
    <t>01/11/2019</t>
  </si>
  <si>
    <t>.25/11/2019</t>
  </si>
  <si>
    <t>OCTOBER 2019</t>
  </si>
  <si>
    <t>NGS 011</t>
  </si>
  <si>
    <t>01/12/2019</t>
  </si>
  <si>
    <t>25/11/2019</t>
  </si>
  <si>
    <t>NOVEMBER 2019</t>
  </si>
  <si>
    <t>01/01/2020</t>
  </si>
  <si>
    <t>10/02/2020</t>
  </si>
  <si>
    <t>DECEMBER 2019</t>
  </si>
  <si>
    <t>NGS 013</t>
  </si>
  <si>
    <t>01/02/2020</t>
  </si>
  <si>
    <t>24/03/2020</t>
  </si>
  <si>
    <t>JANUARY 2020</t>
  </si>
  <si>
    <t>NGS 014</t>
  </si>
  <si>
    <t>29/02/2020</t>
  </si>
  <si>
    <t>19/05/2020</t>
  </si>
  <si>
    <t>FEBRUARY 2020</t>
  </si>
  <si>
    <t>26/3/2020</t>
  </si>
  <si>
    <t>MARCH 2020</t>
  </si>
  <si>
    <t>NGS 015</t>
  </si>
  <si>
    <t>28/04/2020</t>
  </si>
  <si>
    <t>25/8/2020</t>
  </si>
  <si>
    <t>APRIL 2020</t>
  </si>
  <si>
    <t>NGS 016</t>
  </si>
  <si>
    <t>06/05/2020</t>
  </si>
  <si>
    <t>29/05/2020</t>
  </si>
  <si>
    <t>MAY 2020</t>
  </si>
  <si>
    <t>24/07/2020</t>
  </si>
  <si>
    <t>JUNE 2020</t>
  </si>
  <si>
    <t>NGS 019</t>
  </si>
  <si>
    <t>JULY 2020</t>
  </si>
  <si>
    <t>NGS 020</t>
  </si>
  <si>
    <t>25/08/2020</t>
  </si>
  <si>
    <t>27/10/2020</t>
  </si>
  <si>
    <t>AUGUST 2020</t>
  </si>
  <si>
    <t>NGS 021</t>
  </si>
  <si>
    <t>7/9/2020</t>
  </si>
  <si>
    <t>24/9/2020</t>
  </si>
  <si>
    <t>14/04/2021</t>
  </si>
  <si>
    <t>SEPTEMBER 2020</t>
  </si>
  <si>
    <t>25/10/2020</t>
  </si>
  <si>
    <t>OCTOBER 2020</t>
  </si>
  <si>
    <t>NGS 023</t>
  </si>
  <si>
    <t>22/11/2020</t>
  </si>
  <si>
    <t>15/12/2020</t>
  </si>
  <si>
    <t>NOVEMBER 2020</t>
  </si>
  <si>
    <t>DECEMBER 2020</t>
  </si>
  <si>
    <t>23/1/2021</t>
  </si>
  <si>
    <t>JANUARY 2021</t>
  </si>
  <si>
    <t>FEBRUARY 2021</t>
  </si>
  <si>
    <t>NGS 027</t>
  </si>
  <si>
    <t>20/03/2021</t>
  </si>
  <si>
    <t>TOTAL ADVANCE INTERNATIONAL</t>
  </si>
  <si>
    <t>JANUARY' 2018</t>
  </si>
  <si>
    <t>30/03/2018</t>
  </si>
  <si>
    <t>FEBRUARY'2018</t>
  </si>
  <si>
    <t>NGS 068</t>
  </si>
  <si>
    <t>30/04/2018</t>
  </si>
  <si>
    <t>MARCH' 2018</t>
  </si>
  <si>
    <t>NGS 069</t>
  </si>
  <si>
    <t>12/07/2018</t>
  </si>
  <si>
    <t>APRIL' 2018</t>
  </si>
  <si>
    <t>NGS 070</t>
  </si>
  <si>
    <t>MAY' 2018</t>
  </si>
  <si>
    <t>NGS 071</t>
  </si>
  <si>
    <t>JUNE'2018</t>
  </si>
  <si>
    <t>30/07/2018</t>
  </si>
  <si>
    <t>JULY 2018</t>
  </si>
  <si>
    <t>NGS 073</t>
  </si>
  <si>
    <t>30/08/2018</t>
  </si>
  <si>
    <t>AUGUST'2018</t>
  </si>
  <si>
    <t>NGS 074</t>
  </si>
  <si>
    <t>30/10/2018</t>
  </si>
  <si>
    <t>SEPTEMBER'2018</t>
  </si>
  <si>
    <t>30/12/2018</t>
  </si>
  <si>
    <t>OCTOBER 2018</t>
  </si>
  <si>
    <t>NGS 076</t>
  </si>
  <si>
    <t>NOVEMBER 2018</t>
  </si>
  <si>
    <t>NGS 077</t>
  </si>
  <si>
    <t>30/01/2019</t>
  </si>
  <si>
    <t>NGS 078</t>
  </si>
  <si>
    <t>JANUARY' 2019</t>
  </si>
  <si>
    <t>NGS 079</t>
  </si>
  <si>
    <t>30/03/2019</t>
  </si>
  <si>
    <t>FEBRUARY'2019</t>
  </si>
  <si>
    <t>NGS 080</t>
  </si>
  <si>
    <t>MARCH' 2019</t>
  </si>
  <si>
    <t>NGS 081</t>
  </si>
  <si>
    <t>30/05/2019</t>
  </si>
  <si>
    <t>APRIL' 2019</t>
  </si>
  <si>
    <t>NGS 082</t>
  </si>
  <si>
    <t>MAY' 2019</t>
  </si>
  <si>
    <t>NGS 083</t>
  </si>
  <si>
    <t>JUNE'2019</t>
  </si>
  <si>
    <t>NGS 084</t>
  </si>
  <si>
    <t>NGS 085</t>
  </si>
  <si>
    <t>27/08/2019</t>
  </si>
  <si>
    <t>25/09/2019</t>
  </si>
  <si>
    <t>NGS 087</t>
  </si>
  <si>
    <t>24/10/2019</t>
  </si>
  <si>
    <t>NGS 088</t>
  </si>
  <si>
    <t>28/11/2019</t>
  </si>
  <si>
    <t>NGS 089</t>
  </si>
  <si>
    <t>08/01/2020</t>
  </si>
  <si>
    <t>NGS 090</t>
  </si>
  <si>
    <t>29/01/2020</t>
  </si>
  <si>
    <t>NGS 091</t>
  </si>
  <si>
    <t>26/02/2020</t>
  </si>
  <si>
    <t>NGS 092</t>
  </si>
  <si>
    <t>26/03/2020</t>
  </si>
  <si>
    <t>NGS 093</t>
  </si>
  <si>
    <t>30/07/2020</t>
  </si>
  <si>
    <t>31/8/2020</t>
  </si>
  <si>
    <t>NGS 095</t>
  </si>
  <si>
    <t>30/9/2020</t>
  </si>
  <si>
    <t>30/10/2020</t>
  </si>
  <si>
    <t>NGS 097</t>
  </si>
  <si>
    <t>21/08/2020</t>
  </si>
  <si>
    <t>26/11/2020</t>
  </si>
  <si>
    <t>4/9/2020</t>
  </si>
  <si>
    <t>25/9/2020</t>
  </si>
  <si>
    <t>16/12/2020</t>
  </si>
  <si>
    <t>28/01/2021</t>
  </si>
  <si>
    <t>NGS 100</t>
  </si>
  <si>
    <t>25/02/2021</t>
  </si>
  <si>
    <t>NGS 101</t>
  </si>
  <si>
    <t>NGS 102</t>
  </si>
  <si>
    <t>30/04/2021</t>
  </si>
  <si>
    <t>NGS 104</t>
  </si>
  <si>
    <t>TOTAL AFRICAN FOUNDRIES</t>
  </si>
  <si>
    <t>NGS 91</t>
  </si>
  <si>
    <t>NGS 92</t>
  </si>
  <si>
    <t>NGS 93</t>
  </si>
  <si>
    <t>NGS 94</t>
  </si>
  <si>
    <t>NGS 95</t>
  </si>
  <si>
    <t>NGS 96</t>
  </si>
  <si>
    <t>NGS 97</t>
  </si>
  <si>
    <t>NGS 98</t>
  </si>
  <si>
    <t>NGS 99</t>
  </si>
  <si>
    <t>11/04/2019</t>
  </si>
  <si>
    <t>NGS 105</t>
  </si>
  <si>
    <t>NGS 106</t>
  </si>
  <si>
    <t>NGS 107</t>
  </si>
  <si>
    <t>NGS 108</t>
  </si>
  <si>
    <t>NGS 109</t>
  </si>
  <si>
    <t>21/08/2019</t>
  </si>
  <si>
    <t>NGS 110</t>
  </si>
  <si>
    <t>20/09/2019</t>
  </si>
  <si>
    <t>NGS 111</t>
  </si>
  <si>
    <t>10/10/2019</t>
  </si>
  <si>
    <t>NGS 112</t>
  </si>
  <si>
    <t>19/11/2019</t>
  </si>
  <si>
    <t>04/12/2019</t>
  </si>
  <si>
    <t>NGS 114</t>
  </si>
  <si>
    <t>20/02/2020</t>
  </si>
  <si>
    <t>NGS 115</t>
  </si>
  <si>
    <t>28/02/2020</t>
  </si>
  <si>
    <t>NGS 116</t>
  </si>
  <si>
    <t>17/03/2020</t>
  </si>
  <si>
    <t>NGS 117</t>
  </si>
  <si>
    <t>NGS 118</t>
  </si>
  <si>
    <t>19/06/2020</t>
  </si>
  <si>
    <t>NGS 119</t>
  </si>
  <si>
    <t>3/07/2020</t>
  </si>
  <si>
    <t>NGS 120</t>
  </si>
  <si>
    <t>NGS 121</t>
  </si>
  <si>
    <t>30/09/2020</t>
  </si>
  <si>
    <t>NGS 122</t>
  </si>
  <si>
    <t>NGS 123</t>
  </si>
  <si>
    <t>31/10/2020</t>
  </si>
  <si>
    <t>NGS 124</t>
  </si>
  <si>
    <t>NGS 125</t>
  </si>
  <si>
    <t>NGS 126</t>
  </si>
  <si>
    <t>NGS 127</t>
  </si>
  <si>
    <t>NGS 128</t>
  </si>
  <si>
    <t>31/03/2021</t>
  </si>
  <si>
    <t>MARCH 2021</t>
  </si>
  <si>
    <t>NGS 129</t>
  </si>
  <si>
    <t>22/04/2021</t>
  </si>
  <si>
    <t>29/04/2021</t>
  </si>
  <si>
    <t>TOTAL AFRICAN REFRACTORY/NON FERROUS</t>
  </si>
  <si>
    <t>METAFRIQUE-AGRIEX</t>
  </si>
  <si>
    <t>MARCH'2018</t>
  </si>
  <si>
    <t>24/04/2018</t>
  </si>
  <si>
    <t>APRIL'2018</t>
  </si>
  <si>
    <t>19/04/2018</t>
  </si>
  <si>
    <t>NGS 018</t>
  </si>
  <si>
    <t>23/07/2018</t>
  </si>
  <si>
    <t>JUNE' 2018</t>
  </si>
  <si>
    <t>29/01/2019</t>
  </si>
  <si>
    <t>29/02/2019</t>
  </si>
  <si>
    <t>25/02/2019</t>
  </si>
  <si>
    <t>30/04/2019</t>
  </si>
  <si>
    <t>25/04/2019</t>
  </si>
  <si>
    <t>NGS 028</t>
  </si>
  <si>
    <t>NGS 029</t>
  </si>
  <si>
    <t>31/07/2019</t>
  </si>
  <si>
    <t>NGS 030</t>
  </si>
  <si>
    <t>NGS 031</t>
  </si>
  <si>
    <t>NGS 032</t>
  </si>
  <si>
    <t>NGS 033</t>
  </si>
  <si>
    <t>NGS 036</t>
  </si>
  <si>
    <t>,14/01/2020</t>
  </si>
  <si>
    <t>NGS 037</t>
  </si>
  <si>
    <t>25/03/2020</t>
  </si>
  <si>
    <t>20/03/2020</t>
  </si>
  <si>
    <t>NGS 039</t>
  </si>
  <si>
    <t>12/05/2020</t>
  </si>
  <si>
    <t>NGS 040</t>
  </si>
  <si>
    <t>27/11/2020</t>
  </si>
  <si>
    <t>NGS 041</t>
  </si>
  <si>
    <t>NGS 042</t>
  </si>
  <si>
    <t>NGS 043</t>
  </si>
  <si>
    <t>NGS 044</t>
  </si>
  <si>
    <t>17/12/2020</t>
  </si>
  <si>
    <t>NGS 045</t>
  </si>
  <si>
    <t>28/02/2021</t>
  </si>
  <si>
    <t>NGS 047</t>
  </si>
  <si>
    <t>25/03/2021</t>
  </si>
  <si>
    <t>NGS 048</t>
  </si>
  <si>
    <t>NGS 049</t>
  </si>
  <si>
    <t>TOTAL FOR METAFRIQUE</t>
  </si>
  <si>
    <t>AJAOKUTA STEEL GIHL</t>
  </si>
  <si>
    <t>DEPOSIT</t>
  </si>
  <si>
    <t>CASH &amp; CARRY</t>
  </si>
  <si>
    <t>FEBRUARY '16</t>
  </si>
  <si>
    <t>NGS 555</t>
  </si>
  <si>
    <t>28/04/2016</t>
  </si>
  <si>
    <t>APRIL'16</t>
  </si>
  <si>
    <t>NGS 556</t>
  </si>
  <si>
    <t>03/6/2016</t>
  </si>
  <si>
    <t>MAY'16</t>
  </si>
  <si>
    <t>06/07/2016</t>
  </si>
  <si>
    <t>JUNE'16</t>
  </si>
  <si>
    <t>NGS 557</t>
  </si>
  <si>
    <t>20/08/2016</t>
  </si>
  <si>
    <t>JULY'16</t>
  </si>
  <si>
    <t>NGS 558</t>
  </si>
  <si>
    <t>AUGUST'16</t>
  </si>
  <si>
    <t>NGS 559</t>
  </si>
  <si>
    <t>14/09/2016</t>
  </si>
  <si>
    <t>SEPTEMBER'16</t>
  </si>
  <si>
    <t>NGS 560</t>
  </si>
  <si>
    <t>`MAY 2018</t>
  </si>
  <si>
    <t>NGS 561</t>
  </si>
  <si>
    <t>`JUNE 2018</t>
  </si>
  <si>
    <t>NGS 562</t>
  </si>
  <si>
    <t>`JULY' 2018</t>
  </si>
  <si>
    <t>NGS 563</t>
  </si>
  <si>
    <t>`AUGUST 2018</t>
  </si>
  <si>
    <t>NGS 564</t>
  </si>
  <si>
    <t>20/10/2018</t>
  </si>
  <si>
    <t>`SEPTEMBER</t>
  </si>
  <si>
    <t>NGS 565</t>
  </si>
  <si>
    <t>NGS 568</t>
  </si>
  <si>
    <t>NGS 569</t>
  </si>
  <si>
    <t>NGS 570</t>
  </si>
  <si>
    <t>NGS 571</t>
  </si>
  <si>
    <t>22/02/2019</t>
  </si>
  <si>
    <t>NGS 572</t>
  </si>
  <si>
    <t>22/04/2019</t>
  </si>
  <si>
    <t>NGS 573</t>
  </si>
  <si>
    <t>NGS 574</t>
  </si>
  <si>
    <t>NGS 575</t>
  </si>
  <si>
    <t>NGS 576</t>
  </si>
  <si>
    <t>NGS 577</t>
  </si>
  <si>
    <t>NGS 578</t>
  </si>
  <si>
    <t>NGS 579</t>
  </si>
  <si>
    <t>NGS 580</t>
  </si>
  <si>
    <t>NGS 581</t>
  </si>
  <si>
    <t>NGS 582</t>
  </si>
  <si>
    <t>NGS 583</t>
  </si>
  <si>
    <t>NGS 584</t>
  </si>
  <si>
    <t>NGS 586</t>
  </si>
  <si>
    <t>NGS 587</t>
  </si>
  <si>
    <t>NGS 588</t>
  </si>
  <si>
    <t>13/07/2020</t>
  </si>
  <si>
    <t>22/08/2020</t>
  </si>
  <si>
    <t>NGS 590</t>
  </si>
  <si>
    <t>NGS 591</t>
  </si>
  <si>
    <t>NGS 592</t>
  </si>
  <si>
    <t>NGS 593</t>
  </si>
  <si>
    <t>NGS 594</t>
  </si>
  <si>
    <t>26/02/2021</t>
  </si>
  <si>
    <t>NGS 596</t>
  </si>
  <si>
    <t>TOTAL FOR AJAOKUTA</t>
  </si>
  <si>
    <t>ASCL (3D HI-TECH THERMAL POWER)</t>
  </si>
  <si>
    <t>TOTAL FOR ASCL (3D HI-TECH THERMAL POWER)</t>
  </si>
  <si>
    <t>SEPTEMBER'15</t>
  </si>
  <si>
    <t>06/11/2015</t>
  </si>
  <si>
    <t>30/12/2016</t>
  </si>
  <si>
    <t>Balance of Sept'15 Invoice</t>
  </si>
  <si>
    <t>OCTOBER' 15</t>
  </si>
  <si>
    <t>26/11/2015</t>
  </si>
  <si>
    <t>NOVEMBER'15</t>
  </si>
  <si>
    <t>31/12/2015</t>
  </si>
  <si>
    <t>DECEMBER'15</t>
  </si>
  <si>
    <t>29/01/2016</t>
  </si>
  <si>
    <t>JANUARY '16</t>
  </si>
  <si>
    <t>25/02/2016</t>
  </si>
  <si>
    <t>FEBRUARY'16</t>
  </si>
  <si>
    <t>30/06/2016</t>
  </si>
  <si>
    <t>MARCH' 2016</t>
  </si>
  <si>
    <t>APRIL' 2016</t>
  </si>
  <si>
    <t>30/07/2016</t>
  </si>
  <si>
    <t>MAY'2016</t>
  </si>
  <si>
    <t>30/8/2016</t>
  </si>
  <si>
    <t>10/08/2016</t>
  </si>
  <si>
    <t>JULY 16</t>
  </si>
  <si>
    <t>AUGUST 16</t>
  </si>
  <si>
    <t>28/10/2016</t>
  </si>
  <si>
    <t>OCTOBER 16</t>
  </si>
  <si>
    <t>28/02/2017</t>
  </si>
  <si>
    <t>NOVEMBER 16</t>
  </si>
  <si>
    <t>DECEMBER 16</t>
  </si>
  <si>
    <t>JANUARY 17</t>
  </si>
  <si>
    <t>FEBRUARY'17</t>
  </si>
  <si>
    <t>MARCH' 2017</t>
  </si>
  <si>
    <t>APRIL' 2017</t>
  </si>
  <si>
    <t>MAY'2017</t>
  </si>
  <si>
    <t>30/09/2017</t>
  </si>
  <si>
    <t>JUNE'17</t>
  </si>
  <si>
    <t>25/07/2017</t>
  </si>
  <si>
    <t>14/11/2017</t>
  </si>
  <si>
    <t>JULY'17</t>
  </si>
  <si>
    <t>AUGUST'17</t>
  </si>
  <si>
    <t>SEPTEMBER 17</t>
  </si>
  <si>
    <t>OCTOBER'2017</t>
  </si>
  <si>
    <t>NOVEMBER'2017</t>
  </si>
  <si>
    <t>15/1/2018</t>
  </si>
  <si>
    <t>19/03/18</t>
  </si>
  <si>
    <t>DECEMBER'2017</t>
  </si>
  <si>
    <t>27/06/2018</t>
  </si>
  <si>
    <t>JANUARY'2018</t>
  </si>
  <si>
    <t>28/08/2018</t>
  </si>
  <si>
    <t>FEBRUARY'18</t>
  </si>
  <si>
    <t>15/4/2018</t>
  </si>
  <si>
    <t>25/05/2018</t>
  </si>
  <si>
    <t>30/09/2018</t>
  </si>
  <si>
    <t>NGS094</t>
  </si>
  <si>
    <t>20/06/2018</t>
  </si>
  <si>
    <t>MAY'2018</t>
  </si>
  <si>
    <t>21/07/2018</t>
  </si>
  <si>
    <t>21/08/2018</t>
  </si>
  <si>
    <t>`JULY 2018</t>
  </si>
  <si>
    <t>18/10/2018</t>
  </si>
  <si>
    <t>28/02/2019</t>
  </si>
  <si>
    <t>21/11/2019</t>
  </si>
  <si>
    <t>31/01/2019</t>
  </si>
  <si>
    <t>`OCTOBER 2018</t>
  </si>
  <si>
    <t>21/12/2019</t>
  </si>
  <si>
    <t>06/12/2018</t>
  </si>
  <si>
    <t>21/01/2019</t>
  </si>
  <si>
    <t>21/02/2019</t>
  </si>
  <si>
    <t>30/07/2019</t>
  </si>
  <si>
    <t>NGS 050</t>
  </si>
  <si>
    <t>NGS 51</t>
  </si>
  <si>
    <t>NGS 052</t>
  </si>
  <si>
    <t>30/08/2019</t>
  </si>
  <si>
    <t>NGS 053</t>
  </si>
  <si>
    <t>,03/09/2019</t>
  </si>
  <si>
    <t>NGS 054</t>
  </si>
  <si>
    <t>NGS 055</t>
  </si>
  <si>
    <t>NGS 056</t>
  </si>
  <si>
    <t>18/11/2019</t>
  </si>
  <si>
    <t>NGS 057</t>
  </si>
  <si>
    <t>09/01/2020</t>
  </si>
  <si>
    <t>NGS 059</t>
  </si>
  <si>
    <t>05/05/2020</t>
  </si>
  <si>
    <t>NGS 060</t>
  </si>
  <si>
    <t>NGS 061</t>
  </si>
  <si>
    <t>NGS 062</t>
  </si>
  <si>
    <t>NGS 063</t>
  </si>
  <si>
    <t>17/8/2020</t>
  </si>
  <si>
    <t>8/9/2021</t>
  </si>
  <si>
    <t>NGS 065</t>
  </si>
  <si>
    <t>29/9/2020</t>
  </si>
  <si>
    <t>NGS 066</t>
  </si>
  <si>
    <t>18/12/2020</t>
  </si>
  <si>
    <t>29/01/2021</t>
  </si>
  <si>
    <t>27/03/2021</t>
  </si>
  <si>
    <t>26/04/2021</t>
  </si>
  <si>
    <t>TOTAL FOR BN CERAMICS</t>
  </si>
  <si>
    <t>15/04/2017</t>
  </si>
  <si>
    <t xml:space="preserve">MARCH'17 </t>
  </si>
  <si>
    <t>NGS005</t>
  </si>
  <si>
    <t>15/05/2017</t>
  </si>
  <si>
    <t>APRIL'17</t>
  </si>
  <si>
    <t>25/05/2017</t>
  </si>
  <si>
    <t>MAY'17</t>
  </si>
  <si>
    <t>08/01/2018</t>
  </si>
  <si>
    <t>SEPTEMBER'17</t>
  </si>
  <si>
    <t>`07/05/2018</t>
  </si>
  <si>
    <t>15/3/2018</t>
  </si>
  <si>
    <t>16/07/2019</t>
  </si>
  <si>
    <t>16/08/2019</t>
  </si>
  <si>
    <t>28/06/2018</t>
  </si>
  <si>
    <t>`10/07/2018</t>
  </si>
  <si>
    <t>20/07/2018</t>
  </si>
  <si>
    <t>20/08/2018</t>
  </si>
  <si>
    <t>,06/09/2019</t>
  </si>
  <si>
    <t>,10/09/2019</t>
  </si>
  <si>
    <t>15/10/2018</t>
  </si>
  <si>
    <t>20/11/2018</t>
  </si>
  <si>
    <t>20/12/2018</t>
  </si>
  <si>
    <t>20/01/2019</t>
  </si>
  <si>
    <t>20/02/2019</t>
  </si>
  <si>
    <t>25/05/2019</t>
  </si>
  <si>
    <t>08/10/2019</t>
  </si>
  <si>
    <t>11/12/2019</t>
  </si>
  <si>
    <t>13/02/2020</t>
  </si>
  <si>
    <t>02/06/2020</t>
  </si>
  <si>
    <t>19/8/2020</t>
  </si>
  <si>
    <t>20/8/2020</t>
  </si>
  <si>
    <t>16/9/2020</t>
  </si>
  <si>
    <t>16/11/2020</t>
  </si>
  <si>
    <t>22/02/2021</t>
  </si>
  <si>
    <t xml:space="preserve"> TOTAL FOR BORKIR INTNL</t>
  </si>
  <si>
    <t>15/10/2019</t>
  </si>
  <si>
    <t>26/11/2019</t>
  </si>
  <si>
    <t>30/12/2019</t>
  </si>
  <si>
    <t>21/01/2020</t>
  </si>
  <si>
    <t>NGS 005A</t>
  </si>
  <si>
    <t>31/03/2020</t>
  </si>
  <si>
    <t>30/03/2020</t>
  </si>
  <si>
    <t>28/04/200</t>
  </si>
  <si>
    <t>22/05/2020</t>
  </si>
  <si>
    <t>17/06/2020</t>
  </si>
  <si>
    <t>20/7/2020</t>
  </si>
  <si>
    <t>28/10/2020</t>
  </si>
  <si>
    <t>17/11/2020</t>
  </si>
  <si>
    <t>25/01/2021</t>
  </si>
  <si>
    <t>26/03/2021</t>
  </si>
  <si>
    <t>TOTAL BREEZE INDUSTRY LIMITED</t>
  </si>
  <si>
    <t>ADDITIONAL INVOICES</t>
  </si>
  <si>
    <t>MAR-AUG'16</t>
  </si>
  <si>
    <t>NOVEMBER'16</t>
  </si>
  <si>
    <t>15/02/2017</t>
  </si>
  <si>
    <t>DECEMBER'16</t>
  </si>
  <si>
    <t>20/03/2017</t>
  </si>
  <si>
    <t>`26/10/2017</t>
  </si>
  <si>
    <t>JANUARY'17</t>
  </si>
  <si>
    <t>23/03/2017</t>
  </si>
  <si>
    <t>23/11/2017</t>
  </si>
  <si>
    <t>`02/01/2018</t>
  </si>
  <si>
    <t>MARCH'17</t>
  </si>
  <si>
    <t>17/05/2017</t>
  </si>
  <si>
    <t>31/01/2018</t>
  </si>
  <si>
    <t>NGS019</t>
  </si>
  <si>
    <t>21/12/2017</t>
  </si>
  <si>
    <t>NGS020</t>
  </si>
  <si>
    <t>26/01/2018</t>
  </si>
  <si>
    <t>NGS024</t>
  </si>
  <si>
    <t>`27/2/2018</t>
  </si>
  <si>
    <t>NGS025</t>
  </si>
  <si>
    <t>`28/2/2018</t>
  </si>
  <si>
    <t>NGS026</t>
  </si>
  <si>
    <t>28/03/2018</t>
  </si>
  <si>
    <t>NGS027</t>
  </si>
  <si>
    <t>NGS028</t>
  </si>
  <si>
    <t>`01/06/2018</t>
  </si>
  <si>
    <t>NGS029</t>
  </si>
  <si>
    <t>`02/07/2018</t>
  </si>
  <si>
    <t>NGS030</t>
  </si>
  <si>
    <t>25/06/2018</t>
  </si>
  <si>
    <t>`09/08/2018</t>
  </si>
  <si>
    <t>NGS031</t>
  </si>
  <si>
    <t>25/07/2018</t>
  </si>
  <si>
    <t>NGS032</t>
  </si>
  <si>
    <t>25/08/2018</t>
  </si>
  <si>
    <t>NGS033</t>
  </si>
  <si>
    <t>25/09/2018</t>
  </si>
  <si>
    <t>NGS034</t>
  </si>
  <si>
    <t>NGS035</t>
  </si>
  <si>
    <t>25/11/2018</t>
  </si>
  <si>
    <t>NGS036</t>
  </si>
  <si>
    <t>25/12/2018</t>
  </si>
  <si>
    <t>31/12/2018</t>
  </si>
  <si>
    <t>25/01/2019</t>
  </si>
  <si>
    <t>15/02/2019</t>
  </si>
  <si>
    <t>6/03/2019</t>
  </si>
  <si>
    <t>28/08/2019</t>
  </si>
  <si>
    <t>27/09/2019</t>
  </si>
  <si>
    <t>25/10/2019</t>
  </si>
  <si>
    <t>06/11/2019</t>
  </si>
  <si>
    <t>20/12/2019</t>
  </si>
  <si>
    <t>24/01/2020</t>
  </si>
  <si>
    <t>27/02/2020</t>
  </si>
  <si>
    <t>08/05/2020</t>
  </si>
  <si>
    <t>25/06/2020</t>
  </si>
  <si>
    <t>CAPITAL RECOVERY / 1544721</t>
  </si>
  <si>
    <t>23/11/2020</t>
  </si>
  <si>
    <t>TOTAL FOR BUA CEMENT</t>
  </si>
  <si>
    <t>CDK INTERGRATED</t>
  </si>
  <si>
    <t>MARCH'2017</t>
  </si>
  <si>
    <t>NGS001A</t>
  </si>
  <si>
    <t>NGS002</t>
  </si>
  <si>
    <t>29/08/2018</t>
  </si>
  <si>
    <t>NGS003</t>
  </si>
  <si>
    <t>16/07/2017</t>
  </si>
  <si>
    <t>NGS004</t>
  </si>
  <si>
    <t>30/08/2017</t>
  </si>
  <si>
    <t>NGS008</t>
  </si>
  <si>
    <t>14/1/2017</t>
  </si>
  <si>
    <t>NGS009</t>
  </si>
  <si>
    <t>NGS010</t>
  </si>
  <si>
    <t>NGS011</t>
  </si>
  <si>
    <t>02/10/2018</t>
  </si>
  <si>
    <t>NGS012</t>
  </si>
  <si>
    <t>18/01/2019</t>
  </si>
  <si>
    <t>NGS013</t>
  </si>
  <si>
    <t>22/06/2018</t>
  </si>
  <si>
    <t>19/06/2019</t>
  </si>
  <si>
    <t>NGS014</t>
  </si>
  <si>
    <t>22/07/2018</t>
  </si>
  <si>
    <t>09/07/2019</t>
  </si>
  <si>
    <t>NGS015</t>
  </si>
  <si>
    <t>22/08/2018</t>
  </si>
  <si>
    <t>19/07/2019</t>
  </si>
  <si>
    <t>NGS016</t>
  </si>
  <si>
    <t>22/09/2018</t>
  </si>
  <si>
    <t>NGS018</t>
  </si>
  <si>
    <t>22/10/218</t>
  </si>
  <si>
    <t>31/10/2018</t>
  </si>
  <si>
    <t>22/11/2018</t>
  </si>
  <si>
    <t>22/12/2018</t>
  </si>
  <si>
    <t>13/09/2019</t>
  </si>
  <si>
    <t>22/01/2019</t>
  </si>
  <si>
    <t>06/12/2019</t>
  </si>
  <si>
    <t>3/02/2019</t>
  </si>
  <si>
    <t>24/12/2020</t>
  </si>
  <si>
    <t>03/01/2020</t>
  </si>
  <si>
    <t>12/02/2020</t>
  </si>
  <si>
    <t>06/03/2020</t>
  </si>
  <si>
    <t>06/07/2020</t>
  </si>
  <si>
    <t>27/07/2020</t>
  </si>
  <si>
    <t>28/7/2020</t>
  </si>
  <si>
    <t>26/8/2020</t>
  </si>
  <si>
    <t>17/03/2021</t>
  </si>
  <si>
    <t>TOTAL CDK</t>
  </si>
  <si>
    <t>30/10/2019</t>
  </si>
  <si>
    <t>,22/11/2019</t>
  </si>
  <si>
    <t>24/12/2019</t>
  </si>
  <si>
    <t>03/02/2020</t>
  </si>
  <si>
    <t>16/03/2020</t>
  </si>
  <si>
    <t>9/06/2020</t>
  </si>
  <si>
    <t>24/06/2020</t>
  </si>
  <si>
    <t>27/8/2020</t>
  </si>
  <si>
    <t>TOTAL CORMART NIGERIA LIMITED</t>
  </si>
  <si>
    <t>11/09/2019</t>
  </si>
  <si>
    <t>01/03/2019</t>
  </si>
  <si>
    <t>01/05/2019</t>
  </si>
  <si>
    <t>30/06/2019</t>
  </si>
  <si>
    <t>23/09/2019</t>
  </si>
  <si>
    <t>,26/11/2019</t>
  </si>
  <si>
    <t>13/12/2019</t>
  </si>
  <si>
    <t>22/01/2020</t>
  </si>
  <si>
    <t>13/03/2020</t>
  </si>
  <si>
    <t>10/03/2020</t>
  </si>
  <si>
    <t>21/05/2020</t>
  </si>
  <si>
    <t>8/06/2020</t>
  </si>
  <si>
    <t xml:space="preserve"> 23/7/2020</t>
  </si>
  <si>
    <t>9/07/2020</t>
  </si>
  <si>
    <t>13/10/2020</t>
  </si>
  <si>
    <t>TOTAL CROWN FLOUR</t>
  </si>
  <si>
    <t>DANGOTE - IBESE</t>
  </si>
  <si>
    <t>BAL B/F AS AT MAY 2017 RECONCILIATION</t>
  </si>
  <si>
    <t>NGS070</t>
  </si>
  <si>
    <t>NGS071</t>
  </si>
  <si>
    <t>NGS072</t>
  </si>
  <si>
    <t>27/11/2017</t>
  </si>
  <si>
    <t>NGS073</t>
  </si>
  <si>
    <t>`06/01/2018</t>
  </si>
  <si>
    <t>NGS075</t>
  </si>
  <si>
    <t>NGS076</t>
  </si>
  <si>
    <t>NGS077</t>
  </si>
  <si>
    <t>23/04/2018</t>
  </si>
  <si>
    <t>NGS078</t>
  </si>
  <si>
    <t>MARCH `2018</t>
  </si>
  <si>
    <t>NGS079</t>
  </si>
  <si>
    <t>20/05/2018</t>
  </si>
  <si>
    <t>NGS080</t>
  </si>
  <si>
    <t>15/06/2018</t>
  </si>
  <si>
    <t>NGS081</t>
  </si>
  <si>
    <t>15/07/2018</t>
  </si>
  <si>
    <t>20/8/2018</t>
  </si>
  <si>
    <t>NGS082</t>
  </si>
  <si>
    <t>NGS083</t>
  </si>
  <si>
    <t>NGS084</t>
  </si>
  <si>
    <t>15/11/2018</t>
  </si>
  <si>
    <t>NGS085</t>
  </si>
  <si>
    <t>24/12/2018</t>
  </si>
  <si>
    <t>NGS086</t>
  </si>
  <si>
    <t>13/03/2019</t>
  </si>
  <si>
    <t>05/04/2019</t>
  </si>
  <si>
    <t>28/03/2019</t>
  </si>
  <si>
    <t>15/04/2019</t>
  </si>
  <si>
    <t>05/07/2019</t>
  </si>
  <si>
    <t>29/07/2019</t>
  </si>
  <si>
    <t>08/08/2019</t>
  </si>
  <si>
    <t>12/09/2019</t>
  </si>
  <si>
    <t>24/09/2019</t>
  </si>
  <si>
    <t>NGS 096</t>
  </si>
  <si>
    <t>13/11/2019</t>
  </si>
  <si>
    <t>NGS 098</t>
  </si>
  <si>
    <t>,NOVEMBER 2019</t>
  </si>
  <si>
    <t>NGS 0100</t>
  </si>
  <si>
    <t>02/02/2020</t>
  </si>
  <si>
    <t>27/03/2020</t>
  </si>
  <si>
    <t>07/05/2020</t>
  </si>
  <si>
    <t>20/05/2020</t>
  </si>
  <si>
    <t>30/06/2020</t>
  </si>
  <si>
    <t>21/07/2020</t>
  </si>
  <si>
    <t>NGS 109A</t>
  </si>
  <si>
    <t>NGS 11</t>
  </si>
  <si>
    <t>18/01/2021</t>
  </si>
  <si>
    <t>29/03/2021</t>
  </si>
  <si>
    <t>TOTAL FOR DANGOTE-IBESE</t>
  </si>
  <si>
    <t>27/07/2017</t>
  </si>
  <si>
    <t>MAY''2017</t>
  </si>
  <si>
    <t>JUNE''2017</t>
  </si>
  <si>
    <t>JULY' 2017</t>
  </si>
  <si>
    <t>NGS'129</t>
  </si>
  <si>
    <t>NGS'130</t>
  </si>
  <si>
    <t>25/11/2017</t>
  </si>
  <si>
    <t>NGS'131</t>
  </si>
  <si>
    <t>`7/12/2017</t>
  </si>
  <si>
    <t>NGS'132</t>
  </si>
  <si>
    <t>30/11/2017</t>
  </si>
  <si>
    <t>NGS'133</t>
  </si>
  <si>
    <t>`11/02/2018</t>
  </si>
  <si>
    <t>CAPEX RECOVERY</t>
  </si>
  <si>
    <t>NGS'134</t>
  </si>
  <si>
    <t>NGS'135</t>
  </si>
  <si>
    <t>NGS'136</t>
  </si>
  <si>
    <t>`MARCH 2018</t>
  </si>
  <si>
    <t>NGS'137</t>
  </si>
  <si>
    <t>`APRIL 2018</t>
  </si>
  <si>
    <t>NGS'138</t>
  </si>
  <si>
    <t>23/08/2018</t>
  </si>
  <si>
    <t>NGS'139</t>
  </si>
  <si>
    <t>28/07/2018</t>
  </si>
  <si>
    <t>20/9/2018</t>
  </si>
  <si>
    <t>NGS'140</t>
  </si>
  <si>
    <t>29/10/2018</t>
  </si>
  <si>
    <t>NGS'141</t>
  </si>
  <si>
    <t>29/09/2018</t>
  </si>
  <si>
    <t>NGS'142</t>
  </si>
  <si>
    <t>NGS'143</t>
  </si>
  <si>
    <t>29/11/2018</t>
  </si>
  <si>
    <t>05/12/2018</t>
  </si>
  <si>
    <t>NGS144</t>
  </si>
  <si>
    <t>29/12/2018</t>
  </si>
  <si>
    <t>14/01/2019</t>
  </si>
  <si>
    <t>NGS 145</t>
  </si>
  <si>
    <t>26/03/2019</t>
  </si>
  <si>
    <t>NGS 146</t>
  </si>
  <si>
    <t>NGS 147</t>
  </si>
  <si>
    <t>NGS 148</t>
  </si>
  <si>
    <t>06/06/2019</t>
  </si>
  <si>
    <t>24/04/2019</t>
  </si>
  <si>
    <t>02/07/2019</t>
  </si>
  <si>
    <t>NGS 150</t>
  </si>
  <si>
    <t>NGS 151</t>
  </si>
  <si>
    <t>19/08/2019</t>
  </si>
  <si>
    <t>NGS 152</t>
  </si>
  <si>
    <t>03/09/2019</t>
  </si>
  <si>
    <t>NGS 153</t>
  </si>
  <si>
    <t>NGS 154</t>
  </si>
  <si>
    <t>29/10/2019</t>
  </si>
  <si>
    <t>03/12/2019</t>
  </si>
  <si>
    <t>NGS 155</t>
  </si>
  <si>
    <t>20/01/2020</t>
  </si>
  <si>
    <t>NGS 156</t>
  </si>
  <si>
    <t>NGS 157</t>
  </si>
  <si>
    <t>19/02/2020</t>
  </si>
  <si>
    <t>30/04/2020</t>
  </si>
  <si>
    <t>NGS 159</t>
  </si>
  <si>
    <t>10/04/2020</t>
  </si>
  <si>
    <t>18/05/2020</t>
  </si>
  <si>
    <t>NGS 160</t>
  </si>
  <si>
    <t>NGS 161</t>
  </si>
  <si>
    <t>16/7/2020</t>
  </si>
  <si>
    <t>NGS 162B</t>
  </si>
  <si>
    <t>NGS 163B</t>
  </si>
  <si>
    <t>24/08/2020</t>
  </si>
  <si>
    <t>NGS 164</t>
  </si>
  <si>
    <t>NGS 165</t>
  </si>
  <si>
    <t>12/10/2020</t>
  </si>
  <si>
    <t>NGS 166</t>
  </si>
  <si>
    <t>21/10/2020</t>
  </si>
  <si>
    <t>21/11/2020</t>
  </si>
  <si>
    <t>CREDIT NOTE DEDUCTION ON CITY GATE AND END USERS</t>
  </si>
  <si>
    <t>NGS 167</t>
  </si>
  <si>
    <t>21/12/2020</t>
  </si>
  <si>
    <t>NGS 168</t>
  </si>
  <si>
    <t>NGS 169</t>
  </si>
  <si>
    <t>NGS 171</t>
  </si>
  <si>
    <t>TOTAL FOR FALCON</t>
  </si>
  <si>
    <t>FALCON TEXTILE</t>
  </si>
  <si>
    <t>FEBRUARY TO DECEMBER 2018</t>
  </si>
  <si>
    <t>JANUARY TO DECEMBER 2019</t>
  </si>
  <si>
    <t>NGS 003A</t>
  </si>
  <si>
    <t>17/04/2019</t>
  </si>
  <si>
    <t>11/06/2019</t>
  </si>
  <si>
    <t>24/07/2019</t>
  </si>
  <si>
    <t>07/10/2019</t>
  </si>
  <si>
    <t>17/07/2020</t>
  </si>
  <si>
    <t>18/10/2019</t>
  </si>
  <si>
    <t>15/12/2019</t>
  </si>
  <si>
    <t>20/04/2020</t>
  </si>
  <si>
    <t>27/05/2020</t>
  </si>
  <si>
    <t>28/07/2020</t>
  </si>
  <si>
    <t>15/8/2020</t>
  </si>
  <si>
    <t>21/09/2020</t>
  </si>
  <si>
    <t>15/10/2020</t>
  </si>
  <si>
    <t>19/11/2020</t>
  </si>
  <si>
    <t>15/01/2021</t>
  </si>
  <si>
    <t>14/4/2021</t>
  </si>
  <si>
    <t xml:space="preserve">TOTAL FENICE METAL LIMITED </t>
  </si>
  <si>
    <t>25/06/2019</t>
  </si>
  <si>
    <t>28/07/2019</t>
  </si>
  <si>
    <t>23/08/2019</t>
  </si>
  <si>
    <t>27/11/2019</t>
  </si>
  <si>
    <t>28/01/2020</t>
  </si>
  <si>
    <t>05/02/2020</t>
  </si>
  <si>
    <t>15/04/2020</t>
  </si>
  <si>
    <t>28/05/2020</t>
  </si>
  <si>
    <t>8/07/2020</t>
  </si>
  <si>
    <t>19/08/2020</t>
  </si>
  <si>
    <t>22/9/2020</t>
  </si>
  <si>
    <t>NGC 016</t>
  </si>
  <si>
    <t>20/01/2021</t>
  </si>
  <si>
    <t xml:space="preserve">TOTAL GASCO CNG </t>
  </si>
  <si>
    <t>NGS001</t>
  </si>
  <si>
    <t>NGS006</t>
  </si>
  <si>
    <t>NGS007</t>
  </si>
  <si>
    <t>18/08/2018</t>
  </si>
  <si>
    <t>18/09/2018</t>
  </si>
  <si>
    <t>`03/09/2018</t>
  </si>
  <si>
    <t>`10/11/2018</t>
  </si>
  <si>
    <t>18/11/2018</t>
  </si>
  <si>
    <t>18/12/2018</t>
  </si>
  <si>
    <t>24/01/2019</t>
  </si>
  <si>
    <t>18/02/2019</t>
  </si>
  <si>
    <t>20/04/2019</t>
  </si>
  <si>
    <t>14/01/2020</t>
  </si>
  <si>
    <t>18/02/2020</t>
  </si>
  <si>
    <t>NGS 036B</t>
  </si>
  <si>
    <t>28/12/2020</t>
  </si>
  <si>
    <t>GASCO MARINE TOTAL</t>
  </si>
  <si>
    <t>NGS 198</t>
  </si>
  <si>
    <t>20/08/2017</t>
  </si>
  <si>
    <t>JUNE PARTLY PAID</t>
  </si>
  <si>
    <t>NGS 199</t>
  </si>
  <si>
    <t>`02/12/2017</t>
  </si>
  <si>
    <t>NGS 201</t>
  </si>
  <si>
    <t>15/10/2017</t>
  </si>
  <si>
    <t>NGS 202</t>
  </si>
  <si>
    <t>15/12/2017</t>
  </si>
  <si>
    <t>NGS 203</t>
  </si>
  <si>
    <t>22/12/2017</t>
  </si>
  <si>
    <t>28/12/2017</t>
  </si>
  <si>
    <t>NGS 204</t>
  </si>
  <si>
    <t>16/1/2018</t>
  </si>
  <si>
    <t>22/01/2018</t>
  </si>
  <si>
    <t>NGS 205</t>
  </si>
  <si>
    <t>25/01/2018</t>
  </si>
  <si>
    <t>`05/02/2018</t>
  </si>
  <si>
    <t>`06/02/2018</t>
  </si>
  <si>
    <t>`19/02/2018</t>
  </si>
  <si>
    <t>`23/2/2018</t>
  </si>
  <si>
    <t>NGS 206</t>
  </si>
  <si>
    <t>`2/03/2018</t>
  </si>
  <si>
    <t>NGS 207</t>
  </si>
  <si>
    <t>MARCH` 2018</t>
  </si>
  <si>
    <t>NGS 208</t>
  </si>
  <si>
    <t>17.05.2018</t>
  </si>
  <si>
    <t>NGS 209</t>
  </si>
  <si>
    <t>`11/06/2018</t>
  </si>
  <si>
    <t>NGS 210</t>
  </si>
  <si>
    <t>NGS 211</t>
  </si>
  <si>
    <t>NGS 212</t>
  </si>
  <si>
    <t>20/09/2018</t>
  </si>
  <si>
    <t>28/09/2018</t>
  </si>
  <si>
    <t>NGS 213</t>
  </si>
  <si>
    <t>19/10/2018</t>
  </si>
  <si>
    <t>NGS 214</t>
  </si>
  <si>
    <t>23/11/18</t>
  </si>
  <si>
    <t>NGS 215</t>
  </si>
  <si>
    <t>15/12/2018</t>
  </si>
  <si>
    <t xml:space="preserve"> NGS 215</t>
  </si>
  <si>
    <t>15/01/2019</t>
  </si>
  <si>
    <t xml:space="preserve"> NGS 216</t>
  </si>
  <si>
    <t>B/F</t>
  </si>
  <si>
    <t>RECONCILED AND AGREED AMOUNT BTW NGMC &amp; GNL AS AT 31ST DEC 2018</t>
  </si>
  <si>
    <t>NGS 217</t>
  </si>
  <si>
    <t>06/02/2019</t>
  </si>
  <si>
    <t xml:space="preserve">CREDIT NOTE DEDUCTION </t>
  </si>
  <si>
    <r>
      <t xml:space="preserve">NO: </t>
    </r>
    <r>
      <rPr>
        <b/>
        <sz val="12"/>
        <color theme="1"/>
        <rFont val="Cambria"/>
        <family val="1"/>
      </rPr>
      <t xml:space="preserve">CRN 001 </t>
    </r>
  </si>
  <si>
    <t>12/04/2018</t>
  </si>
  <si>
    <t>CREDIT NOTE: reimbursement of excess N2/SCM gas price</t>
  </si>
  <si>
    <t>NGS 218</t>
  </si>
  <si>
    <t>28/04/2019</t>
  </si>
  <si>
    <t>12/03/2019</t>
  </si>
  <si>
    <t>NGS 219</t>
  </si>
  <si>
    <t>28/05/2019</t>
  </si>
  <si>
    <t>NGS 221</t>
  </si>
  <si>
    <t>09/04/2019</t>
  </si>
  <si>
    <t>NGS 222</t>
  </si>
  <si>
    <t>NGS 223</t>
  </si>
  <si>
    <t>18/04/2018</t>
  </si>
  <si>
    <t>NGS 224</t>
  </si>
  <si>
    <t>NGS 225</t>
  </si>
  <si>
    <t>03/05/2019</t>
  </si>
  <si>
    <t>NGS 226</t>
  </si>
  <si>
    <t>10/11/2019</t>
  </si>
  <si>
    <t>22/05/2019</t>
  </si>
  <si>
    <t>NGS 227</t>
  </si>
  <si>
    <t>NGS 228</t>
  </si>
  <si>
    <t>17/06/2019</t>
  </si>
  <si>
    <t>NGS 229</t>
  </si>
  <si>
    <t>27/06/2019</t>
  </si>
  <si>
    <t>NGS 230</t>
  </si>
  <si>
    <t>NGS 231</t>
  </si>
  <si>
    <t>NGS 232</t>
  </si>
  <si>
    <t>12/07/2019</t>
  </si>
  <si>
    <t>NGS 233</t>
  </si>
  <si>
    <t>NGS 234</t>
  </si>
  <si>
    <t>NGS 235</t>
  </si>
  <si>
    <t>NGS 236</t>
  </si>
  <si>
    <t>25/09/2020</t>
  </si>
  <si>
    <t>NGS 237</t>
  </si>
  <si>
    <t>20/10/2020</t>
  </si>
  <si>
    <t>26/08/2019</t>
  </si>
  <si>
    <t>NGS 238</t>
  </si>
  <si>
    <t>29/08/2019</t>
  </si>
  <si>
    <t>NGS 239</t>
  </si>
  <si>
    <t>NGS 240</t>
  </si>
  <si>
    <t>13/1/2021</t>
  </si>
  <si>
    <t>28/1/2021</t>
  </si>
  <si>
    <t>23/10/2019</t>
  </si>
  <si>
    <t>29/11/2019</t>
  </si>
  <si>
    <t>31/12/2019</t>
  </si>
  <si>
    <t>30/01/202</t>
  </si>
  <si>
    <t>CAPEX RECOVERY 1521387/1521388</t>
  </si>
  <si>
    <t>29/7/2020</t>
  </si>
  <si>
    <t>CREDIT NOTE DEDUCTION ON TEXILE JAN 2018 - JUNE 2020</t>
  </si>
  <si>
    <t>NO:CRN 002</t>
  </si>
  <si>
    <t>30/12/2020</t>
  </si>
  <si>
    <t>CAPEX RECOVERY (GL IV) 1551180 MAY, JUNE, SEP AND OCT 2020</t>
  </si>
  <si>
    <t>28/2/2021</t>
  </si>
  <si>
    <t>CAPEX RECOVERY 1521357(NOV $ DEC 2020)</t>
  </si>
  <si>
    <t>CREDIT NOTE DEDUCTION ON TEXILE JULY 2020 - DEC 2020</t>
  </si>
  <si>
    <t xml:space="preserve">CREDIT NOTE DEDUCTION BASED ON NGMC/GNL SHARING RATIO </t>
  </si>
  <si>
    <t>RECONCILED AND AGREED AMOUNT BTW NGMC &amp; GNL AS AT 31ST DEC 2020</t>
  </si>
  <si>
    <t>NGS 241B</t>
  </si>
  <si>
    <t>18/03/2021</t>
  </si>
  <si>
    <t>24/03/2021</t>
  </si>
  <si>
    <t>13/4/2021</t>
  </si>
  <si>
    <t>28/04/2021</t>
  </si>
  <si>
    <t>30/4/2021</t>
  </si>
  <si>
    <t xml:space="preserve"> TOTAL GAS LINK LTD</t>
  </si>
  <si>
    <t>FEB 2015 - JAN 2017 WHT  BY NNPC</t>
  </si>
  <si>
    <t>FEB 2015 - JAN 2017  VAT BY NNPC</t>
  </si>
  <si>
    <t>18/05/2017</t>
  </si>
  <si>
    <t>APRIL' 17</t>
  </si>
  <si>
    <t>20/06/2017</t>
  </si>
  <si>
    <t>`04/04/2018</t>
  </si>
  <si>
    <t>27/09/2017</t>
  </si>
  <si>
    <t>`11/12/2017</t>
  </si>
  <si>
    <t>18/9/2018</t>
  </si>
  <si>
    <t>NGS037</t>
  </si>
  <si>
    <t>`11/1/2018</t>
  </si>
  <si>
    <t>NGS038</t>
  </si>
  <si>
    <t>NGS039</t>
  </si>
  <si>
    <t>`07/11/2018</t>
  </si>
  <si>
    <t>NGS040</t>
  </si>
  <si>
    <t>NGS041</t>
  </si>
  <si>
    <t>24/10/2018</t>
  </si>
  <si>
    <t>NGS042</t>
  </si>
  <si>
    <t>NGS043</t>
  </si>
  <si>
    <t>NGS044</t>
  </si>
  <si>
    <t>NGS045</t>
  </si>
  <si>
    <t>24/05/2019</t>
  </si>
  <si>
    <t>NGS046</t>
  </si>
  <si>
    <t>25/10/2018</t>
  </si>
  <si>
    <t>NGS047</t>
  </si>
  <si>
    <t>NGS048</t>
  </si>
  <si>
    <t>13/06/2019</t>
  </si>
  <si>
    <t xml:space="preserve"> NGS 050</t>
  </si>
  <si>
    <t>08/07/2019</t>
  </si>
  <si>
    <t>16/12/2019</t>
  </si>
  <si>
    <t>25/02/2020</t>
  </si>
  <si>
    <t>26/08/2020</t>
  </si>
  <si>
    <t>FEB 2015 - DEC 2019 WHT  BY NNPC</t>
  </si>
  <si>
    <t>FEB 2015 - DEC 2019  VAT BY NNPC</t>
  </si>
  <si>
    <t>23/9/2020</t>
  </si>
  <si>
    <t>10/9/2020</t>
  </si>
  <si>
    <t>14/01/2021</t>
  </si>
  <si>
    <t>20/04/2021</t>
  </si>
  <si>
    <t>TOTAL FOR GEL UTILITIES LIMITED</t>
  </si>
  <si>
    <t>NGS 001A</t>
  </si>
  <si>
    <t>26/9/2020</t>
  </si>
  <si>
    <t>BGS 003</t>
  </si>
  <si>
    <t>14/11/2020</t>
  </si>
  <si>
    <t>14/12/2020</t>
  </si>
  <si>
    <t>22/01/2021</t>
  </si>
  <si>
    <t>27/04/2021</t>
  </si>
  <si>
    <t xml:space="preserve">TOTAL GOLDEN DIAMOND </t>
  </si>
  <si>
    <t>21/06/2018</t>
  </si>
  <si>
    <t>29/06/2018</t>
  </si>
  <si>
    <t>15/08/2018</t>
  </si>
  <si>
    <t>15/09/2018</t>
  </si>
  <si>
    <t>21/09/2018</t>
  </si>
  <si>
    <t>SEPTEMBER 2018</t>
  </si>
  <si>
    <t>NGS017</t>
  </si>
  <si>
    <t>4/12/2018</t>
  </si>
  <si>
    <t>17/01/22019</t>
  </si>
  <si>
    <t>NGS 021A</t>
  </si>
  <si>
    <t>21/03/2019</t>
  </si>
  <si>
    <t>NGS 023A</t>
  </si>
  <si>
    <t>29/06/2019</t>
  </si>
  <si>
    <t>NGS 024A</t>
  </si>
  <si>
    <t>03/10/2019</t>
  </si>
  <si>
    <t>21/10/2019</t>
  </si>
  <si>
    <t>14/11/2019</t>
  </si>
  <si>
    <t>29/04/2020</t>
  </si>
  <si>
    <t>15/06/2020</t>
  </si>
  <si>
    <t>TOTAL GREEN FUELS</t>
  </si>
  <si>
    <t>21/04/2019</t>
  </si>
  <si>
    <t>10/05/2019</t>
  </si>
  <si>
    <t>10/07/2019</t>
  </si>
  <si>
    <t>NGS 130</t>
  </si>
  <si>
    <t>NGS 131</t>
  </si>
  <si>
    <t>NGS 132</t>
  </si>
  <si>
    <t>NGS 133</t>
  </si>
  <si>
    <t>NGS 134</t>
  </si>
  <si>
    <t>NGS 135</t>
  </si>
  <si>
    <t>NGS 137</t>
  </si>
  <si>
    <t>NGS 138</t>
  </si>
  <si>
    <t>NGS 139</t>
  </si>
  <si>
    <t>NGS 140</t>
  </si>
  <si>
    <t>NGS 141</t>
  </si>
  <si>
    <t>NGS 0142</t>
  </si>
  <si>
    <t>NGS 143</t>
  </si>
  <si>
    <t>NGS 144</t>
  </si>
  <si>
    <t xml:space="preserve"> TOTAL FOR GUINNESS </t>
  </si>
  <si>
    <t>NOVEMBER 2017</t>
  </si>
  <si>
    <t>DECEMBER 2017</t>
  </si>
  <si>
    <t>30/12/2017</t>
  </si>
  <si>
    <t>01/04/2019</t>
  </si>
  <si>
    <t>19/09/2019</t>
  </si>
  <si>
    <t>10/12/2019</t>
  </si>
  <si>
    <t>04/03/2020</t>
  </si>
  <si>
    <t>TOTAL INDUSTRIAL PROJECT INTERNATIONAL</t>
  </si>
  <si>
    <t>INNOPLAS COMPANY</t>
  </si>
  <si>
    <t>05/09/2016</t>
  </si>
  <si>
    <t>30/10/2016</t>
  </si>
  <si>
    <t>JULY'16 INVOICEC PART PAID</t>
  </si>
  <si>
    <t>23/09/2016</t>
  </si>
  <si>
    <t>29/10/2016</t>
  </si>
  <si>
    <t>SEPTEMBER'18</t>
  </si>
  <si>
    <t>OCTOBER '2018</t>
  </si>
  <si>
    <t>28/01/2019</t>
  </si>
  <si>
    <t>15/03/2019</t>
  </si>
  <si>
    <t>26/07/201</t>
  </si>
  <si>
    <t>15/05/2020</t>
  </si>
  <si>
    <t>25/05/2020</t>
  </si>
  <si>
    <t>17/9/2020</t>
  </si>
  <si>
    <t>20/11/2020</t>
  </si>
  <si>
    <t>NGS 0064</t>
  </si>
  <si>
    <t>19/04/2021</t>
  </si>
  <si>
    <t>TOTAL FOR INNOPLAS</t>
  </si>
  <si>
    <t>04/04/2019</t>
  </si>
  <si>
    <t>19/12/2019</t>
  </si>
  <si>
    <t>09/02/2020</t>
  </si>
  <si>
    <t>30/11/2020</t>
  </si>
  <si>
    <t xml:space="preserve">TOTAL LEXSZ PLASTIC LIMITED </t>
  </si>
  <si>
    <t>CASH DEPOSIT</t>
  </si>
  <si>
    <t>01/04/2015</t>
  </si>
  <si>
    <t>PAYMENT SECURITY</t>
  </si>
  <si>
    <t>18/03/2017</t>
  </si>
  <si>
    <t>ToP</t>
  </si>
  <si>
    <t>JULY'2017</t>
  </si>
  <si>
    <t>02/12/2018</t>
  </si>
  <si>
    <t>06/05/2019</t>
  </si>
  <si>
    <t>22/07/2019</t>
  </si>
  <si>
    <t>,AUGUST 2019</t>
  </si>
  <si>
    <t>17/01/2020</t>
  </si>
  <si>
    <t>03/03/2020</t>
  </si>
  <si>
    <t>13/8/2020</t>
  </si>
  <si>
    <t>14/9/2020</t>
  </si>
  <si>
    <t>14/10/2020</t>
  </si>
  <si>
    <t>19/01/2021</t>
  </si>
  <si>
    <t>16/04/2021</t>
  </si>
  <si>
    <t>TOTAL FOR LIFE FLOUR MILL LTD</t>
  </si>
  <si>
    <t>15/07/2015</t>
  </si>
  <si>
    <t>AUGUST' 15</t>
  </si>
  <si>
    <t>01/11/2015</t>
  </si>
  <si>
    <t>20/11/2015</t>
  </si>
  <si>
    <t xml:space="preserve">NOVEMEBR </t>
  </si>
  <si>
    <t>DECEMBER</t>
  </si>
  <si>
    <t>30/03/2016</t>
  </si>
  <si>
    <t>FEBRUARY 2016</t>
  </si>
  <si>
    <t>MARCH 2016</t>
  </si>
  <si>
    <t>30/05/2016</t>
  </si>
  <si>
    <t>23/06/2016</t>
  </si>
  <si>
    <t>JULY  2016</t>
  </si>
  <si>
    <t>30/09/2016</t>
  </si>
  <si>
    <t>AUGUST 2016</t>
  </si>
  <si>
    <t>NOVEMEBR 2016</t>
  </si>
  <si>
    <t>30/01/2017</t>
  </si>
  <si>
    <t>FEBRUARY 2017</t>
  </si>
  <si>
    <t>30/04/2017</t>
  </si>
  <si>
    <t>MARCH 2017</t>
  </si>
  <si>
    <t>30/05/2017</t>
  </si>
  <si>
    <t>MAY 2017</t>
  </si>
  <si>
    <t>30/07/2017</t>
  </si>
  <si>
    <t>AUGUST 2017</t>
  </si>
  <si>
    <t>30/10/2017</t>
  </si>
  <si>
    <t>SEPTEMBER 2017</t>
  </si>
  <si>
    <t>MARCH 2018</t>
  </si>
  <si>
    <t>NGS021</t>
  </si>
  <si>
    <t>28/06/2019</t>
  </si>
  <si>
    <t>TOTAL FOR METOXIDE NIG LTD</t>
  </si>
  <si>
    <t>08/07/2015</t>
  </si>
  <si>
    <t>10/06/2018</t>
  </si>
  <si>
    <t>10/07/2018</t>
  </si>
  <si>
    <t>6/12/2018</t>
  </si>
  <si>
    <t>09/01/2019</t>
  </si>
  <si>
    <t>07/08/2019</t>
  </si>
  <si>
    <t>06/09/2019</t>
  </si>
  <si>
    <t>07/02/2020</t>
  </si>
  <si>
    <t>02/9/202</t>
  </si>
  <si>
    <t>TOTAL FOR MIDLAND GALVANIZING</t>
  </si>
  <si>
    <t>AUGUST'2017</t>
  </si>
  <si>
    <t>24/11/2017</t>
  </si>
  <si>
    <t>20/03/2019</t>
  </si>
  <si>
    <t>30/06/019</t>
  </si>
  <si>
    <t>08/09/2019</t>
  </si>
  <si>
    <t>,03/01/2020</t>
  </si>
  <si>
    <t>05/03/2020</t>
  </si>
  <si>
    <t>21/20/2020</t>
  </si>
  <si>
    <t>04/04/2020</t>
  </si>
  <si>
    <t>NGS  032</t>
  </si>
  <si>
    <t>16/10/2020</t>
  </si>
  <si>
    <t>24/10/2020</t>
  </si>
  <si>
    <t>24/02/2021</t>
  </si>
  <si>
    <t>MORNACH TOTAL</t>
  </si>
  <si>
    <t>26/07/2019</t>
  </si>
  <si>
    <t>,13/09/2019</t>
  </si>
  <si>
    <t>.06/11/2019</t>
  </si>
  <si>
    <t>24/02/2020</t>
  </si>
  <si>
    <t>16/04/2020</t>
  </si>
  <si>
    <t>TOTAL NESTLE NIGERIA PLC</t>
  </si>
  <si>
    <t>02/12/2019</t>
  </si>
  <si>
    <t>02/01/2020</t>
  </si>
  <si>
    <t>31/04/2020</t>
  </si>
  <si>
    <t>14/05/2020</t>
  </si>
  <si>
    <t>04/06/2020</t>
  </si>
  <si>
    <t>TOTAL NIGER BISCUIT</t>
  </si>
  <si>
    <t>NIPCO LTD GREEN GAS LTD (BENIN)</t>
  </si>
  <si>
    <t>NOV'09 - DEC'14</t>
  </si>
  <si>
    <t>NGS 001-002</t>
  </si>
  <si>
    <t>22/05/2015</t>
  </si>
  <si>
    <t>28/04/2015</t>
  </si>
  <si>
    <t>UNDER PAYMENT DUE TO EXCH DIFF</t>
  </si>
  <si>
    <t>NIPCO GREEN GAS LTD IBAFO</t>
  </si>
  <si>
    <t>MAY' 14-DECEMBER 14</t>
  </si>
  <si>
    <t>NGS 001-008</t>
  </si>
  <si>
    <t>05/07/2015</t>
  </si>
  <si>
    <t>01/07/2015</t>
  </si>
  <si>
    <t>NGS063</t>
  </si>
  <si>
    <t>NGS064</t>
  </si>
  <si>
    <t>NGS065</t>
  </si>
  <si>
    <t>NGS066</t>
  </si>
  <si>
    <t>NGS067</t>
  </si>
  <si>
    <t>5/12/2018</t>
  </si>
  <si>
    <t>`June 2018</t>
  </si>
  <si>
    <t>NGS068</t>
  </si>
  <si>
    <t>JULY'2018</t>
  </si>
  <si>
    <t>NGS069</t>
  </si>
  <si>
    <t>28/11/2018</t>
  </si>
  <si>
    <t>28/12/2018</t>
  </si>
  <si>
    <t>17/07/2019</t>
  </si>
  <si>
    <t>22/08/2019</t>
  </si>
  <si>
    <t>04/09/2019</t>
  </si>
  <si>
    <t>GAS PRICE DIFFERENTIAL BETWEEN 2018 AND 2019</t>
  </si>
  <si>
    <t>21/05/2019</t>
  </si>
  <si>
    <t>27/01/2020</t>
  </si>
  <si>
    <t>21/02/2020</t>
  </si>
  <si>
    <t>16/06/2020</t>
  </si>
  <si>
    <t>26/10/2020</t>
  </si>
  <si>
    <t>27/1/2021</t>
  </si>
  <si>
    <t>TOTAL FOR NIPCO GAS LTD BENIN &amp; IBAFO</t>
  </si>
  <si>
    <t>OCTOBER'13</t>
  </si>
  <si>
    <t>NOVEMBER '13</t>
  </si>
  <si>
    <t>15/01/2014</t>
  </si>
  <si>
    <t>07/10/2016</t>
  </si>
  <si>
    <t>DECEMBER '13</t>
  </si>
  <si>
    <t>17/02/2014</t>
  </si>
  <si>
    <t>13/10/2016</t>
  </si>
  <si>
    <t>APRIL '14</t>
  </si>
  <si>
    <t>16/06/2014</t>
  </si>
  <si>
    <t>24/10/2016</t>
  </si>
  <si>
    <t>MAY'14</t>
  </si>
  <si>
    <t>22/07/2014</t>
  </si>
  <si>
    <t>31/10/2016</t>
  </si>
  <si>
    <t>JUNE '14</t>
  </si>
  <si>
    <t>15/08/2014</t>
  </si>
  <si>
    <t>03/11/2016</t>
  </si>
  <si>
    <t>JULY '14</t>
  </si>
  <si>
    <t>17/01/2017</t>
  </si>
  <si>
    <t>AUGUST '14</t>
  </si>
  <si>
    <t>TOTAL FOR NOTORE</t>
  </si>
  <si>
    <t>OBAJANA DANGOTE</t>
  </si>
  <si>
    <t>BAL B/F AT AT MAY 2017 RECONCILIATION</t>
  </si>
  <si>
    <t>17/11/2014</t>
  </si>
  <si>
    <t>UNDER PAYMENT</t>
  </si>
  <si>
    <t>JUNE 2017</t>
  </si>
  <si>
    <t>JULY 2017</t>
  </si>
  <si>
    <t>28/07/2017</t>
  </si>
  <si>
    <t>NGS134</t>
  </si>
  <si>
    <t>18/11/2017</t>
  </si>
  <si>
    <t>NGS135</t>
  </si>
  <si>
    <t>NGS136</t>
  </si>
  <si>
    <t>NGS137</t>
  </si>
  <si>
    <t>NGS138</t>
  </si>
  <si>
    <t>28/3/2018</t>
  </si>
  <si>
    <t>NGS139</t>
  </si>
  <si>
    <t>NGS140</t>
  </si>
  <si>
    <t>NGS141</t>
  </si>
  <si>
    <t>NGS142</t>
  </si>
  <si>
    <t>NGS143</t>
  </si>
  <si>
    <t>21/9/18</t>
  </si>
  <si>
    <t>NGS145</t>
  </si>
  <si>
    <t>NGS147</t>
  </si>
  <si>
    <t>NGS148</t>
  </si>
  <si>
    <t>NGS149</t>
  </si>
  <si>
    <t>07/06/2019</t>
  </si>
  <si>
    <t>18/07/2019</t>
  </si>
  <si>
    <t>18/09/2019</t>
  </si>
  <si>
    <t>NGS 158</t>
  </si>
  <si>
    <t>NGS 162</t>
  </si>
  <si>
    <t>NGS 163</t>
  </si>
  <si>
    <t>28/03/2020</t>
  </si>
  <si>
    <t>15/07/2020</t>
  </si>
  <si>
    <t>NGS 170</t>
  </si>
  <si>
    <t>NGS 172</t>
  </si>
  <si>
    <t>NGS 173</t>
  </si>
  <si>
    <t>27/01/2021</t>
  </si>
  <si>
    <t>NGS 174</t>
  </si>
  <si>
    <t>NGS 175</t>
  </si>
  <si>
    <t>19/03/2021</t>
  </si>
  <si>
    <t>NGS 176</t>
  </si>
  <si>
    <t>TOTAL FOR OBAJANA</t>
  </si>
  <si>
    <t>10/09/2019</t>
  </si>
  <si>
    <t>29/12/2019</t>
  </si>
  <si>
    <t>23/01/2020</t>
  </si>
  <si>
    <t>18/04/2020</t>
  </si>
  <si>
    <t>29/06/2020</t>
  </si>
  <si>
    <t>20/9/2020</t>
  </si>
  <si>
    <t>21/9/2020</t>
  </si>
  <si>
    <t>TOTAL OLAM NIG LTD</t>
  </si>
  <si>
    <t xml:space="preserve">OMO WOOD </t>
  </si>
  <si>
    <t>MAY'2016 BALC</t>
  </si>
  <si>
    <t>05/10/2016</t>
  </si>
  <si>
    <t>02/10/2016</t>
  </si>
  <si>
    <t>04/11/2016</t>
  </si>
  <si>
    <t>OCTOBER</t>
  </si>
  <si>
    <t>30/03/2017</t>
  </si>
  <si>
    <t>JULY '2017</t>
  </si>
  <si>
    <t>`25/09/2017</t>
  </si>
  <si>
    <t>SEPTEMBER'2017</t>
  </si>
  <si>
    <t>21/05/2018</t>
  </si>
  <si>
    <t>OCTOBER, 2017</t>
  </si>
  <si>
    <t>`26/04/2018</t>
  </si>
  <si>
    <t>JANUARY'18</t>
  </si>
  <si>
    <t>8/03/2019</t>
  </si>
  <si>
    <t>NGS049</t>
  </si>
  <si>
    <t>16/05/2019</t>
  </si>
  <si>
    <t>24/06/2019</t>
  </si>
  <si>
    <t>14/06/2019</t>
  </si>
  <si>
    <t>11/07/2019</t>
  </si>
  <si>
    <t>05/08/2019</t>
  </si>
  <si>
    <t>17/02/2021</t>
  </si>
  <si>
    <t xml:space="preserve">TOTAL FOR OMO WOOD </t>
  </si>
  <si>
    <t>TOTAL OSSIOMO POWER</t>
  </si>
  <si>
    <t>11/05/2018</t>
  </si>
  <si>
    <t>15/06/2017</t>
  </si>
  <si>
    <t>NGS050</t>
  </si>
  <si>
    <t>17/07/2017</t>
  </si>
  <si>
    <t>NGS061</t>
  </si>
  <si>
    <t>11/04/2018</t>
  </si>
  <si>
    <t>`06/06/2018</t>
  </si>
  <si>
    <t>NGS062</t>
  </si>
  <si>
    <t>09/08/2018</t>
  </si>
  <si>
    <t>17/09/2018</t>
  </si>
  <si>
    <t>21/11/2018</t>
  </si>
  <si>
    <t>16/11/2018</t>
  </si>
  <si>
    <t>21/12/2018</t>
  </si>
  <si>
    <t>19/12/2018</t>
  </si>
  <si>
    <t>26/04/2019</t>
  </si>
  <si>
    <t>30/01/2020</t>
  </si>
  <si>
    <t>31/08/2020</t>
  </si>
  <si>
    <t>TOTAL FOR PARAS CAPTIVE</t>
  </si>
  <si>
    <t>15/11/2017</t>
  </si>
  <si>
    <t>20/11/2017</t>
  </si>
  <si>
    <t>`10/01/2018</t>
  </si>
  <si>
    <t>14/1/2018</t>
  </si>
  <si>
    <t>`02/02/2018</t>
  </si>
  <si>
    <t>NGS022</t>
  </si>
  <si>
    <t>15/03/2018</t>
  </si>
  <si>
    <t>NGS023</t>
  </si>
  <si>
    <t>`11/04/2018</t>
  </si>
  <si>
    <t>26/05/2018</t>
  </si>
  <si>
    <t>`11/05/2018</t>
  </si>
  <si>
    <t>17/9/2018</t>
  </si>
  <si>
    <t>19/11/2018</t>
  </si>
  <si>
    <t>NGS 034A</t>
  </si>
  <si>
    <t>NGS 035A</t>
  </si>
  <si>
    <t>NGS 036A</t>
  </si>
  <si>
    <t>NGS 037A</t>
  </si>
  <si>
    <t>TOTAL PARAS EMBEDED</t>
  </si>
  <si>
    <t>PHOENIX STEEL</t>
  </si>
  <si>
    <t>DEC'14</t>
  </si>
  <si>
    <t>BALANCE</t>
  </si>
  <si>
    <t>JANUARY'16</t>
  </si>
  <si>
    <t>25/03/2016</t>
  </si>
  <si>
    <t>MARCH'16</t>
  </si>
  <si>
    <t>2/05/2016</t>
  </si>
  <si>
    <t>20/06/2016</t>
  </si>
  <si>
    <t>20/07/2016</t>
  </si>
  <si>
    <t>25/08/2016</t>
  </si>
  <si>
    <t>10/09/2016</t>
  </si>
  <si>
    <t>08/10/2016</t>
  </si>
  <si>
    <t xml:space="preserve">SEPTEMBER' 16 </t>
  </si>
  <si>
    <t>09/11/2016</t>
  </si>
  <si>
    <t>OCTOBER'16</t>
  </si>
  <si>
    <t>27/01/2017</t>
  </si>
  <si>
    <t>22/02/2017</t>
  </si>
  <si>
    <t>24/03/2017</t>
  </si>
  <si>
    <t>APRIL 2017</t>
  </si>
  <si>
    <t>28/06/2017</t>
  </si>
  <si>
    <t>AUG 2017</t>
  </si>
  <si>
    <t>SEP 2017</t>
  </si>
  <si>
    <t>OCT 2017</t>
  </si>
  <si>
    <t>NOV 2017</t>
  </si>
  <si>
    <t>DEC 2017</t>
  </si>
  <si>
    <t>NGS120</t>
  </si>
  <si>
    <t>FEBRUARY</t>
  </si>
  <si>
    <t>MARCH</t>
  </si>
  <si>
    <t>APRIL</t>
  </si>
  <si>
    <t>MAY</t>
  </si>
  <si>
    <t>JUNE</t>
  </si>
  <si>
    <t>JULY</t>
  </si>
  <si>
    <t>AUGUST</t>
  </si>
  <si>
    <t>13/12/2018</t>
  </si>
  <si>
    <t>SEPTEMBER</t>
  </si>
  <si>
    <t>NOVEMBER</t>
  </si>
  <si>
    <t>JANUARY</t>
  </si>
  <si>
    <t>NGS 136</t>
  </si>
  <si>
    <t>06/08/2019</t>
  </si>
  <si>
    <t>NGS 142</t>
  </si>
  <si>
    <t>02/04/2020</t>
  </si>
  <si>
    <t>26/06/2020</t>
  </si>
  <si>
    <t>27/12/2020</t>
  </si>
  <si>
    <t>28/9/2020</t>
  </si>
  <si>
    <t>30/03/2021</t>
  </si>
  <si>
    <t>TOTAL FOR PHOENIX STEEL</t>
  </si>
  <si>
    <t>NGS 01</t>
  </si>
  <si>
    <t>NGS 02</t>
  </si>
  <si>
    <t>TOTAL PHRC</t>
  </si>
  <si>
    <t>25/04/2017</t>
  </si>
  <si>
    <t>TOTAL FOR PORCELAIN WARE</t>
  </si>
  <si>
    <t>28/10/2019</t>
  </si>
  <si>
    <t>23/02/2020</t>
  </si>
  <si>
    <t>2/10/2020</t>
  </si>
  <si>
    <t>22/03/2021</t>
  </si>
  <si>
    <t>23/04/2021</t>
  </si>
  <si>
    <t>TOTAL PURE CHEM IND LTD</t>
  </si>
  <si>
    <t>11/01/2019</t>
  </si>
  <si>
    <t>14/03/2019</t>
  </si>
  <si>
    <t>06/04/2019</t>
  </si>
  <si>
    <t>28/09/2019</t>
  </si>
  <si>
    <t>17/10/2019</t>
  </si>
  <si>
    <t>NGSV 025</t>
  </si>
  <si>
    <t>18/11/2020</t>
  </si>
  <si>
    <t>24/01/2021</t>
  </si>
  <si>
    <t xml:space="preserve">TOTAL PREMIUM STEEL </t>
  </si>
  <si>
    <t>ADVANCE PAYMENT</t>
  </si>
  <si>
    <t>20/08/2020</t>
  </si>
  <si>
    <t>NGS 06</t>
  </si>
  <si>
    <t xml:space="preserve">TOTAL PRORICH </t>
  </si>
  <si>
    <t>20/04/2016</t>
  </si>
  <si>
    <t>10/06/2016</t>
  </si>
  <si>
    <t>20/05/2016</t>
  </si>
  <si>
    <t>02/08/2016</t>
  </si>
  <si>
    <t>17/06/2016</t>
  </si>
  <si>
    <t>16/08/2016</t>
  </si>
  <si>
    <t>NGS 216</t>
  </si>
  <si>
    <t>NGS 248</t>
  </si>
  <si>
    <t>NGS 249</t>
  </si>
  <si>
    <t>NGS 250</t>
  </si>
  <si>
    <t>NGS 251</t>
  </si>
  <si>
    <t>NGS 252</t>
  </si>
  <si>
    <t>NGS 253</t>
  </si>
  <si>
    <t>NGS 254</t>
  </si>
  <si>
    <t>NGS 255</t>
  </si>
  <si>
    <t>26/09/2019</t>
  </si>
  <si>
    <t>NGS 256</t>
  </si>
  <si>
    <t>NGS 257</t>
  </si>
  <si>
    <t>NGS 258</t>
  </si>
  <si>
    <t>NGS 259</t>
  </si>
  <si>
    <t>NGS 260</t>
  </si>
  <si>
    <t>NGS 261</t>
  </si>
  <si>
    <t>NGS 262</t>
  </si>
  <si>
    <t>NGS 263</t>
  </si>
  <si>
    <t>NGS 264</t>
  </si>
  <si>
    <t>NGS 266</t>
  </si>
  <si>
    <t>NGS 267</t>
  </si>
  <si>
    <t>NGS 268</t>
  </si>
  <si>
    <t>NGS 269</t>
  </si>
  <si>
    <t>NGS 270</t>
  </si>
  <si>
    <t>NGS 271</t>
  </si>
  <si>
    <t>NGS 272</t>
  </si>
  <si>
    <t>NGS 273</t>
  </si>
  <si>
    <t>TOTAL FOR PZ</t>
  </si>
  <si>
    <t>17/02/2020</t>
  </si>
  <si>
    <t>TOTAL QSL AND POWER LIMITED</t>
  </si>
  <si>
    <t>23/04/2020</t>
  </si>
  <si>
    <t>NGS 002A</t>
  </si>
  <si>
    <t>13/7/2020</t>
  </si>
  <si>
    <t>17/09/2020</t>
  </si>
  <si>
    <t>13/04/2021</t>
  </si>
  <si>
    <t>TOTAL QUANTUM STEEL</t>
  </si>
  <si>
    <t>LBL GAS &amp; POWER LTD/ RCCG</t>
  </si>
  <si>
    <t>16/3/2018</t>
  </si>
  <si>
    <t>22/05/2018</t>
  </si>
  <si>
    <t>13/06/2018</t>
  </si>
  <si>
    <t>11/12/2018</t>
  </si>
  <si>
    <t>05/02/2019</t>
  </si>
  <si>
    <t>17/05/2019</t>
  </si>
  <si>
    <t>02/03/2020</t>
  </si>
  <si>
    <t>TOTAL FOR LBL /RCCG</t>
  </si>
  <si>
    <t>NGS'061</t>
  </si>
  <si>
    <t>FEBRUARY' 2018</t>
  </si>
  <si>
    <t>10/12/2018</t>
  </si>
  <si>
    <t>23/04/2019</t>
  </si>
  <si>
    <t>28/05/2018</t>
  </si>
  <si>
    <t>27/12/2019</t>
  </si>
  <si>
    <t>14/06/2020</t>
  </si>
  <si>
    <t>TOTAL FOR RINGARDAS</t>
  </si>
  <si>
    <t>`7/03/2018</t>
  </si>
  <si>
    <t>27/04/2018</t>
  </si>
  <si>
    <t>19/06/2018</t>
  </si>
  <si>
    <t>03/07/2018</t>
  </si>
  <si>
    <t>06/07/2018</t>
  </si>
  <si>
    <t>09/07/2018</t>
  </si>
  <si>
    <t>16/08/2018</t>
  </si>
  <si>
    <t>01/01/2019</t>
  </si>
  <si>
    <t>25/03/2019</t>
  </si>
  <si>
    <t>06/03/2019</t>
  </si>
  <si>
    <t>10/06/2019</t>
  </si>
  <si>
    <t>,25/11/2019</t>
  </si>
  <si>
    <t>23/03/2020</t>
  </si>
  <si>
    <t>NGS  039</t>
  </si>
  <si>
    <t>22/10/2020</t>
  </si>
  <si>
    <t>21/01/2021</t>
  </si>
  <si>
    <t>TOTAL RONSHENG</t>
  </si>
  <si>
    <t>TOTAL RUSAL</t>
  </si>
  <si>
    <t>SAVIN</t>
  </si>
  <si>
    <t>NGS OO1</t>
  </si>
  <si>
    <t>NGS OO2</t>
  </si>
  <si>
    <t>NGS OO3</t>
  </si>
  <si>
    <t>NGS OO4</t>
  </si>
  <si>
    <t>12/06/2020</t>
  </si>
  <si>
    <t>27/06/2020</t>
  </si>
  <si>
    <t>14/8/2020</t>
  </si>
  <si>
    <t>19/02/2021</t>
  </si>
  <si>
    <t>TOTAL SACVIN</t>
  </si>
  <si>
    <t>TOTAL SAGAMU STEEL</t>
  </si>
  <si>
    <t>TOTAL SCOTTS INDUSTRIES LIMITED</t>
  </si>
  <si>
    <t>SEPTEMBER '14</t>
  </si>
  <si>
    <t>24/05/2015</t>
  </si>
  <si>
    <t>OCTOBER '14</t>
  </si>
  <si>
    <t>TOTAL FOR SEVEN ENERGY</t>
  </si>
  <si>
    <t>NGS 006A</t>
  </si>
  <si>
    <t>22/06/2020</t>
  </si>
  <si>
    <t>TOTAL SONIA FOOD</t>
  </si>
  <si>
    <t>TOTAL FOR SPDC OTHERS</t>
  </si>
  <si>
    <t>,08/10/2019</t>
  </si>
  <si>
    <t>,DECEMBER 2019</t>
  </si>
  <si>
    <t>18/03/2020</t>
  </si>
  <si>
    <t>09/04/2020</t>
  </si>
  <si>
    <t>20/07/2020</t>
  </si>
  <si>
    <t>14/08/2020</t>
  </si>
  <si>
    <t>19/10/2020</t>
  </si>
  <si>
    <t>15/01/2020</t>
  </si>
  <si>
    <t>15/04/2021</t>
  </si>
  <si>
    <t>TOTAL SPECIALITY PULP AND PAPER LTD</t>
  </si>
  <si>
    <t xml:space="preserve">STANDARD METALLURGICAL </t>
  </si>
  <si>
    <t>15/10/2016</t>
  </si>
  <si>
    <t>24/01/2018</t>
  </si>
  <si>
    <t>`07/02/2018</t>
  </si>
  <si>
    <t>23/05/2018</t>
  </si>
  <si>
    <t>28/08/2017</t>
  </si>
  <si>
    <t>18/06/2018</t>
  </si>
  <si>
    <t>18/07/2018</t>
  </si>
  <si>
    <t>NGS051</t>
  </si>
  <si>
    <t>NGS052</t>
  </si>
  <si>
    <t>NGS053</t>
  </si>
  <si>
    <t>NGS054</t>
  </si>
  <si>
    <t>NGS055</t>
  </si>
  <si>
    <t>TOTAL FOR STANDARD METALLURGICAL</t>
  </si>
  <si>
    <t>NGS 001B</t>
  </si>
  <si>
    <t>TOTAL STAR PIPE PRODUCT</t>
  </si>
  <si>
    <t xml:space="preserve">NGS 001 </t>
  </si>
  <si>
    <t>06/04/2020</t>
  </si>
  <si>
    <t>11/05/2020</t>
  </si>
  <si>
    <t>TOTAL FOR SUN CONTRACTOR</t>
  </si>
  <si>
    <t xml:space="preserve">TEMPO PULP AND PAPER </t>
  </si>
  <si>
    <t>31/04/2019</t>
  </si>
  <si>
    <t xml:space="preserve"> </t>
  </si>
  <si>
    <t>18/12/2019</t>
  </si>
  <si>
    <t>15/7/2020</t>
  </si>
  <si>
    <t xml:space="preserve">TOTAL TEMPO PULP AND PAPER  </t>
  </si>
  <si>
    <t xml:space="preserve">TEMPO STARCH AND GLUCOSE </t>
  </si>
  <si>
    <t xml:space="preserve">TOTAL TEMPO STARCH AND GLUCOSE </t>
  </si>
  <si>
    <t>15/02/2016</t>
  </si>
  <si>
    <t>13/04/2019</t>
  </si>
  <si>
    <t>15/05/2018</t>
  </si>
  <si>
    <t>15/06/2019</t>
  </si>
  <si>
    <t>15/08/2019</t>
  </si>
  <si>
    <t>11/10/2018</t>
  </si>
  <si>
    <t>14/11/2018</t>
  </si>
  <si>
    <t>30/11/2018</t>
  </si>
  <si>
    <t>03/12/2018</t>
  </si>
  <si>
    <t>22/03/2019</t>
  </si>
  <si>
    <t>15/05/2019</t>
  </si>
  <si>
    <t>15/07/2019</t>
  </si>
  <si>
    <t>13/02/202</t>
  </si>
  <si>
    <t>01/04/2020</t>
  </si>
  <si>
    <t>NGS 058A</t>
  </si>
  <si>
    <t>02/07/2020</t>
  </si>
  <si>
    <t>16/2/2021</t>
  </si>
  <si>
    <t>TOTAL FOR TIME CERAMICS</t>
  </si>
  <si>
    <t>TOWER POWER LTD</t>
  </si>
  <si>
    <t>22/11/2016</t>
  </si>
  <si>
    <t>20/12/2016</t>
  </si>
  <si>
    <t>DEC'16</t>
  </si>
  <si>
    <t>25/01/2017</t>
  </si>
  <si>
    <t>31/05/2017</t>
  </si>
  <si>
    <t>`15/01/2018</t>
  </si>
  <si>
    <t>NGS056</t>
  </si>
  <si>
    <t>NGS057</t>
  </si>
  <si>
    <t>27/03/2018</t>
  </si>
  <si>
    <t>NGS058</t>
  </si>
  <si>
    <t>NGS059</t>
  </si>
  <si>
    <t>NGS060</t>
  </si>
  <si>
    <t>13/11/18</t>
  </si>
  <si>
    <t>TOTAL FOR TOWER POWER LTD</t>
  </si>
  <si>
    <t>NGS 007A</t>
  </si>
  <si>
    <t>NGS 008A</t>
  </si>
  <si>
    <t>18/9/2020</t>
  </si>
  <si>
    <t>DEBIT NOTE  DIFFERENCE IN BILLING</t>
  </si>
  <si>
    <t>TOTAL TRANSIT GAS NIG. LIMITED</t>
  </si>
  <si>
    <t>VENDA CORPORATE NIG. LIMITED</t>
  </si>
  <si>
    <t>TOTAL VENDA CORPORATE NIG. LIMITED</t>
  </si>
  <si>
    <t>WAPCO EWEKORO</t>
  </si>
  <si>
    <t>NGS287</t>
  </si>
  <si>
    <t>NGS 288</t>
  </si>
  <si>
    <t>JUN'17</t>
  </si>
  <si>
    <t>NGS289</t>
  </si>
  <si>
    <t>`11/01/2018</t>
  </si>
  <si>
    <t>NGS290</t>
  </si>
  <si>
    <t>NGS291</t>
  </si>
  <si>
    <t>`05/10/2017</t>
  </si>
  <si>
    <t>`13/04/2018</t>
  </si>
  <si>
    <t>NGS292</t>
  </si>
  <si>
    <t>`05/11/2017</t>
  </si>
  <si>
    <t>13/04/2018</t>
  </si>
  <si>
    <t>NGS293</t>
  </si>
  <si>
    <t>21/03/2018</t>
  </si>
  <si>
    <t>NGS295</t>
  </si>
  <si>
    <t>`28/02/2018</t>
  </si>
  <si>
    <t>NGS296</t>
  </si>
  <si>
    <t>14/07/2018</t>
  </si>
  <si>
    <t>NGS297</t>
  </si>
  <si>
    <t>NGS298</t>
  </si>
  <si>
    <t>NGS299</t>
  </si>
  <si>
    <t>NGS300</t>
  </si>
  <si>
    <t>NGS302</t>
  </si>
  <si>
    <t>23/10/2018</t>
  </si>
  <si>
    <t>NGS303</t>
  </si>
  <si>
    <t>NGS304</t>
  </si>
  <si>
    <t>NGS305</t>
  </si>
  <si>
    <t>NGS306</t>
  </si>
  <si>
    <t>NGS 306</t>
  </si>
  <si>
    <t>NGS 307</t>
  </si>
  <si>
    <t>NGS 308</t>
  </si>
  <si>
    <t>NGS 309</t>
  </si>
  <si>
    <t>NGS 310</t>
  </si>
  <si>
    <t>NGS 311</t>
  </si>
  <si>
    <t>NGS 312</t>
  </si>
  <si>
    <t>NGS 313</t>
  </si>
  <si>
    <t>,05/09/2019</t>
  </si>
  <si>
    <t>NGS 314</t>
  </si>
  <si>
    <t>NGS 315</t>
  </si>
  <si>
    <t>NGS 316</t>
  </si>
  <si>
    <t>NGS 317</t>
  </si>
  <si>
    <t>03/01/2019</t>
  </si>
  <si>
    <t>NGS 318</t>
  </si>
  <si>
    <t>NGS 319</t>
  </si>
  <si>
    <t>NGS 320</t>
  </si>
  <si>
    <t>NGS 321</t>
  </si>
  <si>
    <t>NGS 322</t>
  </si>
  <si>
    <t>NGS 323</t>
  </si>
  <si>
    <t>24/7/2020</t>
  </si>
  <si>
    <t>NGS 324A</t>
  </si>
  <si>
    <t>NGS 325A</t>
  </si>
  <si>
    <t>22/08/2021</t>
  </si>
  <si>
    <t>NGS 327</t>
  </si>
  <si>
    <t>NGS 328</t>
  </si>
  <si>
    <t>NGS 329</t>
  </si>
  <si>
    <t>NGS 330</t>
  </si>
  <si>
    <t>18/02/2021</t>
  </si>
  <si>
    <t>NGS 332</t>
  </si>
  <si>
    <t>NGS 333</t>
  </si>
  <si>
    <t>TOTAL FOR WAPCO EWEKORO</t>
  </si>
  <si>
    <t>WAPCO SHAGAMU</t>
  </si>
  <si>
    <t>NGS307</t>
  </si>
  <si>
    <t>NGS308</t>
  </si>
  <si>
    <t>NGS309</t>
  </si>
  <si>
    <t>NGS310</t>
  </si>
  <si>
    <t>NGS311</t>
  </si>
  <si>
    <t>NGS312</t>
  </si>
  <si>
    <t>NGS313</t>
  </si>
  <si>
    <t>NGS314</t>
  </si>
  <si>
    <t>NGS315</t>
  </si>
  <si>
    <t>NGS 324</t>
  </si>
  <si>
    <t>NGS 325</t>
  </si>
  <si>
    <t>NGS 326B</t>
  </si>
  <si>
    <t>9/10/202</t>
  </si>
  <si>
    <t>TOTAL FOR WAPCO SHAGAMU</t>
  </si>
  <si>
    <t>VOLUME DIFFERENTIALS</t>
  </si>
  <si>
    <t>22/09/2016</t>
  </si>
  <si>
    <t>17/10/2016</t>
  </si>
  <si>
    <t>22/11/2017</t>
  </si>
  <si>
    <t>20/11/2016</t>
  </si>
  <si>
    <t>`18/1/2018</t>
  </si>
  <si>
    <t>18/01/2017</t>
  </si>
  <si>
    <t>20/02/2017</t>
  </si>
  <si>
    <t>`12/1/2018</t>
  </si>
  <si>
    <t>18/04/2017</t>
  </si>
  <si>
    <t>`16/02/2018</t>
  </si>
  <si>
    <t>NGS095</t>
  </si>
  <si>
    <t>20/07/2017</t>
  </si>
  <si>
    <t>NGS096</t>
  </si>
  <si>
    <t>`10/08/2017</t>
  </si>
  <si>
    <t>NGS097</t>
  </si>
  <si>
    <t>`08/09/2017</t>
  </si>
  <si>
    <t>NGS098</t>
  </si>
  <si>
    <t>`08/10/2017</t>
  </si>
  <si>
    <t>NGS099</t>
  </si>
  <si>
    <t>NGS100</t>
  </si>
  <si>
    <t>`29/06/2018</t>
  </si>
  <si>
    <t>NGS101</t>
  </si>
  <si>
    <t>29/05/2018</t>
  </si>
  <si>
    <t>NGS102</t>
  </si>
  <si>
    <t>NGS103</t>
  </si>
  <si>
    <t>NGS104</t>
  </si>
  <si>
    <t>16/05/2018</t>
  </si>
  <si>
    <t>NGS105</t>
  </si>
  <si>
    <t>MAY 2018</t>
  </si>
  <si>
    <t>NGS106</t>
  </si>
  <si>
    <t>`12/10/2018</t>
  </si>
  <si>
    <t>NGS107</t>
  </si>
  <si>
    <t>NGS108</t>
  </si>
  <si>
    <t>AUGUST 2018</t>
  </si>
  <si>
    <t>TOTAL FOR WEMPCO</t>
  </si>
  <si>
    <t>WEST AFRICAN CERAMICS</t>
  </si>
  <si>
    <t>NGS087</t>
  </si>
  <si>
    <t>NGS089</t>
  </si>
  <si>
    <t>29/01/2018</t>
  </si>
  <si>
    <t>NGS090</t>
  </si>
  <si>
    <t>`27/02/2018</t>
  </si>
  <si>
    <t>NGS091</t>
  </si>
  <si>
    <t>NGS092</t>
  </si>
  <si>
    <t>NGS093</t>
  </si>
  <si>
    <t>24/05/2018</t>
  </si>
  <si>
    <t>31/08/2018</t>
  </si>
  <si>
    <t>28/9/2018</t>
  </si>
  <si>
    <t>NGS0100</t>
  </si>
  <si>
    <t>NGS0101</t>
  </si>
  <si>
    <t>NGS0102</t>
  </si>
  <si>
    <t>WHT</t>
  </si>
  <si>
    <t>24/8/2020</t>
  </si>
  <si>
    <t>23/12/2020</t>
  </si>
  <si>
    <t>TOTAL  WEST AFRICAN CERAMICS</t>
  </si>
  <si>
    <t>UP TO DECEMBER 2015</t>
  </si>
  <si>
    <t>13/02/2016</t>
  </si>
  <si>
    <t>NGS 589</t>
  </si>
  <si>
    <t>11/03/2016</t>
  </si>
  <si>
    <t>26/04/2016</t>
  </si>
  <si>
    <t>23/05/2016</t>
  </si>
  <si>
    <t>22/06/2016</t>
  </si>
  <si>
    <t>22/07/2016</t>
  </si>
  <si>
    <t>15/09/2016</t>
  </si>
  <si>
    <t>13/11/2016</t>
  </si>
  <si>
    <t>NGS 598</t>
  </si>
  <si>
    <t>NGS 599</t>
  </si>
  <si>
    <t>04/01/2017</t>
  </si>
  <si>
    <t>NGS 600</t>
  </si>
  <si>
    <t>NGS 601</t>
  </si>
  <si>
    <t>NGS 602</t>
  </si>
  <si>
    <t>NGS 603</t>
  </si>
  <si>
    <t>NGS 604</t>
  </si>
  <si>
    <t>NGS 605</t>
  </si>
  <si>
    <t>NGS 606</t>
  </si>
  <si>
    <t>NGS 607</t>
  </si>
  <si>
    <t>NGS 608</t>
  </si>
  <si>
    <t>NGS 609</t>
  </si>
  <si>
    <t>NGS 610</t>
  </si>
  <si>
    <t>NGS 611</t>
  </si>
  <si>
    <t>NGS 612</t>
  </si>
  <si>
    <t>NGS 613</t>
  </si>
  <si>
    <t>NGS 614</t>
  </si>
  <si>
    <t>NGS 615</t>
  </si>
  <si>
    <t>NGS 616</t>
  </si>
  <si>
    <t>NGS 617</t>
  </si>
  <si>
    <t>NGS 618</t>
  </si>
  <si>
    <t>NGS 619</t>
  </si>
  <si>
    <t>NGS 620</t>
  </si>
  <si>
    <t>NGS 621</t>
  </si>
  <si>
    <t>NGS 622</t>
  </si>
  <si>
    <t>NGS 623</t>
  </si>
  <si>
    <t>NGS 624</t>
  </si>
  <si>
    <t>NGS 625</t>
  </si>
  <si>
    <t>NGS 626</t>
  </si>
  <si>
    <t>NGS 627</t>
  </si>
  <si>
    <t>NGS 628</t>
  </si>
  <si>
    <t>NGS 629</t>
  </si>
  <si>
    <t>NGS 630</t>
  </si>
  <si>
    <t>NGS 631</t>
  </si>
  <si>
    <t>NGS 632</t>
  </si>
  <si>
    <t>NGS 633</t>
  </si>
  <si>
    <t>NGS 634</t>
  </si>
  <si>
    <t>NGS 635</t>
  </si>
  <si>
    <t>NGS 636</t>
  </si>
  <si>
    <t>NGS 637</t>
  </si>
  <si>
    <t>NGS 638</t>
  </si>
  <si>
    <t>NGS 639</t>
  </si>
  <si>
    <t>NGS 640</t>
  </si>
  <si>
    <t>10/09/202</t>
  </si>
  <si>
    <t>NGS 641</t>
  </si>
  <si>
    <t>NGS 642</t>
  </si>
  <si>
    <t>NGS 643</t>
  </si>
  <si>
    <t>NGS 644</t>
  </si>
  <si>
    <t>NGS 645</t>
  </si>
  <si>
    <t>NGS 646</t>
  </si>
  <si>
    <t>NGS 647</t>
  </si>
  <si>
    <t>TOTAL FOR WRPC</t>
  </si>
  <si>
    <t>TOTAL YING ZHE</t>
  </si>
  <si>
    <t>TOTAL YOUNG XING</t>
  </si>
  <si>
    <t>NGS 002B</t>
  </si>
  <si>
    <t>NGS 003B</t>
  </si>
  <si>
    <t>NGS 004B</t>
  </si>
  <si>
    <t>TOTAL YOUNG XING POWER</t>
  </si>
  <si>
    <t>SUB-TOTAL COMMERCIAL</t>
  </si>
  <si>
    <t>(B)  POWER CUSTOMERS</t>
  </si>
  <si>
    <t>JAN TO SEPT 2011</t>
  </si>
  <si>
    <t>12/02/2014</t>
  </si>
  <si>
    <t>TOTAL FOR PHCN</t>
  </si>
  <si>
    <t>JANUARY '14</t>
  </si>
  <si>
    <t>17/03/2014</t>
  </si>
  <si>
    <t>FEBRUARY '14</t>
  </si>
  <si>
    <t>16/04/2014</t>
  </si>
  <si>
    <t>24/08/2018</t>
  </si>
  <si>
    <t>CBN-NEMSF DISBURSEMENT 2018</t>
  </si>
  <si>
    <t>MARCH '14</t>
  </si>
  <si>
    <t>19/05/2014</t>
  </si>
  <si>
    <t>19/11/2014</t>
  </si>
  <si>
    <t>14/12/2014</t>
  </si>
  <si>
    <t>NOVEMBER '14</t>
  </si>
  <si>
    <t>12/01/2015</t>
  </si>
  <si>
    <t>DECEMBER '14</t>
  </si>
  <si>
    <t>14/02/2015</t>
  </si>
  <si>
    <t>JANUARY'15</t>
  </si>
  <si>
    <t>14/03/2015</t>
  </si>
  <si>
    <t>JUNE' 15</t>
  </si>
  <si>
    <t>09/08/2015</t>
  </si>
  <si>
    <t>TOTAL FOR AFAM</t>
  </si>
  <si>
    <t>NGS 544</t>
  </si>
  <si>
    <t>NGS 545</t>
  </si>
  <si>
    <t>NGS 546</t>
  </si>
  <si>
    <t>FEBRUARY'14</t>
  </si>
  <si>
    <t>NGS 547</t>
  </si>
  <si>
    <t>MARCH'14</t>
  </si>
  <si>
    <t>NGS 548</t>
  </si>
  <si>
    <t>NGS 549</t>
  </si>
  <si>
    <t>20/01/2015</t>
  </si>
  <si>
    <t>USED TO SETTLE  PART OF MARCH'14</t>
  </si>
  <si>
    <t>MAY 14</t>
  </si>
  <si>
    <t>NGS 550</t>
  </si>
  <si>
    <t>NGS 551</t>
  </si>
  <si>
    <t>NGS 552</t>
  </si>
  <si>
    <t>NGS 553</t>
  </si>
  <si>
    <t>NGS 554</t>
  </si>
  <si>
    <t>15/02/2015</t>
  </si>
  <si>
    <t>CBN-NEMSF DISBURSEMENT 2015</t>
  </si>
  <si>
    <t>JANUARY '15</t>
  </si>
  <si>
    <t>FEBRUARY'15</t>
  </si>
  <si>
    <t>MARCH'15</t>
  </si>
  <si>
    <t>APRIL'15</t>
  </si>
  <si>
    <t>12/06/2015</t>
  </si>
  <si>
    <t>07/07/2015</t>
  </si>
  <si>
    <t>BALANCE PAYMENT OF N500,000,000.00 MADE ON 7/7/2015</t>
  </si>
  <si>
    <t>MAY' 15</t>
  </si>
  <si>
    <t>23/07/2015</t>
  </si>
  <si>
    <t>19/08/2015</t>
  </si>
  <si>
    <t>07/08/2015</t>
  </si>
  <si>
    <t>8/09/2015</t>
  </si>
  <si>
    <t>JULY' 15</t>
  </si>
  <si>
    <t>11/09/2015</t>
  </si>
  <si>
    <t>08/10/2015</t>
  </si>
  <si>
    <t>16/10/2015</t>
  </si>
  <si>
    <t>03/12/2015</t>
  </si>
  <si>
    <t>NGS 566</t>
  </si>
  <si>
    <t>12/11/2015</t>
  </si>
  <si>
    <t>30/12/2015</t>
  </si>
  <si>
    <t>NGS 567</t>
  </si>
  <si>
    <t>13/12/2015</t>
  </si>
  <si>
    <t>09/02/2016</t>
  </si>
  <si>
    <t>16/02/2016</t>
  </si>
  <si>
    <t>06/04/2016</t>
  </si>
  <si>
    <t>11/04/2016</t>
  </si>
  <si>
    <t>02/05/2016</t>
  </si>
  <si>
    <t>24/05/2016</t>
  </si>
  <si>
    <t>31/05/2016</t>
  </si>
  <si>
    <t>28/06/2016</t>
  </si>
  <si>
    <t>CBN-NEMSF DISBURSEMENT 2016</t>
  </si>
  <si>
    <t>16/09/2016</t>
  </si>
  <si>
    <t>NBET DISBURSEMENT</t>
  </si>
  <si>
    <t>5/04/2017</t>
  </si>
  <si>
    <t>NGS585</t>
  </si>
  <si>
    <t>NGS586</t>
  </si>
  <si>
    <t>NGS587</t>
  </si>
  <si>
    <t>NGS588</t>
  </si>
  <si>
    <t>NGS589</t>
  </si>
  <si>
    <t>NGS590</t>
  </si>
  <si>
    <t>NGS591</t>
  </si>
  <si>
    <t>NGS592</t>
  </si>
  <si>
    <t>NGS593</t>
  </si>
  <si>
    <t>NGS594</t>
  </si>
  <si>
    <t>NGS595</t>
  </si>
  <si>
    <t>NGS596</t>
  </si>
  <si>
    <t>30/05/2018</t>
  </si>
  <si>
    <t>NGS597</t>
  </si>
  <si>
    <t>NGS598</t>
  </si>
  <si>
    <t>REFUND OF WHT</t>
  </si>
  <si>
    <t>VAT BY EGBIN</t>
  </si>
  <si>
    <t>11/09/2020</t>
  </si>
  <si>
    <t>PAYMENT FOR 2015/2016</t>
  </si>
  <si>
    <t>TOTAL FOR EGBIN</t>
  </si>
  <si>
    <t>NOVEMBER'13</t>
  </si>
  <si>
    <t>DECEMBER'13</t>
  </si>
  <si>
    <t>WHT CREDIT NOTES</t>
  </si>
  <si>
    <t>JANUARY'14</t>
  </si>
  <si>
    <t>MARCH' 2014</t>
  </si>
  <si>
    <t>APRIL'14</t>
  </si>
  <si>
    <t>JUNE'14</t>
  </si>
  <si>
    <t>JULY'14</t>
  </si>
  <si>
    <t>AUGUST'14</t>
  </si>
  <si>
    <t>09/1/2015</t>
  </si>
  <si>
    <t>VAT CREDIT NOTE NOV 2013</t>
  </si>
  <si>
    <t>VAT CREDIT NOTE MAR 2014</t>
  </si>
  <si>
    <t>WHT CREDIT NOTE MAR 2014</t>
  </si>
  <si>
    <t>MARCH' 2015</t>
  </si>
  <si>
    <t>MAY 2015</t>
  </si>
  <si>
    <t>JUNE'15</t>
  </si>
  <si>
    <t>JULY'15</t>
  </si>
  <si>
    <t>AUGUST'15</t>
  </si>
  <si>
    <t>21/11/2015</t>
  </si>
  <si>
    <t>11/12/2015</t>
  </si>
  <si>
    <t>15/01/2016</t>
  </si>
  <si>
    <t>13/01/2017</t>
  </si>
  <si>
    <t>14/02/2017</t>
  </si>
  <si>
    <t>22/08/2016</t>
  </si>
  <si>
    <t>20/09/2016</t>
  </si>
  <si>
    <t xml:space="preserve">JANUARY'17 </t>
  </si>
  <si>
    <t>17/04/2017</t>
  </si>
  <si>
    <t>NGS121</t>
  </si>
  <si>
    <t>TOTAL FOR GEREGU</t>
  </si>
  <si>
    <t>03/02/2014</t>
  </si>
  <si>
    <t>05/08/2014</t>
  </si>
  <si>
    <t>PART PAYMENT</t>
  </si>
  <si>
    <t>09/07/2014</t>
  </si>
  <si>
    <t>19/03/2014</t>
  </si>
  <si>
    <t>10/06/2015</t>
  </si>
  <si>
    <t>13/08/2015</t>
  </si>
  <si>
    <t>10/09/2015</t>
  </si>
  <si>
    <t>18/01/2015</t>
  </si>
  <si>
    <t>24/10/2014</t>
  </si>
  <si>
    <t>16/01/2015</t>
  </si>
  <si>
    <t>12/04/2015</t>
  </si>
  <si>
    <t>21/05/2015</t>
  </si>
  <si>
    <t>20/06/2015</t>
  </si>
  <si>
    <t>11/07/2015</t>
  </si>
  <si>
    <t>11/10/2015</t>
  </si>
  <si>
    <t>16/11/2015</t>
  </si>
  <si>
    <t>24/06/2016</t>
  </si>
  <si>
    <t>23/07/2016</t>
  </si>
  <si>
    <t>16/11/2016</t>
  </si>
  <si>
    <t>13/12/2016</t>
  </si>
  <si>
    <t>NOV'16</t>
  </si>
  <si>
    <t>18/02/2017</t>
  </si>
  <si>
    <t>NGS123</t>
  </si>
  <si>
    <t>NGS124</t>
  </si>
  <si>
    <t>NGS126</t>
  </si>
  <si>
    <t>NGS127</t>
  </si>
  <si>
    <t>NGS128</t>
  </si>
  <si>
    <t>NGS129</t>
  </si>
  <si>
    <t>NGS130</t>
  </si>
  <si>
    <t>NGS131</t>
  </si>
  <si>
    <t>NGS132</t>
  </si>
  <si>
    <t>17/9/18</t>
  </si>
  <si>
    <t>28/10/2018</t>
  </si>
  <si>
    <t>0/03/2019</t>
  </si>
  <si>
    <t>NGS 140A</t>
  </si>
  <si>
    <t>23/12/2019</t>
  </si>
  <si>
    <t>REFUND OF VAT</t>
  </si>
  <si>
    <t>TOTAL FOR OMOTOSHO</t>
  </si>
  <si>
    <t>PACIFIC ENERGY LTD OLORUNSHOGO</t>
  </si>
  <si>
    <t>NOVEMBER 2013</t>
  </si>
  <si>
    <t>DECEMBER 2013</t>
  </si>
  <si>
    <t>18/06/2014</t>
  </si>
  <si>
    <t>USED TO SETTLE  PART OF JAN'14</t>
  </si>
  <si>
    <t>21/04/2014</t>
  </si>
  <si>
    <t>07/07/2014</t>
  </si>
  <si>
    <t>09/06/2015</t>
  </si>
  <si>
    <t>MAY '14</t>
  </si>
  <si>
    <t>16/07/2014</t>
  </si>
  <si>
    <t>09/09/2015</t>
  </si>
  <si>
    <t>18/01/2016</t>
  </si>
  <si>
    <t>19/01/2016</t>
  </si>
  <si>
    <t>22/03/2016</t>
  </si>
  <si>
    <t>CBN-NEMSF DISBURSEMENT 2017</t>
  </si>
  <si>
    <t>09/03/2015</t>
  </si>
  <si>
    <t>17/04/2015</t>
  </si>
  <si>
    <t>14/05/2015</t>
  </si>
  <si>
    <t>09/07/2015</t>
  </si>
  <si>
    <t>18/08/2016</t>
  </si>
  <si>
    <t>30/08/2016</t>
  </si>
  <si>
    <t>11/10/2016</t>
  </si>
  <si>
    <t>NGS160</t>
  </si>
  <si>
    <t>NGS161</t>
  </si>
  <si>
    <t>NGS162</t>
  </si>
  <si>
    <t>NGS163</t>
  </si>
  <si>
    <t>NGS164</t>
  </si>
  <si>
    <t>NGS165</t>
  </si>
  <si>
    <t>NGS166</t>
  </si>
  <si>
    <t>NGS113</t>
  </si>
  <si>
    <t>NGS115</t>
  </si>
  <si>
    <t>NGS116</t>
  </si>
  <si>
    <t>NGS117</t>
  </si>
  <si>
    <t>NGS118</t>
  </si>
  <si>
    <t>NGS119</t>
  </si>
  <si>
    <t>NGS122</t>
  </si>
  <si>
    <t>22/10/2018</t>
  </si>
  <si>
    <t>NGS125</t>
  </si>
  <si>
    <t>NGS 127A</t>
  </si>
  <si>
    <t>11/03/2020</t>
  </si>
  <si>
    <t>17/04/2020</t>
  </si>
  <si>
    <t>TOTAL FOR PACIFIC ENERGY LTD OLORUNSHOGO</t>
  </si>
  <si>
    <t>18/06/2015</t>
  </si>
  <si>
    <t>15/10/2015</t>
  </si>
  <si>
    <t>`06/04/2016'</t>
  </si>
  <si>
    <t>05/12/2016</t>
  </si>
  <si>
    <t>09/01/2017</t>
  </si>
  <si>
    <t>`04/04/2017</t>
  </si>
  <si>
    <t>23/03/2016</t>
  </si>
  <si>
    <t>11/05/2016</t>
  </si>
  <si>
    <t>18/10/2016</t>
  </si>
  <si>
    <t>22/04/2017</t>
  </si>
  <si>
    <t>OCTOBER'17</t>
  </si>
  <si>
    <t>NOVEMEBR'17</t>
  </si>
  <si>
    <t>26/06/2018</t>
  </si>
  <si>
    <t>26/07/2018</t>
  </si>
  <si>
    <t>26/09/2018</t>
  </si>
  <si>
    <t>22/03/2020</t>
  </si>
  <si>
    <t>14/08/2019</t>
  </si>
  <si>
    <t>20/5/2020</t>
  </si>
  <si>
    <t>09/03/2020</t>
  </si>
  <si>
    <t>04/05/2020</t>
  </si>
  <si>
    <t>TOTAL FOR SAPELE</t>
  </si>
  <si>
    <t>NOVEMBER (UGHELLI) 2013</t>
  </si>
  <si>
    <t>NGS 020A</t>
  </si>
  <si>
    <t>DECEMBER (UGHELLI) 2013</t>
  </si>
  <si>
    <t>JANUARY 2014</t>
  </si>
  <si>
    <t>FEBRUARY 2014</t>
  </si>
  <si>
    <t>MARCH 2014</t>
  </si>
  <si>
    <t>MAY' 14</t>
  </si>
  <si>
    <t>31/10/2014</t>
  </si>
  <si>
    <t>JANUARY 2015</t>
  </si>
  <si>
    <t>FEBRUARY 2015</t>
  </si>
  <si>
    <t>MARCH 2015</t>
  </si>
  <si>
    <t>16/07/2015</t>
  </si>
  <si>
    <t>03/07/2015</t>
  </si>
  <si>
    <t>05/02/2016</t>
  </si>
  <si>
    <t>03/06/2016</t>
  </si>
  <si>
    <t>27/06/2016</t>
  </si>
  <si>
    <t>15/11/2015</t>
  </si>
  <si>
    <t>19/09/2016</t>
  </si>
  <si>
    <t>26/10/2016</t>
  </si>
  <si>
    <t>18/03/2016</t>
  </si>
  <si>
    <t>21/12/2016</t>
  </si>
  <si>
    <t>21/02/2017</t>
  </si>
  <si>
    <t>08/03/2017</t>
  </si>
  <si>
    <t>`21/04/2017</t>
  </si>
  <si>
    <t>03/01/2017</t>
  </si>
  <si>
    <t>05/02/2017</t>
  </si>
  <si>
    <t>22/03/2017</t>
  </si>
  <si>
    <t>NGS61</t>
  </si>
  <si>
    <t>NGS62</t>
  </si>
  <si>
    <t>NGS63</t>
  </si>
  <si>
    <t>NGS64</t>
  </si>
  <si>
    <t>NGS65</t>
  </si>
  <si>
    <t>NGS66</t>
  </si>
  <si>
    <t>NGS67</t>
  </si>
  <si>
    <t>NGS68</t>
  </si>
  <si>
    <t>NGS69</t>
  </si>
  <si>
    <t>NGS70</t>
  </si>
  <si>
    <t>NGS71</t>
  </si>
  <si>
    <t>NGS72</t>
  </si>
  <si>
    <t>NGS73</t>
  </si>
  <si>
    <t>NGS74</t>
  </si>
  <si>
    <t>NGS75</t>
  </si>
  <si>
    <t>NGS77</t>
  </si>
  <si>
    <t>NGS78</t>
  </si>
  <si>
    <t>NGS79</t>
  </si>
  <si>
    <t>08/03/2019</t>
  </si>
  <si>
    <t>NGS 081A</t>
  </si>
  <si>
    <t>TOTAL FOR UGHELLI POWER</t>
  </si>
  <si>
    <t>SUB TOTAL GENCONS</t>
  </si>
  <si>
    <t xml:space="preserve"> NDPHC GEREGU</t>
  </si>
  <si>
    <t>04/01/2015</t>
  </si>
  <si>
    <t>10/02/2015</t>
  </si>
  <si>
    <t>12/10/2015</t>
  </si>
  <si>
    <t>NEMSF</t>
  </si>
  <si>
    <t>05/04/2015</t>
  </si>
  <si>
    <t>10/12/2015</t>
  </si>
  <si>
    <t>10/05/2015</t>
  </si>
  <si>
    <t>CBN-NEMSF DISBURSEMENT'16</t>
  </si>
  <si>
    <t>11/06/2015</t>
  </si>
  <si>
    <t>CBN-NEMSF DISBURSEMENT'18</t>
  </si>
  <si>
    <t>06/10/2015</t>
  </si>
  <si>
    <t>06/12/2015</t>
  </si>
  <si>
    <t>10/01/2016</t>
  </si>
  <si>
    <t>08/02/2016</t>
  </si>
  <si>
    <t>22/05/2016</t>
  </si>
  <si>
    <t>18/07/2016</t>
  </si>
  <si>
    <t>28/11/2016</t>
  </si>
  <si>
    <t>15/03/2017</t>
  </si>
  <si>
    <t>MARCH, 2018</t>
  </si>
  <si>
    <t>12/03/2020</t>
  </si>
  <si>
    <t>10/09/20193</t>
  </si>
  <si>
    <t>27/04/2020</t>
  </si>
  <si>
    <t>TOTAL FOR NDPHC GEREGU</t>
  </si>
  <si>
    <t>UP TO FEBRUARY 2013</t>
  </si>
  <si>
    <t>13/07/2012</t>
  </si>
  <si>
    <t>CBN-NEMSF DISBURSEMENT</t>
  </si>
  <si>
    <t>TOTAL FOR IBOM POWER</t>
  </si>
  <si>
    <t>NDPHC ALAOJI</t>
  </si>
  <si>
    <t>JUNE '13</t>
  </si>
  <si>
    <t>21/03/2014</t>
  </si>
  <si>
    <t>JULY '13</t>
  </si>
  <si>
    <t>OCTOBER '13</t>
  </si>
  <si>
    <t>OCTOBER'14</t>
  </si>
  <si>
    <t>26/04/2015</t>
  </si>
  <si>
    <t>16/05/2015</t>
  </si>
  <si>
    <t>23/06/2015</t>
  </si>
  <si>
    <t>31/08/2015</t>
  </si>
  <si>
    <t>14/12/2015</t>
  </si>
  <si>
    <t>16/01/2016</t>
  </si>
  <si>
    <t>17/02/2016</t>
  </si>
  <si>
    <t>06/03/2016</t>
  </si>
  <si>
    <t>25/06/2016</t>
  </si>
  <si>
    <t>TOTAL FOR ND ALAOJI</t>
  </si>
  <si>
    <t>NDPHC OLORUNSOGO</t>
  </si>
  <si>
    <t>07/01/2015</t>
  </si>
  <si>
    <t>10/03/2015</t>
  </si>
  <si>
    <t>08/06/2015</t>
  </si>
  <si>
    <t>06/07/2015</t>
  </si>
  <si>
    <t>02/08/2015</t>
  </si>
  <si>
    <t>10/10/2015</t>
  </si>
  <si>
    <t>07/11/2015</t>
  </si>
  <si>
    <t>08/12/2015</t>
  </si>
  <si>
    <t>24/01/2016</t>
  </si>
  <si>
    <t>22/04/2016</t>
  </si>
  <si>
    <t>21/06/2016</t>
  </si>
  <si>
    <t>08/12/2016</t>
  </si>
  <si>
    <t>FEBRAUARY' 2017</t>
  </si>
  <si>
    <t>25/03/2018</t>
  </si>
  <si>
    <t>NGS088</t>
  </si>
  <si>
    <t>TOTAL FOR NDPHC OLORUNSOGO</t>
  </si>
  <si>
    <t xml:space="preserve"> NDPHC OMOTOSHO</t>
  </si>
  <si>
    <t>11/01/2015</t>
  </si>
  <si>
    <t>13/10/2015</t>
  </si>
  <si>
    <t>07/04/2015</t>
  </si>
  <si>
    <t>15/06/2016</t>
  </si>
  <si>
    <t>04/08/2015</t>
  </si>
  <si>
    <t>11/11/2015</t>
  </si>
  <si>
    <t>4/04/2016</t>
  </si>
  <si>
    <t>15/07/2016</t>
  </si>
  <si>
    <t>03/10/2016</t>
  </si>
  <si>
    <t>14/01/2017</t>
  </si>
  <si>
    <t>28/02/207</t>
  </si>
  <si>
    <t>JANAURY' 2017</t>
  </si>
  <si>
    <t>MARCH' 17</t>
  </si>
  <si>
    <t>25/09/2017</t>
  </si>
  <si>
    <t>NGS074</t>
  </si>
  <si>
    <t>NGS08</t>
  </si>
  <si>
    <t>08/05/2019</t>
  </si>
  <si>
    <t xml:space="preserve">TOTAL FOR NDPHC OMOTOSHO </t>
  </si>
  <si>
    <t>NDPHC SAPELE</t>
  </si>
  <si>
    <t>12/05/2016</t>
  </si>
  <si>
    <t>21/07/2016</t>
  </si>
  <si>
    <t>20/082016</t>
  </si>
  <si>
    <t>15/09/82016</t>
  </si>
  <si>
    <t>TOTAL FOR NDPHC SAPELE</t>
  </si>
  <si>
    <t>NDPHC IHOVBOR</t>
  </si>
  <si>
    <t>09/02/2015</t>
  </si>
  <si>
    <t>`06/08/2018</t>
  </si>
  <si>
    <t>12/04/2016</t>
  </si>
  <si>
    <t>10/04/2017</t>
  </si>
  <si>
    <t>TOTAL FOR ND IHOVBOR</t>
  </si>
  <si>
    <t xml:space="preserve">SUB TOTAL NDPHCN </t>
  </si>
  <si>
    <t>POWER SECTOR TOTAL</t>
  </si>
  <si>
    <t>GRAND TOTAL INDEBTEDNESS</t>
  </si>
  <si>
    <t>OUTSTANDING NUMBER OF DAYS</t>
  </si>
  <si>
    <t>MM/DD/YR</t>
  </si>
  <si>
    <t>11/22/2020</t>
  </si>
  <si>
    <t xml:space="preserve">DUE DATE  </t>
  </si>
  <si>
    <t xml:space="preserve">INDUSTRIAL PROJECT </t>
  </si>
  <si>
    <t>13/8/2014</t>
  </si>
  <si>
    <t>04/06/2019</t>
  </si>
  <si>
    <t>7/07/2019</t>
  </si>
  <si>
    <t>08/01/2019</t>
  </si>
  <si>
    <t>11/6/2019</t>
  </si>
  <si>
    <t>12/5/2019</t>
  </si>
  <si>
    <t>10/28/2018</t>
  </si>
  <si>
    <t>11/28/2018</t>
  </si>
  <si>
    <t>12/28/2018</t>
  </si>
  <si>
    <t>2/28/2019</t>
  </si>
  <si>
    <t>GRAND TOTAL</t>
  </si>
  <si>
    <t>date input should be : mm/dd/yyyy</t>
  </si>
  <si>
    <t>date is in real time no need to change</t>
  </si>
  <si>
    <t>Period ending: input date as: mm-dd-yy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</si>
</sst>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.mm\.yyyy;@"/>
    <numFmt numFmtId="165" formatCode="_-* #,##0.00_-;\-* #,##0.00_-;_-* &quot;-&quot;??_-;_-@_-"/>
    <numFmt numFmtId="166" formatCode="dd/mm/yyyy;@"/>
    <numFmt numFmtId="167" formatCode="_(* #,##0.00_);_(* \(#,##0.00\);_(* &quot;-&quot;_);_(@_)"/>
    <numFmt numFmtId="168" formatCode="dd\.mm\.yy;@"/>
    <numFmt numFmtId="169" formatCode="[$-F800]dddd\,\ mmmm\ dd\,\ yyyy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indexed="8"/>
      <name val="Calibri"/>
      <family val="2"/>
    </font>
    <font>
      <sz val="10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4"/>
      <color theme="1"/>
      <name val="Verdana"/>
      <family val="2"/>
    </font>
    <font>
      <b/>
      <sz val="14"/>
      <name val="Verdana"/>
      <family val="2"/>
    </font>
    <font>
      <sz val="14"/>
      <color theme="1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14"/>
      <name val="Calibri"/>
      <family val="2"/>
      <scheme val="minor"/>
    </font>
    <font>
      <sz val="12"/>
      <color rgb="FFFF0000"/>
      <name val="Verdana"/>
      <family val="2"/>
    </font>
    <font>
      <sz val="12"/>
      <color rgb="FF000000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FF0000"/>
      <name val="Verdana"/>
      <family val="2"/>
    </font>
    <font>
      <b/>
      <sz val="12"/>
      <color theme="1"/>
      <name val="Cambria"/>
      <family val="1"/>
    </font>
    <font>
      <b/>
      <sz val="14"/>
      <name val="Calibri"/>
      <family val="2"/>
      <scheme val="minor"/>
    </font>
    <font>
      <b/>
      <strike/>
      <sz val="12"/>
      <color theme="1"/>
      <name val="Times New Roman"/>
      <family val="1"/>
    </font>
    <font>
      <b/>
      <sz val="14"/>
      <name val="Arial"/>
      <family val="2"/>
    </font>
    <font>
      <sz val="12"/>
      <color rgb="FF000000"/>
      <name val="SansSerif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2"/>
      <color rgb="FF00B050"/>
      <name val="Verdana"/>
      <family val="2"/>
    </font>
    <font>
      <b/>
      <sz val="12"/>
      <color rgb="FF000000"/>
      <name val="Verdana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sz val="11"/>
      <color indexed="81"/>
      <name val="Tahoma"/>
      <family val="2"/>
    </font>
    <font>
      <b/>
      <sz val="12"/>
      <color indexed="81"/>
      <name val="Century Gothic"/>
      <family val="2"/>
    </font>
    <font>
      <sz val="14"/>
      <color indexed="81"/>
      <name val="Century Gothic"/>
      <family val="2"/>
    </font>
    <font>
      <b/>
      <sz val="11"/>
      <color indexed="81"/>
      <name val="Tahoma"/>
      <family val="2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</patternFill>
    </fill>
    <fill>
      <patternFill patternType="gray0625">
        <bgColor theme="0"/>
      </patternFill>
    </fill>
    <fill>
      <patternFill patternType="gray0625">
        <fgColor theme="2" tint="-0.24994659260841701"/>
        <bgColor indexed="65"/>
      </patternFill>
    </fill>
    <fill>
      <patternFill patternType="solid">
        <fgColor rgb="FFF5FBF5"/>
      </patternFill>
    </fill>
    <fill>
      <patternFill patternType="solid">
        <fgColor rgb="FFFFFF00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theme="4" tint="0.39997558519241921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1" fillId="0" borderId="0"/>
    <xf numFmtId="165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8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8" fillId="0" borderId="0"/>
  </cellStyleXfs>
  <cellXfs count="637">
    <xf numFmtId="0" fontId="0" fillId="0" borderId="0" xfId="0"/>
    <xf numFmtId="43" fontId="0" fillId="0" borderId="0" xfId="1" applyFont="1"/>
    <xf numFmtId="0" fontId="0" fillId="0" borderId="0" xfId="0" applyAlignment="1">
      <alignment horizontal="right"/>
    </xf>
    <xf numFmtId="0" fontId="0" fillId="0" borderId="5" xfId="0" applyBorder="1"/>
    <xf numFmtId="43" fontId="0" fillId="0" borderId="5" xfId="1" applyFont="1" applyBorder="1"/>
    <xf numFmtId="0" fontId="0" fillId="0" borderId="8" xfId="0" applyBorder="1"/>
    <xf numFmtId="43" fontId="0" fillId="0" borderId="8" xfId="1" applyFont="1" applyBorder="1"/>
    <xf numFmtId="0" fontId="8" fillId="0" borderId="5" xfId="0" applyFont="1" applyBorder="1"/>
    <xf numFmtId="0" fontId="10" fillId="0" borderId="5" xfId="0" applyFont="1" applyBorder="1"/>
    <xf numFmtId="0" fontId="11" fillId="10" borderId="1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 wrapText="1"/>
    </xf>
    <xf numFmtId="164" fontId="11" fillId="10" borderId="5" xfId="0" applyNumberFormat="1" applyFont="1" applyFill="1" applyBorder="1" applyAlignment="1">
      <alignment horizontal="left" wrapText="1"/>
    </xf>
    <xf numFmtId="165" fontId="11" fillId="10" borderId="13" xfId="1" applyNumberFormat="1" applyFont="1" applyFill="1" applyBorder="1" applyAlignment="1">
      <alignment horizontal="center" wrapText="1"/>
    </xf>
    <xf numFmtId="0" fontId="12" fillId="9" borderId="2" xfId="0" applyFont="1" applyFill="1" applyBorder="1" applyAlignment="1">
      <alignment horizontal="center" wrapText="1"/>
    </xf>
    <xf numFmtId="0" fontId="11" fillId="10" borderId="2" xfId="0" applyFont="1" applyFill="1" applyBorder="1" applyAlignment="1">
      <alignment horizontal="center" wrapText="1"/>
    </xf>
    <xf numFmtId="165" fontId="11" fillId="10" borderId="2" xfId="1" applyNumberFormat="1" applyFont="1" applyFill="1" applyBorder="1" applyAlignment="1">
      <alignment horizontal="center" wrapText="1"/>
    </xf>
    <xf numFmtId="43" fontId="11" fillId="10" borderId="3" xfId="1" applyFont="1" applyFill="1" applyBorder="1" applyAlignment="1">
      <alignment horizontal="center" wrapText="1"/>
    </xf>
    <xf numFmtId="0" fontId="13" fillId="0" borderId="7" xfId="0" applyFont="1" applyBorder="1"/>
    <xf numFmtId="0" fontId="13" fillId="0" borderId="5" xfId="0" applyFont="1" applyBorder="1"/>
    <xf numFmtId="0" fontId="7" fillId="9" borderId="4" xfId="0" applyFont="1" applyFill="1" applyBorder="1" applyAlignment="1">
      <alignment horizontal="left"/>
    </xf>
    <xf numFmtId="0" fontId="7" fillId="7" borderId="4" xfId="0" applyFont="1" applyFill="1" applyBorder="1" applyAlignment="1">
      <alignment horizontal="left"/>
    </xf>
    <xf numFmtId="0" fontId="7" fillId="9" borderId="16" xfId="0" applyFont="1" applyFill="1" applyBorder="1" applyAlignment="1">
      <alignment horizontal="left" wrapText="1"/>
    </xf>
    <xf numFmtId="164" fontId="7" fillId="9" borderId="5" xfId="0" applyNumberFormat="1" applyFont="1" applyFill="1" applyBorder="1" applyAlignment="1">
      <alignment horizontal="left" wrapText="1"/>
    </xf>
    <xf numFmtId="165" fontId="7" fillId="9" borderId="17" xfId="1" applyNumberFormat="1" applyFont="1" applyFill="1" applyBorder="1" applyAlignment="1">
      <alignment horizontal="left" wrapText="1"/>
    </xf>
    <xf numFmtId="0" fontId="14" fillId="9" borderId="4" xfId="0" applyFont="1" applyFill="1" applyBorder="1" applyAlignment="1">
      <alignment horizontal="left" wrapText="1"/>
    </xf>
    <xf numFmtId="0" fontId="7" fillId="9" borderId="4" xfId="0" applyFont="1" applyFill="1" applyBorder="1" applyAlignment="1">
      <alignment horizontal="left" wrapText="1"/>
    </xf>
    <xf numFmtId="165" fontId="7" fillId="9" borderId="4" xfId="1" applyNumberFormat="1" applyFont="1" applyFill="1" applyBorder="1" applyAlignment="1">
      <alignment horizontal="left" wrapText="1"/>
    </xf>
    <xf numFmtId="43" fontId="7" fillId="9" borderId="4" xfId="1" applyFont="1" applyFill="1" applyBorder="1" applyAlignment="1">
      <alignment horizontal="left" wrapText="1"/>
    </xf>
    <xf numFmtId="0" fontId="8" fillId="9" borderId="5" xfId="0" applyFont="1" applyFill="1" applyBorder="1" applyAlignment="1">
      <alignment horizontal="left"/>
    </xf>
    <xf numFmtId="0" fontId="7" fillId="0" borderId="5" xfId="0" applyFont="1" applyBorder="1"/>
    <xf numFmtId="16" fontId="8" fillId="9" borderId="5" xfId="0" applyNumberFormat="1" applyFont="1" applyFill="1" applyBorder="1" applyAlignment="1">
      <alignment horizontal="left"/>
    </xf>
    <xf numFmtId="0" fontId="8" fillId="9" borderId="6" xfId="0" applyFont="1" applyFill="1" applyBorder="1" applyAlignment="1">
      <alignment horizontal="left"/>
    </xf>
    <xf numFmtId="164" fontId="8" fillId="9" borderId="5" xfId="0" applyNumberFormat="1" applyFont="1" applyFill="1" applyBorder="1" applyAlignment="1">
      <alignment horizontal="left"/>
    </xf>
    <xf numFmtId="165" fontId="8" fillId="9" borderId="7" xfId="5" applyFont="1" applyFill="1" applyBorder="1"/>
    <xf numFmtId="166" fontId="8" fillId="9" borderId="5" xfId="0" quotePrefix="1" applyNumberFormat="1" applyFont="1" applyFill="1" applyBorder="1" applyAlignment="1">
      <alignment horizontal="right"/>
    </xf>
    <xf numFmtId="165" fontId="15" fillId="9" borderId="5" xfId="5" quotePrefix="1" applyFont="1" applyFill="1" applyBorder="1" applyAlignment="1">
      <alignment horizontal="center"/>
    </xf>
    <xf numFmtId="43" fontId="8" fillId="0" borderId="5" xfId="0" applyNumberFormat="1" applyFont="1" applyBorder="1"/>
    <xf numFmtId="43" fontId="7" fillId="0" borderId="5" xfId="0" applyNumberFormat="1" applyFont="1" applyBorder="1"/>
    <xf numFmtId="43" fontId="8" fillId="0" borderId="5" xfId="1" applyFont="1" applyFill="1" applyBorder="1" applyAlignment="1">
      <alignment wrapText="1"/>
    </xf>
    <xf numFmtId="165" fontId="8" fillId="9" borderId="5" xfId="0" applyNumberFormat="1" applyFont="1" applyFill="1" applyBorder="1"/>
    <xf numFmtId="0" fontId="8" fillId="9" borderId="5" xfId="0" applyFont="1" applyFill="1" applyBorder="1"/>
    <xf numFmtId="16" fontId="8" fillId="9" borderId="5" xfId="0" quotePrefix="1" applyNumberFormat="1" applyFont="1" applyFill="1" applyBorder="1" applyAlignment="1">
      <alignment horizontal="left"/>
    </xf>
    <xf numFmtId="165" fontId="8" fillId="9" borderId="5" xfId="5" quotePrefix="1" applyFont="1" applyFill="1" applyBorder="1" applyAlignment="1">
      <alignment horizontal="center"/>
    </xf>
    <xf numFmtId="14" fontId="16" fillId="0" borderId="5" xfId="1" applyNumberFormat="1" applyFont="1" applyBorder="1" applyAlignment="1">
      <alignment horizontal="center"/>
    </xf>
    <xf numFmtId="0" fontId="8" fillId="9" borderId="14" xfId="0" applyFont="1" applyFill="1" applyBorder="1" applyAlignment="1">
      <alignment horizontal="left"/>
    </xf>
    <xf numFmtId="0" fontId="7" fillId="0" borderId="6" xfId="0" applyFont="1" applyBorder="1"/>
    <xf numFmtId="165" fontId="15" fillId="9" borderId="5" xfId="5" applyFont="1" applyFill="1" applyBorder="1"/>
    <xf numFmtId="165" fontId="15" fillId="9" borderId="0" xfId="5" applyFont="1" applyFill="1"/>
    <xf numFmtId="165" fontId="7" fillId="0" borderId="6" xfId="5" applyFont="1" applyBorder="1"/>
    <xf numFmtId="0" fontId="14" fillId="0" borderId="5" xfId="0" applyFont="1" applyBorder="1"/>
    <xf numFmtId="0" fontId="8" fillId="0" borderId="6" xfId="0" applyFont="1" applyBorder="1"/>
    <xf numFmtId="164" fontId="8" fillId="0" borderId="5" xfId="0" applyNumberFormat="1" applyFont="1" applyBorder="1" applyAlignment="1">
      <alignment horizontal="left"/>
    </xf>
    <xf numFmtId="0" fontId="8" fillId="0" borderId="7" xfId="0" applyFont="1" applyBorder="1"/>
    <xf numFmtId="0" fontId="15" fillId="9" borderId="5" xfId="0" applyFont="1" applyFill="1" applyBorder="1"/>
    <xf numFmtId="43" fontId="8" fillId="0" borderId="5" xfId="1" applyFont="1" applyBorder="1"/>
    <xf numFmtId="0" fontId="7" fillId="9" borderId="5" xfId="0" applyFont="1" applyFill="1" applyBorder="1" applyAlignment="1">
      <alignment horizontal="center"/>
    </xf>
    <xf numFmtId="0" fontId="7" fillId="9" borderId="5" xfId="0" applyFont="1" applyFill="1" applyBorder="1"/>
    <xf numFmtId="0" fontId="8" fillId="9" borderId="5" xfId="0" applyFont="1" applyFill="1" applyBorder="1" applyAlignment="1">
      <alignment horizontal="right"/>
    </xf>
    <xf numFmtId="165" fontId="8" fillId="9" borderId="5" xfId="5" applyFont="1" applyFill="1" applyBorder="1"/>
    <xf numFmtId="43" fontId="8" fillId="9" borderId="5" xfId="1" applyFont="1" applyFill="1" applyBorder="1"/>
    <xf numFmtId="166" fontId="17" fillId="9" borderId="5" xfId="0" quotePrefix="1" applyNumberFormat="1" applyFont="1" applyFill="1" applyBorder="1" applyAlignment="1">
      <alignment horizontal="right"/>
    </xf>
    <xf numFmtId="0" fontId="15" fillId="0" borderId="5" xfId="0" quotePrefix="1" applyFont="1" applyBorder="1" applyAlignment="1">
      <alignment horizontal="left"/>
    </xf>
    <xf numFmtId="4" fontId="15" fillId="9" borderId="5" xfId="0" applyNumberFormat="1" applyFont="1" applyFill="1" applyBorder="1"/>
    <xf numFmtId="165" fontId="7" fillId="9" borderId="5" xfId="5" applyFont="1" applyFill="1" applyBorder="1"/>
    <xf numFmtId="165" fontId="7" fillId="0" borderId="5" xfId="5" applyFont="1" applyFill="1" applyBorder="1"/>
    <xf numFmtId="16" fontId="8" fillId="0" borderId="5" xfId="0" applyNumberFormat="1" applyFont="1" applyFill="1" applyBorder="1" applyAlignment="1">
      <alignment horizontal="left" vertical="top"/>
    </xf>
    <xf numFmtId="0" fontId="15" fillId="0" borderId="6" xfId="0" applyNumberFormat="1" applyFont="1" applyFill="1" applyBorder="1" applyAlignment="1" applyProtection="1">
      <alignment horizontal="left"/>
    </xf>
    <xf numFmtId="164" fontId="15" fillId="0" borderId="5" xfId="0" applyNumberFormat="1" applyFont="1" applyFill="1" applyBorder="1" applyAlignment="1" applyProtection="1">
      <alignment horizontal="left"/>
    </xf>
    <xf numFmtId="4" fontId="15" fillId="0" borderId="7" xfId="0" applyNumberFormat="1" applyFont="1" applyFill="1" applyBorder="1" applyAlignment="1" applyProtection="1">
      <alignment horizontal="right"/>
    </xf>
    <xf numFmtId="0" fontId="8" fillId="0" borderId="5" xfId="0" applyFont="1" applyFill="1" applyBorder="1" applyAlignment="1">
      <alignment horizontal="right"/>
    </xf>
    <xf numFmtId="43" fontId="8" fillId="0" borderId="5" xfId="1" applyFont="1" applyFill="1" applyBorder="1" applyAlignment="1">
      <alignment horizontal="left" wrapText="1"/>
    </xf>
    <xf numFmtId="167" fontId="7" fillId="0" borderId="5" xfId="0" applyNumberFormat="1" applyFont="1" applyFill="1" applyBorder="1"/>
    <xf numFmtId="165" fontId="8" fillId="9" borderId="5" xfId="5" applyFont="1" applyFill="1" applyBorder="1" applyAlignment="1">
      <alignment horizontal="center"/>
    </xf>
    <xf numFmtId="16" fontId="8" fillId="9" borderId="5" xfId="0" applyNumberFormat="1" applyFont="1" applyFill="1" applyBorder="1"/>
    <xf numFmtId="14" fontId="8" fillId="9" borderId="5" xfId="0" quotePrefix="1" applyNumberFormat="1" applyFont="1" applyFill="1" applyBorder="1" applyAlignment="1">
      <alignment horizontal="right"/>
    </xf>
    <xf numFmtId="0" fontId="8" fillId="9" borderId="5" xfId="0" quotePrefix="1" applyFont="1" applyFill="1" applyBorder="1" applyAlignment="1">
      <alignment horizontal="right"/>
    </xf>
    <xf numFmtId="17" fontId="8" fillId="9" borderId="5" xfId="0" applyNumberFormat="1" applyFont="1" applyFill="1" applyBorder="1"/>
    <xf numFmtId="43" fontId="8" fillId="0" borderId="7" xfId="0" applyNumberFormat="1" applyFont="1" applyBorder="1"/>
    <xf numFmtId="165" fontId="7" fillId="9" borderId="5" xfId="5" applyFont="1" applyFill="1" applyBorder="1" applyAlignment="1">
      <alignment horizontal="center"/>
    </xf>
    <xf numFmtId="166" fontId="8" fillId="9" borderId="14" xfId="0" quotePrefix="1" applyNumberFormat="1" applyFont="1" applyFill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5" fontId="7" fillId="0" borderId="5" xfId="1" applyNumberFormat="1" applyFont="1" applyFill="1" applyBorder="1" applyAlignment="1">
      <alignment horizontal="left"/>
    </xf>
    <xf numFmtId="4" fontId="14" fillId="0" borderId="7" xfId="0" applyNumberFormat="1" applyFont="1" applyFill="1" applyBorder="1" applyAlignment="1" applyProtection="1">
      <alignment horizontal="right"/>
    </xf>
    <xf numFmtId="165" fontId="18" fillId="11" borderId="14" xfId="1" applyNumberFormat="1" applyFont="1" applyFill="1" applyBorder="1" applyAlignment="1" applyProtection="1">
      <alignment horizontal="right" wrapText="1"/>
      <protection locked="0"/>
    </xf>
    <xf numFmtId="165" fontId="7" fillId="0" borderId="5" xfId="1" applyNumberFormat="1" applyFont="1" applyFill="1" applyBorder="1"/>
    <xf numFmtId="165" fontId="8" fillId="9" borderId="7" xfId="1" applyNumberFormat="1" applyFont="1" applyFill="1" applyBorder="1"/>
    <xf numFmtId="166" fontId="15" fillId="9" borderId="5" xfId="0" quotePrefix="1" applyNumberFormat="1" applyFont="1" applyFill="1" applyBorder="1" applyAlignment="1">
      <alignment horizontal="center"/>
    </xf>
    <xf numFmtId="165" fontId="7" fillId="9" borderId="5" xfId="1" applyNumberFormat="1" applyFont="1" applyFill="1" applyBorder="1" applyAlignment="1">
      <alignment horizontal="center"/>
    </xf>
    <xf numFmtId="4" fontId="15" fillId="0" borderId="7" xfId="5" quotePrefix="1" applyNumberFormat="1" applyFont="1" applyBorder="1" applyAlignment="1">
      <alignment horizontal="right"/>
    </xf>
    <xf numFmtId="14" fontId="8" fillId="9" borderId="0" xfId="0" applyNumberFormat="1" applyFont="1" applyFill="1" applyBorder="1" applyAlignment="1">
      <alignment horizontal="right"/>
    </xf>
    <xf numFmtId="0" fontId="15" fillId="9" borderId="5" xfId="0" applyNumberFormat="1" applyFont="1" applyFill="1" applyBorder="1"/>
    <xf numFmtId="0" fontId="8" fillId="9" borderId="5" xfId="0" quotePrefix="1" applyFont="1" applyFill="1" applyBorder="1"/>
    <xf numFmtId="16" fontId="8" fillId="9" borderId="5" xfId="0" quotePrefix="1" applyNumberFormat="1" applyFont="1" applyFill="1" applyBorder="1"/>
    <xf numFmtId="4" fontId="15" fillId="0" borderId="7" xfId="5" quotePrefix="1" applyNumberFormat="1" applyFont="1" applyFill="1" applyBorder="1" applyAlignment="1">
      <alignment horizontal="right"/>
    </xf>
    <xf numFmtId="165" fontId="8" fillId="9" borderId="7" xfId="5" applyFont="1" applyFill="1" applyBorder="1" applyAlignment="1">
      <alignment horizontal="right"/>
    </xf>
    <xf numFmtId="14" fontId="8" fillId="9" borderId="5" xfId="0" applyNumberFormat="1" applyFont="1" applyFill="1" applyBorder="1" applyAlignment="1">
      <alignment horizontal="right"/>
    </xf>
    <xf numFmtId="0" fontId="8" fillId="9" borderId="0" xfId="0" applyFont="1" applyFill="1" applyBorder="1" applyAlignment="1">
      <alignment horizontal="right"/>
    </xf>
    <xf numFmtId="14" fontId="8" fillId="9" borderId="14" xfId="0" applyNumberFormat="1" applyFont="1" applyFill="1" applyBorder="1" applyAlignment="1">
      <alignment horizontal="right"/>
    </xf>
    <xf numFmtId="0" fontId="8" fillId="9" borderId="5" xfId="0" quotePrefix="1" applyFont="1" applyFill="1" applyBorder="1" applyAlignment="1">
      <alignment horizontal="left"/>
    </xf>
    <xf numFmtId="165" fontId="15" fillId="9" borderId="0" xfId="5" applyFont="1" applyFill="1" applyBorder="1"/>
    <xf numFmtId="4" fontId="15" fillId="0" borderId="14" xfId="5" quotePrefix="1" applyNumberFormat="1" applyFont="1" applyFill="1" applyBorder="1" applyAlignment="1">
      <alignment horizontal="right"/>
    </xf>
    <xf numFmtId="16" fontId="15" fillId="9" borderId="5" xfId="0" applyNumberFormat="1" applyFont="1" applyFill="1" applyBorder="1" applyAlignment="1">
      <alignment horizontal="left"/>
    </xf>
    <xf numFmtId="0" fontId="15" fillId="9" borderId="6" xfId="0" applyFont="1" applyFill="1" applyBorder="1" applyAlignment="1">
      <alignment horizontal="left"/>
    </xf>
    <xf numFmtId="165" fontId="15" fillId="9" borderId="7" xfId="5" applyFont="1" applyFill="1" applyBorder="1" applyAlignment="1">
      <alignment horizontal="right"/>
    </xf>
    <xf numFmtId="14" fontId="15" fillId="9" borderId="5" xfId="0" quotePrefix="1" applyNumberFormat="1" applyFont="1" applyFill="1" applyBorder="1" applyAlignment="1">
      <alignment horizontal="right"/>
    </xf>
    <xf numFmtId="0" fontId="8" fillId="9" borderId="5" xfId="0" quotePrefix="1" applyNumberFormat="1" applyFont="1" applyFill="1" applyBorder="1" applyAlignment="1">
      <alignment horizontal="right"/>
    </xf>
    <xf numFmtId="0" fontId="8" fillId="9" borderId="7" xfId="0" quotePrefix="1" applyFont="1" applyFill="1" applyBorder="1" applyAlignment="1">
      <alignment horizontal="right"/>
    </xf>
    <xf numFmtId="0" fontId="8" fillId="9" borderId="0" xfId="0" quotePrefix="1" applyFont="1" applyFill="1" applyBorder="1"/>
    <xf numFmtId="0" fontId="7" fillId="9" borderId="5" xfId="0" applyFont="1" applyFill="1" applyBorder="1" applyAlignment="1">
      <alignment horizontal="left"/>
    </xf>
    <xf numFmtId="43" fontId="8" fillId="9" borderId="5" xfId="0" applyNumberFormat="1" applyFont="1" applyFill="1" applyBorder="1"/>
    <xf numFmtId="16" fontId="15" fillId="9" borderId="5" xfId="0" quotePrefix="1" applyNumberFormat="1" applyFont="1" applyFill="1" applyBorder="1" applyAlignment="1">
      <alignment horizontal="left"/>
    </xf>
    <xf numFmtId="0" fontId="15" fillId="9" borderId="0" xfId="0" applyFont="1" applyFill="1" applyBorder="1"/>
    <xf numFmtId="0" fontId="8" fillId="9" borderId="0" xfId="0" applyFont="1" applyFill="1" applyBorder="1"/>
    <xf numFmtId="0" fontId="7" fillId="9" borderId="6" xfId="0" applyFont="1" applyFill="1" applyBorder="1"/>
    <xf numFmtId="165" fontId="15" fillId="9" borderId="5" xfId="1" quotePrefix="1" applyNumberFormat="1" applyFont="1" applyFill="1" applyBorder="1" applyAlignment="1">
      <alignment horizontal="center"/>
    </xf>
    <xf numFmtId="43" fontId="7" fillId="9" borderId="5" xfId="0" applyNumberFormat="1" applyFont="1" applyFill="1" applyBorder="1"/>
    <xf numFmtId="0" fontId="8" fillId="9" borderId="14" xfId="0" quotePrefix="1" applyFont="1" applyFill="1" applyBorder="1" applyAlignment="1">
      <alignment horizontal="right"/>
    </xf>
    <xf numFmtId="4" fontId="8" fillId="9" borderId="7" xfId="0" applyNumberFormat="1" applyFont="1" applyFill="1" applyBorder="1" applyAlignment="1">
      <alignment horizontal="right"/>
    </xf>
    <xf numFmtId="0" fontId="8" fillId="9" borderId="14" xfId="0" applyFont="1" applyFill="1" applyBorder="1" applyAlignment="1">
      <alignment horizontal="right"/>
    </xf>
    <xf numFmtId="0" fontId="14" fillId="0" borderId="5" xfId="0" quotePrefix="1" applyFont="1" applyBorder="1" applyAlignment="1">
      <alignment horizontal="left"/>
    </xf>
    <xf numFmtId="165" fontId="15" fillId="9" borderId="5" xfId="5" applyFont="1" applyFill="1" applyBorder="1" applyAlignment="1">
      <alignment horizontal="right"/>
    </xf>
    <xf numFmtId="14" fontId="8" fillId="9" borderId="0" xfId="0" quotePrefix="1" applyNumberFormat="1" applyFont="1" applyFill="1" applyBorder="1" applyAlignment="1">
      <alignment horizontal="right"/>
    </xf>
    <xf numFmtId="0" fontId="7" fillId="9" borderId="5" xfId="0" quotePrefix="1" applyFont="1" applyFill="1" applyBorder="1" applyAlignment="1">
      <alignment horizontal="center"/>
    </xf>
    <xf numFmtId="43" fontId="8" fillId="9" borderId="5" xfId="1" applyFont="1" applyFill="1" applyBorder="1" applyAlignment="1">
      <alignment wrapText="1"/>
    </xf>
    <xf numFmtId="0" fontId="8" fillId="0" borderId="5" xfId="0" quotePrefix="1" applyFont="1" applyBorder="1" applyAlignment="1">
      <alignment horizontal="right"/>
    </xf>
    <xf numFmtId="43" fontId="17" fillId="9" borderId="5" xfId="1" applyFont="1" applyFill="1" applyBorder="1"/>
    <xf numFmtId="0" fontId="8" fillId="0" borderId="0" xfId="0" applyFont="1"/>
    <xf numFmtId="43" fontId="15" fillId="9" borderId="0" xfId="1" applyFont="1" applyFill="1"/>
    <xf numFmtId="43" fontId="8" fillId="9" borderId="5" xfId="1" applyFont="1" applyFill="1" applyBorder="1" applyAlignment="1">
      <alignment horizontal="right"/>
    </xf>
    <xf numFmtId="165" fontId="17" fillId="9" borderId="5" xfId="5" applyFont="1" applyFill="1" applyBorder="1" applyAlignment="1">
      <alignment horizontal="right"/>
    </xf>
    <xf numFmtId="43" fontId="17" fillId="0" borderId="5" xfId="1" applyFont="1" applyFill="1" applyBorder="1" applyAlignment="1">
      <alignment wrapText="1"/>
    </xf>
    <xf numFmtId="14" fontId="8" fillId="0" borderId="5" xfId="0" applyNumberFormat="1" applyFont="1" applyBorder="1" applyAlignment="1">
      <alignment horizontal="right"/>
    </xf>
    <xf numFmtId="0" fontId="8" fillId="9" borderId="5" xfId="0" applyFont="1" applyFill="1" applyBorder="1" applyAlignment="1">
      <alignment horizontal="center"/>
    </xf>
    <xf numFmtId="4" fontId="15" fillId="0" borderId="5" xfId="5" quotePrefix="1" applyNumberFormat="1" applyFont="1" applyBorder="1" applyAlignment="1">
      <alignment horizontal="right"/>
    </xf>
    <xf numFmtId="4" fontId="15" fillId="0" borderId="0" xfId="5" quotePrefix="1" applyNumberFormat="1" applyFont="1" applyBorder="1" applyAlignment="1">
      <alignment horizontal="right"/>
    </xf>
    <xf numFmtId="4" fontId="15" fillId="0" borderId="6" xfId="5" quotePrefix="1" applyNumberFormat="1" applyFont="1" applyBorder="1" applyAlignment="1">
      <alignment horizontal="right"/>
    </xf>
    <xf numFmtId="4" fontId="15" fillId="0" borderId="5" xfId="5" quotePrefix="1" applyNumberFormat="1" applyFont="1" applyFill="1" applyBorder="1" applyAlignment="1">
      <alignment horizontal="right"/>
    </xf>
    <xf numFmtId="14" fontId="8" fillId="0" borderId="5" xfId="0" applyNumberFormat="1" applyFont="1" applyBorder="1"/>
    <xf numFmtId="0" fontId="8" fillId="0" borderId="5" xfId="0" applyFont="1" applyBorder="1" applyAlignment="1">
      <alignment wrapText="1"/>
    </xf>
    <xf numFmtId="16" fontId="8" fillId="9" borderId="6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165" fontId="8" fillId="9" borderId="14" xfId="5" applyFont="1" applyFill="1" applyBorder="1" applyAlignment="1">
      <alignment horizontal="left"/>
    </xf>
    <xf numFmtId="165" fontId="8" fillId="9" borderId="5" xfId="5" quotePrefix="1" applyFont="1" applyFill="1" applyBorder="1" applyAlignment="1">
      <alignment horizontal="right"/>
    </xf>
    <xf numFmtId="165" fontId="15" fillId="0" borderId="7" xfId="5" quotePrefix="1" applyFont="1" applyFill="1" applyBorder="1" applyAlignment="1">
      <alignment horizontal="right"/>
    </xf>
    <xf numFmtId="165" fontId="15" fillId="0" borderId="14" xfId="5" quotePrefix="1" applyFont="1" applyFill="1" applyBorder="1" applyAlignment="1">
      <alignment horizontal="right"/>
    </xf>
    <xf numFmtId="165" fontId="8" fillId="9" borderId="7" xfId="5" applyFont="1" applyFill="1" applyBorder="1" applyAlignment="1">
      <alignment horizontal="center"/>
    </xf>
    <xf numFmtId="17" fontId="8" fillId="9" borderId="5" xfId="0" applyNumberFormat="1" applyFont="1" applyFill="1" applyBorder="1" applyAlignment="1">
      <alignment horizontal="left"/>
    </xf>
    <xf numFmtId="43" fontId="15" fillId="0" borderId="5" xfId="1" quotePrefix="1" applyFont="1" applyBorder="1" applyAlignment="1">
      <alignment horizontal="right"/>
    </xf>
    <xf numFmtId="165" fontId="15" fillId="0" borderId="7" xfId="5" applyFont="1" applyFill="1" applyBorder="1" applyAlignment="1">
      <alignment horizontal="right"/>
    </xf>
    <xf numFmtId="14" fontId="15" fillId="9" borderId="7" xfId="0" quotePrefix="1" applyNumberFormat="1" applyFont="1" applyFill="1" applyBorder="1" applyAlignment="1">
      <alignment horizontal="right"/>
    </xf>
    <xf numFmtId="0" fontId="8" fillId="9" borderId="6" xfId="0" applyFont="1" applyFill="1" applyBorder="1"/>
    <xf numFmtId="0" fontId="8" fillId="9" borderId="7" xfId="0" applyFont="1" applyFill="1" applyBorder="1"/>
    <xf numFmtId="16" fontId="14" fillId="9" borderId="5" xfId="0" quotePrefix="1" applyNumberFormat="1" applyFont="1" applyFill="1" applyBorder="1" applyAlignment="1">
      <alignment horizontal="left"/>
    </xf>
    <xf numFmtId="165" fontId="14" fillId="9" borderId="5" xfId="5" applyFont="1" applyFill="1" applyBorder="1"/>
    <xf numFmtId="16" fontId="8" fillId="9" borderId="7" xfId="0" applyNumberFormat="1" applyFont="1" applyFill="1" applyBorder="1" applyAlignment="1">
      <alignment horizontal="left"/>
    </xf>
    <xf numFmtId="165" fontId="7" fillId="9" borderId="5" xfId="5" quotePrefix="1" applyFont="1" applyFill="1" applyBorder="1" applyAlignment="1">
      <alignment horizontal="center"/>
    </xf>
    <xf numFmtId="165" fontId="19" fillId="0" borderId="7" xfId="5" applyFont="1" applyBorder="1"/>
    <xf numFmtId="0" fontId="7" fillId="0" borderId="0" xfId="0" applyFont="1"/>
    <xf numFmtId="43" fontId="15" fillId="9" borderId="5" xfId="1" applyFont="1" applyFill="1" applyBorder="1"/>
    <xf numFmtId="0" fontId="8" fillId="0" borderId="14" xfId="0" applyFont="1" applyBorder="1"/>
    <xf numFmtId="165" fontId="8" fillId="0" borderId="7" xfId="5" applyFont="1" applyFill="1" applyBorder="1" applyAlignment="1"/>
    <xf numFmtId="166" fontId="8" fillId="9" borderId="7" xfId="0" quotePrefix="1" applyNumberFormat="1" applyFont="1" applyFill="1" applyBorder="1" applyAlignment="1">
      <alignment horizontal="right"/>
    </xf>
    <xf numFmtId="165" fontId="8" fillId="0" borderId="7" xfId="5" applyFont="1" applyBorder="1"/>
    <xf numFmtId="165" fontId="8" fillId="0" borderId="5" xfId="5" applyFont="1" applyBorder="1"/>
    <xf numFmtId="165" fontId="8" fillId="9" borderId="7" xfId="5" quotePrefix="1" applyFont="1" applyFill="1" applyBorder="1" applyAlignment="1">
      <alignment horizontal="center"/>
    </xf>
    <xf numFmtId="0" fontId="15" fillId="0" borderId="6" xfId="0" applyFont="1" applyFill="1" applyBorder="1" applyAlignment="1">
      <alignment horizontal="left"/>
    </xf>
    <xf numFmtId="14" fontId="8" fillId="9" borderId="5" xfId="0" applyNumberFormat="1" applyFont="1" applyFill="1" applyBorder="1" applyAlignment="1">
      <alignment horizontal="center"/>
    </xf>
    <xf numFmtId="14" fontId="8" fillId="9" borderId="5" xfId="0" applyNumberFormat="1" applyFont="1" applyFill="1" applyBorder="1" applyAlignment="1">
      <alignment horizontal="left"/>
    </xf>
    <xf numFmtId="165" fontId="8" fillId="9" borderId="7" xfId="5" applyFont="1" applyFill="1" applyBorder="1" applyAlignment="1">
      <alignment horizontal="left"/>
    </xf>
    <xf numFmtId="165" fontId="17" fillId="9" borderId="5" xfId="5" applyFont="1" applyFill="1" applyBorder="1"/>
    <xf numFmtId="4" fontId="17" fillId="0" borderId="14" xfId="5" quotePrefix="1" applyNumberFormat="1" applyFont="1" applyFill="1" applyBorder="1" applyAlignment="1">
      <alignment horizontal="right"/>
    </xf>
    <xf numFmtId="4" fontId="15" fillId="9" borderId="5" xfId="5" quotePrefix="1" applyNumberFormat="1" applyFont="1" applyFill="1" applyBorder="1" applyAlignment="1">
      <alignment horizontal="right"/>
    </xf>
    <xf numFmtId="16" fontId="17" fillId="9" borderId="5" xfId="0" quotePrefix="1" applyNumberFormat="1" applyFont="1" applyFill="1" applyBorder="1" applyAlignment="1">
      <alignment horizontal="left"/>
    </xf>
    <xf numFmtId="165" fontId="20" fillId="9" borderId="5" xfId="5" quotePrefix="1" applyFont="1" applyFill="1" applyBorder="1" applyAlignment="1">
      <alignment horizontal="center"/>
    </xf>
    <xf numFmtId="43" fontId="8" fillId="9" borderId="5" xfId="1" applyFont="1" applyFill="1" applyBorder="1" applyAlignment="1">
      <alignment horizontal="center" wrapText="1"/>
    </xf>
    <xf numFmtId="43" fontId="8" fillId="9" borderId="5" xfId="1" applyFont="1" applyFill="1" applyBorder="1" applyAlignment="1">
      <alignment horizontal="center"/>
    </xf>
    <xf numFmtId="165" fontId="15" fillId="9" borderId="5" xfId="5" applyFont="1" applyFill="1" applyBorder="1" applyAlignment="1">
      <alignment wrapText="1"/>
    </xf>
    <xf numFmtId="14" fontId="15" fillId="9" borderId="5" xfId="0" quotePrefix="1" applyNumberFormat="1" applyFont="1" applyFill="1" applyBorder="1" applyAlignment="1">
      <alignment horizontal="center"/>
    </xf>
    <xf numFmtId="0" fontId="14" fillId="0" borderId="6" xfId="0" applyFont="1" applyFill="1" applyBorder="1" applyAlignment="1">
      <alignment horizontal="left"/>
    </xf>
    <xf numFmtId="165" fontId="14" fillId="9" borderId="5" xfId="5" quotePrefix="1" applyFont="1" applyFill="1" applyBorder="1" applyAlignment="1">
      <alignment horizontal="center"/>
    </xf>
    <xf numFmtId="43" fontId="15" fillId="9" borderId="5" xfId="1" quotePrefix="1" applyFont="1" applyFill="1" applyBorder="1" applyAlignment="1">
      <alignment horizontal="right"/>
    </xf>
    <xf numFmtId="43" fontId="15" fillId="9" borderId="5" xfId="1" quotePrefix="1" applyFont="1" applyFill="1" applyBorder="1" applyAlignment="1">
      <alignment horizontal="center"/>
    </xf>
    <xf numFmtId="0" fontId="15" fillId="9" borderId="6" xfId="0" applyFont="1" applyFill="1" applyBorder="1" applyAlignment="1"/>
    <xf numFmtId="164" fontId="8" fillId="9" borderId="5" xfId="0" quotePrefix="1" applyNumberFormat="1" applyFont="1" applyFill="1" applyBorder="1" applyAlignment="1">
      <alignment horizontal="right"/>
    </xf>
    <xf numFmtId="0" fontId="8" fillId="0" borderId="14" xfId="0" quotePrefix="1" applyFont="1" applyBorder="1" applyAlignment="1">
      <alignment horizontal="right"/>
    </xf>
    <xf numFmtId="14" fontId="16" fillId="0" borderId="14" xfId="1" applyNumberFormat="1" applyFont="1" applyBorder="1" applyAlignment="1">
      <alignment horizontal="center"/>
    </xf>
    <xf numFmtId="16" fontId="7" fillId="9" borderId="5" xfId="0" applyNumberFormat="1" applyFont="1" applyFill="1" applyBorder="1" applyAlignment="1">
      <alignment horizontal="left"/>
    </xf>
    <xf numFmtId="0" fontId="7" fillId="9" borderId="6" xfId="0" applyFont="1" applyFill="1" applyBorder="1" applyAlignment="1">
      <alignment horizontal="left"/>
    </xf>
    <xf numFmtId="14" fontId="22" fillId="0" borderId="5" xfId="1" applyNumberFormat="1" applyFont="1" applyBorder="1" applyAlignment="1">
      <alignment horizontal="center"/>
    </xf>
    <xf numFmtId="165" fontId="7" fillId="9" borderId="7" xfId="5" applyFont="1" applyFill="1" applyBorder="1"/>
    <xf numFmtId="0" fontId="7" fillId="0" borderId="14" xfId="0" quotePrefix="1" applyFont="1" applyBorder="1" applyAlignment="1">
      <alignment horizontal="right"/>
    </xf>
    <xf numFmtId="0" fontId="14" fillId="9" borderId="5" xfId="0" applyFont="1" applyFill="1" applyBorder="1"/>
    <xf numFmtId="166" fontId="7" fillId="9" borderId="5" xfId="0" quotePrefix="1" applyNumberFormat="1" applyFont="1" applyFill="1" applyBorder="1" applyAlignment="1">
      <alignment horizontal="right"/>
    </xf>
    <xf numFmtId="43" fontId="7" fillId="9" borderId="5" xfId="1" applyFont="1" applyFill="1" applyBorder="1"/>
    <xf numFmtId="0" fontId="8" fillId="0" borderId="0" xfId="0" quotePrefix="1" applyFont="1" applyAlignment="1">
      <alignment horizontal="right"/>
    </xf>
    <xf numFmtId="4" fontId="8" fillId="0" borderId="0" xfId="0" applyNumberFormat="1" applyFont="1"/>
    <xf numFmtId="16" fontId="15" fillId="0" borderId="5" xfId="0" quotePrefix="1" applyNumberFormat="1" applyFont="1" applyFill="1" applyBorder="1" applyAlignment="1">
      <alignment horizontal="left"/>
    </xf>
    <xf numFmtId="14" fontId="15" fillId="0" borderId="5" xfId="0" quotePrefix="1" applyNumberFormat="1" applyFont="1" applyFill="1" applyBorder="1" applyAlignment="1">
      <alignment horizontal="right"/>
    </xf>
    <xf numFmtId="165" fontId="8" fillId="9" borderId="5" xfId="5" applyFont="1" applyFill="1" applyBorder="1" applyAlignment="1">
      <alignment horizontal="right"/>
    </xf>
    <xf numFmtId="0" fontId="8" fillId="0" borderId="6" xfId="0" applyFont="1" applyBorder="1" applyAlignment="1">
      <alignment horizontal="left"/>
    </xf>
    <xf numFmtId="0" fontId="8" fillId="0" borderId="5" xfId="0" applyFont="1" applyBorder="1" applyAlignment="1">
      <alignment horizontal="right"/>
    </xf>
    <xf numFmtId="0" fontId="8" fillId="0" borderId="14" xfId="0" applyFont="1" applyBorder="1" applyAlignment="1">
      <alignment horizontal="right"/>
    </xf>
    <xf numFmtId="43" fontId="15" fillId="9" borderId="0" xfId="1" applyFont="1" applyFill="1" applyBorder="1"/>
    <xf numFmtId="4" fontId="15" fillId="9" borderId="5" xfId="0" applyNumberFormat="1" applyFont="1" applyFill="1" applyBorder="1" applyAlignment="1" applyProtection="1">
      <alignment horizontal="right"/>
    </xf>
    <xf numFmtId="0" fontId="8" fillId="0" borderId="5" xfId="0" quotePrefix="1" applyFont="1" applyFill="1" applyBorder="1" applyAlignment="1">
      <alignment horizontal="right"/>
    </xf>
    <xf numFmtId="0" fontId="23" fillId="0" borderId="0" xfId="0" applyFont="1"/>
    <xf numFmtId="14" fontId="8" fillId="0" borderId="5" xfId="0" quotePrefix="1" applyNumberFormat="1" applyFont="1" applyFill="1" applyBorder="1" applyAlignment="1">
      <alignment horizontal="right"/>
    </xf>
    <xf numFmtId="165" fontId="15" fillId="9" borderId="5" xfId="1" applyNumberFormat="1" applyFont="1" applyFill="1" applyBorder="1"/>
    <xf numFmtId="165" fontId="8" fillId="0" borderId="5" xfId="1" applyNumberFormat="1" applyFont="1" applyBorder="1"/>
    <xf numFmtId="165" fontId="7" fillId="0" borderId="5" xfId="5" applyFont="1" applyFill="1" applyBorder="1" applyAlignment="1">
      <alignment horizontal="left"/>
    </xf>
    <xf numFmtId="165" fontId="15" fillId="0" borderId="7" xfId="5" applyFont="1" applyFill="1" applyBorder="1" applyAlignment="1" applyProtection="1">
      <alignment horizontal="right"/>
    </xf>
    <xf numFmtId="0" fontId="8" fillId="9" borderId="5" xfId="0" applyFont="1" applyFill="1" applyBorder="1" applyAlignment="1"/>
    <xf numFmtId="165" fontId="8" fillId="9" borderId="7" xfId="5" applyFont="1" applyFill="1" applyBorder="1" applyAlignment="1"/>
    <xf numFmtId="165" fontId="15" fillId="0" borderId="7" xfId="5" applyFont="1" applyFill="1" applyBorder="1"/>
    <xf numFmtId="43" fontId="15" fillId="9" borderId="5" xfId="6" applyFont="1" applyFill="1" applyBorder="1"/>
    <xf numFmtId="0" fontId="15" fillId="9" borderId="0" xfId="0" applyFont="1" applyFill="1"/>
    <xf numFmtId="14" fontId="0" fillId="0" borderId="0" xfId="1" applyNumberFormat="1" applyFont="1" applyAlignment="1">
      <alignment horizontal="center"/>
    </xf>
    <xf numFmtId="165" fontId="8" fillId="9" borderId="5" xfId="5" quotePrefix="1" applyFont="1" applyFill="1" applyBorder="1"/>
    <xf numFmtId="165" fontId="8" fillId="0" borderId="7" xfId="1" applyNumberFormat="1" applyFont="1" applyBorder="1"/>
    <xf numFmtId="164" fontId="8" fillId="9" borderId="5" xfId="1" quotePrefix="1" applyNumberFormat="1" applyFont="1" applyFill="1" applyBorder="1" applyAlignment="1">
      <alignment horizontal="right"/>
    </xf>
    <xf numFmtId="165" fontId="8" fillId="9" borderId="5" xfId="1" applyNumberFormat="1" applyFont="1" applyFill="1" applyBorder="1"/>
    <xf numFmtId="165" fontId="8" fillId="0" borderId="5" xfId="1" quotePrefix="1" applyNumberFormat="1" applyFont="1" applyBorder="1" applyAlignment="1">
      <alignment horizontal="right"/>
    </xf>
    <xf numFmtId="165" fontId="8" fillId="9" borderId="5" xfId="1" quotePrefix="1" applyNumberFormat="1" applyFont="1" applyFill="1" applyBorder="1" applyAlignment="1">
      <alignment horizontal="center"/>
    </xf>
    <xf numFmtId="165" fontId="8" fillId="0" borderId="7" xfId="1" applyNumberFormat="1" applyFont="1" applyBorder="1" applyAlignment="1">
      <alignment horizontal="center"/>
    </xf>
    <xf numFmtId="165" fontId="8" fillId="9" borderId="5" xfId="1" quotePrefix="1" applyNumberFormat="1" applyFont="1" applyFill="1" applyBorder="1" applyAlignment="1">
      <alignment horizontal="right"/>
    </xf>
    <xf numFmtId="165" fontId="8" fillId="9" borderId="5" xfId="1" applyNumberFormat="1" applyFont="1" applyFill="1" applyBorder="1" applyAlignment="1">
      <alignment horizontal="right"/>
    </xf>
    <xf numFmtId="166" fontId="8" fillId="0" borderId="5" xfId="0" applyNumberFormat="1" applyFont="1" applyBorder="1" applyAlignment="1">
      <alignment horizontal="right"/>
    </xf>
    <xf numFmtId="165" fontId="7" fillId="9" borderId="5" xfId="1" quotePrefix="1" applyNumberFormat="1" applyFont="1" applyFill="1" applyBorder="1" applyAlignment="1">
      <alignment horizontal="center"/>
    </xf>
    <xf numFmtId="17" fontId="8" fillId="9" borderId="5" xfId="0" quotePrefix="1" applyNumberFormat="1" applyFont="1" applyFill="1" applyBorder="1" applyAlignment="1">
      <alignment horizontal="left"/>
    </xf>
    <xf numFmtId="14" fontId="8" fillId="9" borderId="6" xfId="0" quotePrefix="1" applyNumberFormat="1" applyFont="1" applyFill="1" applyBorder="1" applyAlignment="1">
      <alignment horizontal="right"/>
    </xf>
    <xf numFmtId="17" fontId="7" fillId="9" borderId="5" xfId="0" applyNumberFormat="1" applyFont="1" applyFill="1" applyBorder="1" applyAlignment="1">
      <alignment horizontal="center"/>
    </xf>
    <xf numFmtId="43" fontId="25" fillId="0" borderId="5" xfId="1" applyFont="1" applyFill="1" applyBorder="1" applyAlignment="1" applyProtection="1">
      <alignment horizontal="right" vertical="center" wrapText="1"/>
    </xf>
    <xf numFmtId="43" fontId="8" fillId="0" borderId="5" xfId="1" applyFont="1" applyFill="1" applyBorder="1"/>
    <xf numFmtId="43" fontId="15" fillId="9" borderId="5" xfId="0" applyNumberFormat="1" applyFont="1" applyFill="1" applyBorder="1"/>
    <xf numFmtId="43" fontId="14" fillId="9" borderId="5" xfId="0" applyNumberFormat="1" applyFont="1" applyFill="1" applyBorder="1"/>
    <xf numFmtId="0" fontId="26" fillId="0" borderId="5" xfId="0" applyFont="1" applyBorder="1"/>
    <xf numFmtId="165" fontId="27" fillId="9" borderId="0" xfId="5" applyFont="1" applyFill="1"/>
    <xf numFmtId="0" fontId="8" fillId="0" borderId="0" xfId="0" applyFont="1" applyAlignment="1">
      <alignment horizontal="right"/>
    </xf>
    <xf numFmtId="4" fontId="15" fillId="0" borderId="5" xfId="5" quotePrefix="1" applyNumberFormat="1" applyFont="1" applyBorder="1" applyAlignment="1">
      <alignment horizontal="left"/>
    </xf>
    <xf numFmtId="4" fontId="15" fillId="9" borderId="5" xfId="7" applyNumberFormat="1" applyFont="1" applyFill="1" applyBorder="1" applyAlignment="1">
      <alignment horizontal="right"/>
    </xf>
    <xf numFmtId="4" fontId="15" fillId="9" borderId="5" xfId="8" quotePrefix="1" applyNumberFormat="1" applyFont="1" applyFill="1" applyBorder="1" applyAlignment="1">
      <alignment horizontal="right"/>
    </xf>
    <xf numFmtId="0" fontId="19" fillId="0" borderId="0" xfId="0" quotePrefix="1" applyFont="1"/>
    <xf numFmtId="0" fontId="19" fillId="0" borderId="0" xfId="0" applyFont="1"/>
    <xf numFmtId="165" fontId="15" fillId="9" borderId="6" xfId="5" applyFont="1" applyFill="1" applyBorder="1"/>
    <xf numFmtId="0" fontId="19" fillId="0" borderId="5" xfId="0" applyFont="1" applyBorder="1"/>
    <xf numFmtId="14" fontId="19" fillId="0" borderId="0" xfId="0" applyNumberFormat="1" applyFont="1"/>
    <xf numFmtId="0" fontId="27" fillId="9" borderId="5" xfId="0" applyFont="1" applyFill="1" applyBorder="1"/>
    <xf numFmtId="14" fontId="8" fillId="0" borderId="5" xfId="0" applyNumberFormat="1" applyFont="1" applyFill="1" applyBorder="1" applyAlignment="1">
      <alignment horizontal="right"/>
    </xf>
    <xf numFmtId="165" fontId="8" fillId="9" borderId="5" xfId="1" applyNumberFormat="1" applyFont="1" applyFill="1" applyBorder="1" applyAlignment="1">
      <alignment horizontal="center"/>
    </xf>
    <xf numFmtId="4" fontId="15" fillId="0" borderId="7" xfId="1" quotePrefix="1" applyNumberFormat="1" applyFont="1" applyFill="1" applyBorder="1" applyAlignment="1">
      <alignment horizontal="right"/>
    </xf>
    <xf numFmtId="43" fontId="15" fillId="0" borderId="5" xfId="9" applyFont="1" applyBorder="1"/>
    <xf numFmtId="165" fontId="7" fillId="0" borderId="6" xfId="1" applyNumberFormat="1" applyFont="1" applyFill="1" applyBorder="1"/>
    <xf numFmtId="0" fontId="8" fillId="0" borderId="5" xfId="0" applyNumberFormat="1" applyFont="1" applyBorder="1"/>
    <xf numFmtId="43" fontId="8" fillId="0" borderId="8" xfId="1" applyFont="1" applyFill="1" applyBorder="1" applyAlignment="1">
      <alignment wrapText="1"/>
    </xf>
    <xf numFmtId="43" fontId="8" fillId="0" borderId="5" xfId="1" applyFont="1" applyFill="1" applyBorder="1" applyAlignment="1"/>
    <xf numFmtId="0" fontId="8" fillId="0" borderId="5" xfId="0" applyFont="1" applyFill="1" applyBorder="1" applyAlignment="1"/>
    <xf numFmtId="165" fontId="8" fillId="0" borderId="5" xfId="5" applyFont="1" applyFill="1" applyBorder="1" applyAlignment="1"/>
    <xf numFmtId="43" fontId="8" fillId="0" borderId="0" xfId="1" applyFont="1"/>
    <xf numFmtId="16" fontId="8" fillId="0" borderId="5" xfId="0" quotePrefix="1" applyNumberFormat="1" applyFont="1" applyFill="1" applyBorder="1" applyAlignment="1">
      <alignment horizontal="left"/>
    </xf>
    <xf numFmtId="0" fontId="8" fillId="0" borderId="5" xfId="0" applyFont="1" applyFill="1" applyBorder="1" applyAlignment="1">
      <alignment horizontal="left"/>
    </xf>
    <xf numFmtId="165" fontId="15" fillId="9" borderId="5" xfId="5" quotePrefix="1" applyFont="1" applyFill="1" applyBorder="1" applyAlignment="1">
      <alignment horizontal="right"/>
    </xf>
    <xf numFmtId="0" fontId="8" fillId="0" borderId="14" xfId="0" quotePrefix="1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0" fillId="0" borderId="5" xfId="0" applyFont="1" applyBorder="1"/>
    <xf numFmtId="0" fontId="8" fillId="9" borderId="6" xfId="0" applyFont="1" applyFill="1" applyBorder="1" applyAlignment="1">
      <alignment horizontal="right"/>
    </xf>
    <xf numFmtId="0" fontId="8" fillId="9" borderId="6" xfId="0" quotePrefix="1" applyFont="1" applyFill="1" applyBorder="1" applyAlignment="1">
      <alignment horizontal="right"/>
    </xf>
    <xf numFmtId="14" fontId="8" fillId="9" borderId="5" xfId="0" quotePrefix="1" applyNumberFormat="1" applyFont="1" applyFill="1" applyBorder="1"/>
    <xf numFmtId="14" fontId="8" fillId="9" borderId="6" xfId="0" applyNumberFormat="1" applyFont="1" applyFill="1" applyBorder="1" applyAlignment="1">
      <alignment horizontal="right"/>
    </xf>
    <xf numFmtId="166" fontId="8" fillId="9" borderId="6" xfId="0" quotePrefix="1" applyNumberFormat="1" applyFont="1" applyFill="1" applyBorder="1" applyAlignment="1">
      <alignment horizontal="right"/>
    </xf>
    <xf numFmtId="0" fontId="15" fillId="0" borderId="5" xfId="0" quotePrefix="1" applyFont="1" applyFill="1" applyBorder="1" applyAlignment="1">
      <alignment horizontal="right"/>
    </xf>
    <xf numFmtId="43" fontId="15" fillId="0" borderId="5" xfId="0" applyNumberFormat="1" applyFont="1" applyBorder="1"/>
    <xf numFmtId="166" fontId="15" fillId="9" borderId="5" xfId="0" quotePrefix="1" applyNumberFormat="1" applyFont="1" applyFill="1" applyBorder="1" applyAlignment="1">
      <alignment horizontal="right"/>
    </xf>
    <xf numFmtId="0" fontId="17" fillId="9" borderId="5" xfId="0" applyFont="1" applyFill="1" applyBorder="1" applyAlignment="1">
      <alignment horizontal="left"/>
    </xf>
    <xf numFmtId="165" fontId="15" fillId="0" borderId="0" xfId="5" quotePrefix="1" applyFont="1" applyAlignment="1">
      <alignment horizontal="right"/>
    </xf>
    <xf numFmtId="0" fontId="15" fillId="0" borderId="0" xfId="0" quotePrefix="1" applyFont="1" applyAlignment="1">
      <alignment horizontal="right"/>
    </xf>
    <xf numFmtId="0" fontId="29" fillId="0" borderId="5" xfId="0" quotePrefix="1" applyFont="1" applyBorder="1" applyAlignment="1">
      <alignment horizontal="right"/>
    </xf>
    <xf numFmtId="166" fontId="29" fillId="9" borderId="5" xfId="0" quotePrefix="1" applyNumberFormat="1" applyFont="1" applyFill="1" applyBorder="1" applyAlignment="1">
      <alignment horizontal="right"/>
    </xf>
    <xf numFmtId="4" fontId="14" fillId="0" borderId="5" xfId="1" quotePrefix="1" applyNumberFormat="1" applyFont="1" applyBorder="1" applyAlignment="1">
      <alignment horizontal="right"/>
    </xf>
    <xf numFmtId="16" fontId="15" fillId="9" borderId="6" xfId="0" applyNumberFormat="1" applyFont="1" applyFill="1" applyBorder="1" applyAlignment="1">
      <alignment horizontal="left"/>
    </xf>
    <xf numFmtId="0" fontId="15" fillId="9" borderId="5" xfId="0" applyFont="1" applyFill="1" applyBorder="1" applyAlignment="1">
      <alignment horizontal="left"/>
    </xf>
    <xf numFmtId="164" fontId="8" fillId="0" borderId="5" xfId="1" quotePrefix="1" applyNumberFormat="1" applyFont="1" applyBorder="1" applyAlignment="1">
      <alignment horizontal="right"/>
    </xf>
    <xf numFmtId="0" fontId="7" fillId="0" borderId="5" xfId="0" applyFont="1" applyBorder="1" applyAlignment="1">
      <alignment horizontal="center"/>
    </xf>
    <xf numFmtId="43" fontId="8" fillId="0" borderId="7" xfId="1" applyFont="1" applyBorder="1"/>
    <xf numFmtId="165" fontId="7" fillId="9" borderId="5" xfId="1" applyNumberFormat="1" applyFont="1" applyFill="1" applyBorder="1"/>
    <xf numFmtId="0" fontId="7" fillId="12" borderId="5" xfId="0" applyFont="1" applyFill="1" applyBorder="1"/>
    <xf numFmtId="165" fontId="8" fillId="0" borderId="5" xfId="5" applyFont="1" applyBorder="1" applyAlignment="1">
      <alignment horizontal="center"/>
    </xf>
    <xf numFmtId="0" fontId="7" fillId="12" borderId="5" xfId="0" applyFont="1" applyFill="1" applyBorder="1" applyAlignment="1">
      <alignment horizontal="center"/>
    </xf>
    <xf numFmtId="0" fontId="14" fillId="13" borderId="6" xfId="0" applyFont="1" applyFill="1" applyBorder="1" applyAlignment="1"/>
    <xf numFmtId="0" fontId="8" fillId="12" borderId="14" xfId="0" applyNumberFormat="1" applyFont="1" applyFill="1" applyBorder="1" applyAlignment="1" applyProtection="1">
      <alignment horizontal="left"/>
    </xf>
    <xf numFmtId="0" fontId="7" fillId="12" borderId="7" xfId="0" applyNumberFormat="1" applyFont="1" applyFill="1" applyBorder="1" applyAlignment="1" applyProtection="1">
      <alignment horizontal="center"/>
    </xf>
    <xf numFmtId="0" fontId="15" fillId="12" borderId="5" xfId="0" applyFont="1" applyFill="1" applyBorder="1"/>
    <xf numFmtId="0" fontId="8" fillId="12" borderId="5" xfId="0" applyFont="1" applyFill="1" applyBorder="1" applyAlignment="1">
      <alignment horizontal="right"/>
    </xf>
    <xf numFmtId="165" fontId="7" fillId="0" borderId="5" xfId="5" applyFont="1" applyBorder="1" applyAlignment="1">
      <alignment horizontal="center"/>
    </xf>
    <xf numFmtId="43" fontId="7" fillId="12" borderId="5" xfId="1" quotePrefix="1" applyFont="1" applyFill="1" applyBorder="1" applyAlignment="1">
      <alignment horizontal="center"/>
    </xf>
    <xf numFmtId="165" fontId="7" fillId="12" borderId="5" xfId="0" applyNumberFormat="1" applyFont="1" applyFill="1" applyBorder="1"/>
    <xf numFmtId="0" fontId="8" fillId="0" borderId="0" xfId="0" quotePrefix="1" applyFont="1"/>
    <xf numFmtId="165" fontId="15" fillId="9" borderId="7" xfId="5" applyFont="1" applyFill="1" applyBorder="1"/>
    <xf numFmtId="14" fontId="0" fillId="0" borderId="5" xfId="1" applyNumberFormat="1" applyFont="1" applyBorder="1"/>
    <xf numFmtId="4" fontId="15" fillId="0" borderId="7" xfId="0" applyNumberFormat="1" applyFont="1" applyFill="1" applyBorder="1" applyAlignment="1">
      <alignment horizontal="right"/>
    </xf>
    <xf numFmtId="4" fontId="15" fillId="9" borderId="5" xfId="0" applyNumberFormat="1" applyFont="1" applyFill="1" applyBorder="1" applyAlignment="1" applyProtection="1">
      <alignment horizontal="right" vertical="center" wrapText="1"/>
    </xf>
    <xf numFmtId="164" fontId="15" fillId="0" borderId="5" xfId="0" quotePrefix="1" applyNumberFormat="1" applyFont="1" applyFill="1" applyBorder="1" applyAlignment="1">
      <alignment horizontal="right"/>
    </xf>
    <xf numFmtId="4" fontId="15" fillId="9" borderId="5" xfId="1" quotePrefix="1" applyNumberFormat="1" applyFont="1" applyFill="1" applyBorder="1" applyAlignment="1">
      <alignment horizontal="right"/>
    </xf>
    <xf numFmtId="165" fontId="8" fillId="9" borderId="7" xfId="1" applyNumberFormat="1" applyFont="1" applyFill="1" applyBorder="1" applyAlignment="1">
      <alignment horizontal="right"/>
    </xf>
    <xf numFmtId="4" fontId="30" fillId="14" borderId="18" xfId="0" applyNumberFormat="1" applyFont="1" applyFill="1" applyBorder="1" applyAlignment="1" applyProtection="1">
      <alignment horizontal="right" vertical="top" wrapText="1"/>
    </xf>
    <xf numFmtId="165" fontId="15" fillId="9" borderId="7" xfId="1" applyNumberFormat="1" applyFont="1" applyFill="1" applyBorder="1" applyAlignment="1">
      <alignment horizontal="right"/>
    </xf>
    <xf numFmtId="0" fontId="0" fillId="0" borderId="5" xfId="0" quotePrefix="1" applyFont="1" applyBorder="1"/>
    <xf numFmtId="16" fontId="7" fillId="9" borderId="5" xfId="0" quotePrefix="1" applyNumberFormat="1" applyFont="1" applyFill="1" applyBorder="1" applyAlignment="1">
      <alignment horizontal="left"/>
    </xf>
    <xf numFmtId="165" fontId="7" fillId="9" borderId="7" xfId="1" applyNumberFormat="1" applyFont="1" applyFill="1" applyBorder="1"/>
    <xf numFmtId="43" fontId="8" fillId="0" borderId="5" xfId="0" applyNumberFormat="1" applyFont="1" applyBorder="1" applyAlignment="1">
      <alignment horizontal="right"/>
    </xf>
    <xf numFmtId="168" fontId="8" fillId="9" borderId="5" xfId="0" quotePrefix="1" applyNumberFormat="1" applyFont="1" applyFill="1" applyBorder="1" applyAlignment="1">
      <alignment horizontal="right"/>
    </xf>
    <xf numFmtId="43" fontId="7" fillId="0" borderId="5" xfId="1" applyFont="1" applyFill="1" applyBorder="1" applyAlignment="1">
      <alignment wrapText="1"/>
    </xf>
    <xf numFmtId="165" fontId="15" fillId="9" borderId="0" xfId="1" applyNumberFormat="1" applyFont="1" applyFill="1" applyBorder="1"/>
    <xf numFmtId="16" fontId="8" fillId="0" borderId="5" xfId="0" applyNumberFormat="1" applyFont="1" applyFill="1" applyBorder="1" applyAlignment="1">
      <alignment horizontal="left"/>
    </xf>
    <xf numFmtId="14" fontId="8" fillId="9" borderId="7" xfId="0" quotePrefix="1" applyNumberFormat="1" applyFont="1" applyFill="1" applyBorder="1" applyAlignment="1">
      <alignment horizontal="right"/>
    </xf>
    <xf numFmtId="0" fontId="8" fillId="0" borderId="5" xfId="0" applyFont="1" applyFill="1" applyBorder="1" applyAlignment="1">
      <alignment horizontal="left" vertical="center"/>
    </xf>
    <xf numFmtId="165" fontId="8" fillId="0" borderId="5" xfId="5" applyFont="1" applyFill="1" applyBorder="1"/>
    <xf numFmtId="165" fontId="8" fillId="0" borderId="5" xfId="5" applyFont="1" applyFill="1" applyBorder="1" applyAlignment="1">
      <alignment horizontal="center"/>
    </xf>
    <xf numFmtId="14" fontId="8" fillId="9" borderId="5" xfId="5" applyNumberFormat="1" applyFont="1" applyFill="1" applyBorder="1" applyAlignment="1">
      <alignment horizontal="right"/>
    </xf>
    <xf numFmtId="43" fontId="8" fillId="9" borderId="7" xfId="10" applyFont="1" applyFill="1" applyBorder="1"/>
    <xf numFmtId="165" fontId="7" fillId="0" borderId="5" xfId="5" applyFont="1" applyFill="1" applyBorder="1" applyAlignment="1">
      <alignment horizontal="center"/>
    </xf>
    <xf numFmtId="2" fontId="8" fillId="0" borderId="5" xfId="0" applyNumberFormat="1" applyFont="1" applyBorder="1"/>
    <xf numFmtId="164" fontId="15" fillId="9" borderId="5" xfId="0" applyNumberFormat="1" applyFont="1" applyFill="1" applyBorder="1" applyAlignment="1">
      <alignment horizontal="left"/>
    </xf>
    <xf numFmtId="165" fontId="7" fillId="0" borderId="5" xfId="5" applyFont="1" applyBorder="1"/>
    <xf numFmtId="0" fontId="8" fillId="0" borderId="0" xfId="0" applyFont="1" applyBorder="1"/>
    <xf numFmtId="165" fontId="7" fillId="15" borderId="5" xfId="5" applyFont="1" applyFill="1" applyBorder="1"/>
    <xf numFmtId="165" fontId="7" fillId="0" borderId="5" xfId="1" applyNumberFormat="1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/>
    </xf>
    <xf numFmtId="164" fontId="8" fillId="0" borderId="5" xfId="0" applyNumberFormat="1" applyFont="1" applyFill="1" applyBorder="1" applyAlignment="1">
      <alignment horizontal="left"/>
    </xf>
    <xf numFmtId="165" fontId="8" fillId="0" borderId="7" xfId="1" applyNumberFormat="1" applyFont="1" applyFill="1" applyBorder="1"/>
    <xf numFmtId="165" fontId="8" fillId="0" borderId="5" xfId="1" quotePrefix="1" applyNumberFormat="1" applyFont="1" applyFill="1" applyBorder="1" applyAlignment="1">
      <alignment horizontal="right"/>
    </xf>
    <xf numFmtId="43" fontId="8" fillId="0" borderId="5" xfId="0" applyNumberFormat="1" applyFont="1" applyFill="1" applyBorder="1"/>
    <xf numFmtId="0" fontId="8" fillId="0" borderId="5" xfId="0" applyFont="1" applyFill="1" applyBorder="1"/>
    <xf numFmtId="4" fontId="15" fillId="0" borderId="5" xfId="0" quotePrefix="1" applyNumberFormat="1" applyFont="1" applyFill="1" applyBorder="1" applyAlignment="1">
      <alignment horizontal="right"/>
    </xf>
    <xf numFmtId="0" fontId="19" fillId="0" borderId="0" xfId="0" applyFont="1" applyBorder="1"/>
    <xf numFmtId="0" fontId="7" fillId="0" borderId="5" xfId="0" applyFont="1" applyFill="1" applyBorder="1"/>
    <xf numFmtId="166" fontId="8" fillId="0" borderId="5" xfId="0" quotePrefix="1" applyNumberFormat="1" applyFont="1" applyFill="1" applyBorder="1" applyAlignment="1">
      <alignment horizontal="right"/>
    </xf>
    <xf numFmtId="165" fontId="7" fillId="0" borderId="5" xfId="1" quotePrefix="1" applyNumberFormat="1" applyFont="1" applyFill="1" applyBorder="1" applyAlignment="1">
      <alignment horizontal="center"/>
    </xf>
    <xf numFmtId="165" fontId="8" fillId="0" borderId="5" xfId="0" applyNumberFormat="1" applyFont="1" applyFill="1" applyBorder="1"/>
    <xf numFmtId="43" fontId="19" fillId="0" borderId="0" xfId="0" applyNumberFormat="1" applyFont="1" applyBorder="1"/>
    <xf numFmtId="0" fontId="8" fillId="0" borderId="5" xfId="0" applyFont="1" applyBorder="1" applyAlignment="1">
      <alignment horizontal="left"/>
    </xf>
    <xf numFmtId="14" fontId="15" fillId="0" borderId="6" xfId="0" applyNumberFormat="1" applyFont="1" applyFill="1" applyBorder="1" applyAlignment="1" applyProtection="1">
      <alignment horizontal="left"/>
    </xf>
    <xf numFmtId="4" fontId="8" fillId="0" borderId="7" xfId="1" applyNumberFormat="1" applyFont="1" applyBorder="1" applyAlignment="1">
      <alignment horizontal="right"/>
    </xf>
    <xf numFmtId="165" fontId="8" fillId="0" borderId="5" xfId="1" applyNumberFormat="1" applyFont="1" applyBorder="1" applyAlignment="1">
      <alignment horizontal="right"/>
    </xf>
    <xf numFmtId="43" fontId="8" fillId="0" borderId="5" xfId="1" applyFont="1" applyBorder="1" applyAlignment="1">
      <alignment wrapText="1"/>
    </xf>
    <xf numFmtId="4" fontId="15" fillId="0" borderId="5" xfId="0" quotePrefix="1" applyNumberFormat="1" applyFont="1" applyBorder="1" applyAlignment="1">
      <alignment horizontal="right"/>
    </xf>
    <xf numFmtId="43" fontId="19" fillId="0" borderId="0" xfId="0" applyNumberFormat="1" applyFont="1"/>
    <xf numFmtId="165" fontId="8" fillId="0" borderId="5" xfId="1" applyNumberFormat="1" applyFont="1" applyFill="1" applyBorder="1" applyAlignment="1">
      <alignment horizontal="center"/>
    </xf>
    <xf numFmtId="165" fontId="8" fillId="9" borderId="7" xfId="1" applyNumberFormat="1" applyFont="1" applyFill="1" applyBorder="1" applyAlignment="1">
      <alignment horizontal="center"/>
    </xf>
    <xf numFmtId="165" fontId="7" fillId="0" borderId="5" xfId="1" applyNumberFormat="1" applyFont="1" applyFill="1" applyBorder="1" applyAlignment="1">
      <alignment horizontal="center"/>
    </xf>
    <xf numFmtId="165" fontId="8" fillId="0" borderId="5" xfId="1" applyNumberFormat="1" applyFont="1" applyFill="1" applyBorder="1"/>
    <xf numFmtId="0" fontId="8" fillId="0" borderId="5" xfId="0" quotePrefix="1" applyFont="1" applyFill="1" applyBorder="1"/>
    <xf numFmtId="166" fontId="8" fillId="0" borderId="5" xfId="0" applyNumberFormat="1" applyFont="1" applyFill="1" applyBorder="1" applyAlignment="1">
      <alignment horizontal="right"/>
    </xf>
    <xf numFmtId="165" fontId="8" fillId="0" borderId="7" xfId="1" applyNumberFormat="1" applyFont="1" applyFill="1" applyBorder="1" applyAlignment="1">
      <alignment horizontal="center"/>
    </xf>
    <xf numFmtId="43" fontId="8" fillId="0" borderId="9" xfId="1" applyFont="1" applyFill="1" applyBorder="1"/>
    <xf numFmtId="165" fontId="8" fillId="0" borderId="5" xfId="1" quotePrefix="1" applyNumberFormat="1" applyFont="1" applyFill="1" applyBorder="1"/>
    <xf numFmtId="43" fontId="8" fillId="9" borderId="5" xfId="1" applyFont="1" applyFill="1" applyBorder="1" applyAlignment="1">
      <alignment horizontal="left"/>
    </xf>
    <xf numFmtId="0" fontId="8" fillId="0" borderId="5" xfId="0" applyFont="1" applyFill="1" applyBorder="1" applyAlignment="1">
      <alignment horizontal="center"/>
    </xf>
    <xf numFmtId="165" fontId="8" fillId="9" borderId="7" xfId="1" applyNumberFormat="1" applyFont="1" applyFill="1" applyBorder="1" applyAlignment="1">
      <alignment horizontal="center" wrapText="1"/>
    </xf>
    <xf numFmtId="43" fontId="15" fillId="9" borderId="5" xfId="1" applyFont="1" applyFill="1" applyBorder="1" applyAlignment="1">
      <alignment horizontal="center" wrapText="1"/>
    </xf>
    <xf numFmtId="0" fontId="7" fillId="9" borderId="5" xfId="0" applyFont="1" applyFill="1" applyBorder="1" applyAlignment="1">
      <alignment horizontal="center" wrapText="1"/>
    </xf>
    <xf numFmtId="165" fontId="7" fillId="9" borderId="5" xfId="1" applyNumberFormat="1" applyFont="1" applyFill="1" applyBorder="1" applyAlignment="1">
      <alignment horizontal="center" wrapText="1"/>
    </xf>
    <xf numFmtId="43" fontId="7" fillId="9" borderId="5" xfId="1" applyFont="1" applyFill="1" applyBorder="1" applyAlignment="1">
      <alignment horizontal="center" wrapText="1"/>
    </xf>
    <xf numFmtId="0" fontId="14" fillId="9" borderId="5" xfId="0" applyFont="1" applyFill="1" applyBorder="1" applyAlignment="1">
      <alignment horizontal="center" wrapText="1"/>
    </xf>
    <xf numFmtId="165" fontId="8" fillId="0" borderId="7" xfId="5" applyFont="1" applyFill="1" applyBorder="1"/>
    <xf numFmtId="165" fontId="8" fillId="0" borderId="5" xfId="5" applyFont="1" applyFill="1" applyBorder="1" applyAlignment="1">
      <alignment horizontal="right"/>
    </xf>
    <xf numFmtId="165" fontId="8" fillId="0" borderId="7" xfId="5" applyFont="1" applyFill="1" applyBorder="1" applyAlignment="1">
      <alignment horizontal="center"/>
    </xf>
    <xf numFmtId="43" fontId="8" fillId="0" borderId="6" xfId="1" applyFont="1" applyFill="1" applyBorder="1" applyAlignment="1">
      <alignment wrapText="1"/>
    </xf>
    <xf numFmtId="16" fontId="8" fillId="0" borderId="5" xfId="0" quotePrefix="1" applyNumberFormat="1" applyFont="1" applyFill="1" applyBorder="1"/>
    <xf numFmtId="165" fontId="8" fillId="0" borderId="5" xfId="5" quotePrefix="1" applyFont="1" applyFill="1" applyBorder="1" applyAlignment="1">
      <alignment horizontal="right"/>
    </xf>
    <xf numFmtId="0" fontId="27" fillId="9" borderId="0" xfId="0" applyFont="1" applyFill="1" applyBorder="1"/>
    <xf numFmtId="43" fontId="8" fillId="0" borderId="6" xfId="1" applyFont="1" applyFill="1" applyBorder="1"/>
    <xf numFmtId="0" fontId="8" fillId="9" borderId="8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/>
    </xf>
    <xf numFmtId="164" fontId="8" fillId="9" borderId="5" xfId="5" applyNumberFormat="1" applyFont="1" applyFill="1" applyBorder="1" applyAlignment="1">
      <alignment horizontal="left"/>
    </xf>
    <xf numFmtId="165" fontId="8" fillId="9" borderId="11" xfId="5" applyFont="1" applyFill="1" applyBorder="1" applyAlignment="1">
      <alignment horizontal="right"/>
    </xf>
    <xf numFmtId="14" fontId="8" fillId="9" borderId="11" xfId="0" applyNumberFormat="1" applyFont="1" applyFill="1" applyBorder="1" applyAlignment="1">
      <alignment horizontal="right"/>
    </xf>
    <xf numFmtId="165" fontId="8" fillId="0" borderId="8" xfId="5" quotePrefix="1" applyFont="1" applyFill="1" applyBorder="1" applyAlignment="1">
      <alignment horizontal="right"/>
    </xf>
    <xf numFmtId="43" fontId="8" fillId="0" borderId="8" xfId="0" applyNumberFormat="1" applyFont="1" applyFill="1" applyBorder="1"/>
    <xf numFmtId="43" fontId="7" fillId="0" borderId="5" xfId="0" applyNumberFormat="1" applyFont="1" applyFill="1" applyBorder="1"/>
    <xf numFmtId="165" fontId="7" fillId="0" borderId="5" xfId="5" applyFont="1" applyFill="1" applyBorder="1" applyAlignment="1">
      <alignment horizontal="left" vertical="center"/>
    </xf>
    <xf numFmtId="4" fontId="8" fillId="0" borderId="7" xfId="5" applyNumberFormat="1" applyFont="1" applyFill="1" applyBorder="1" applyAlignment="1">
      <alignment horizontal="right"/>
    </xf>
    <xf numFmtId="165" fontId="15" fillId="0" borderId="7" xfId="5" applyFont="1" applyBorder="1"/>
    <xf numFmtId="164" fontId="15" fillId="0" borderId="5" xfId="0" applyNumberFormat="1" applyFont="1" applyFill="1" applyBorder="1" applyAlignment="1">
      <alignment horizontal="left"/>
    </xf>
    <xf numFmtId="0" fontId="7" fillId="0" borderId="4" xfId="0" applyFont="1" applyFill="1" applyBorder="1"/>
    <xf numFmtId="165" fontId="7" fillId="0" borderId="4" xfId="5" applyFont="1" applyFill="1" applyBorder="1" applyAlignment="1">
      <alignment horizontal="left"/>
    </xf>
    <xf numFmtId="165" fontId="8" fillId="0" borderId="5" xfId="5" applyFont="1" applyBorder="1" applyAlignment="1">
      <alignment horizontal="right"/>
    </xf>
    <xf numFmtId="43" fontId="15" fillId="9" borderId="5" xfId="11" applyFont="1" applyFill="1" applyBorder="1"/>
    <xf numFmtId="165" fontId="8" fillId="0" borderId="5" xfId="5" quotePrefix="1" applyFont="1" applyBorder="1" applyAlignment="1">
      <alignment horizontal="right"/>
    </xf>
    <xf numFmtId="0" fontId="15" fillId="0" borderId="6" xfId="0" applyFont="1" applyBorder="1" applyAlignment="1">
      <alignment horizontal="left"/>
    </xf>
    <xf numFmtId="164" fontId="15" fillId="0" borderId="5" xfId="0" applyNumberFormat="1" applyFont="1" applyBorder="1" applyAlignment="1">
      <alignment horizontal="left"/>
    </xf>
    <xf numFmtId="165" fontId="15" fillId="0" borderId="7" xfId="5" applyFont="1" applyBorder="1" applyAlignment="1">
      <alignment horizontal="right"/>
    </xf>
    <xf numFmtId="43" fontId="15" fillId="9" borderId="4" xfId="11" applyFont="1" applyFill="1" applyBorder="1"/>
    <xf numFmtId="165" fontId="8" fillId="0" borderId="5" xfId="0" applyNumberFormat="1" applyFont="1" applyBorder="1"/>
    <xf numFmtId="4" fontId="8" fillId="0" borderId="7" xfId="1" applyNumberFormat="1" applyFont="1" applyFill="1" applyBorder="1" applyAlignment="1">
      <alignment horizontal="right"/>
    </xf>
    <xf numFmtId="165" fontId="8" fillId="0" borderId="5" xfId="1" applyNumberFormat="1" applyFont="1" applyFill="1" applyBorder="1" applyAlignment="1">
      <alignment horizontal="right"/>
    </xf>
    <xf numFmtId="16" fontId="8" fillId="0" borderId="5" xfId="0" applyNumberFormat="1" applyFont="1" applyFill="1" applyBorder="1"/>
    <xf numFmtId="165" fontId="8" fillId="9" borderId="14" xfId="1" applyNumberFormat="1" applyFont="1" applyFill="1" applyBorder="1" applyAlignment="1">
      <alignment horizontal="center"/>
    </xf>
    <xf numFmtId="0" fontId="31" fillId="0" borderId="5" xfId="12" quotePrefix="1" applyFont="1" applyBorder="1"/>
    <xf numFmtId="43" fontId="8" fillId="9" borderId="7" xfId="1" applyFont="1" applyFill="1" applyBorder="1" applyAlignment="1">
      <alignment horizontal="right"/>
    </xf>
    <xf numFmtId="14" fontId="31" fillId="0" borderId="5" xfId="12" applyNumberFormat="1" applyFont="1" applyFill="1" applyBorder="1" applyAlignment="1" applyProtection="1"/>
    <xf numFmtId="0" fontId="8" fillId="0" borderId="5" xfId="0" quotePrefix="1" applyFont="1" applyBorder="1"/>
    <xf numFmtId="4" fontId="15" fillId="0" borderId="7" xfId="0" quotePrefix="1" applyNumberFormat="1" applyFont="1" applyFill="1" applyBorder="1" applyAlignment="1">
      <alignment horizontal="right"/>
    </xf>
    <xf numFmtId="16" fontId="7" fillId="0" borderId="5" xfId="0" applyNumberFormat="1" applyFont="1" applyFill="1" applyBorder="1" applyAlignment="1">
      <alignment horizontal="left"/>
    </xf>
    <xf numFmtId="166" fontId="8" fillId="0" borderId="5" xfId="0" quotePrefix="1" applyNumberFormat="1" applyFont="1" applyBorder="1" applyAlignment="1">
      <alignment horizontal="right"/>
    </xf>
    <xf numFmtId="14" fontId="8" fillId="0" borderId="5" xfId="5" applyNumberFormat="1" applyFont="1" applyFill="1" applyBorder="1" applyAlignment="1">
      <alignment horizontal="right"/>
    </xf>
    <xf numFmtId="16" fontId="8" fillId="0" borderId="5" xfId="0" applyNumberFormat="1" applyFont="1" applyBorder="1" applyAlignment="1">
      <alignment horizontal="left"/>
    </xf>
    <xf numFmtId="43" fontId="32" fillId="0" borderId="5" xfId="1" applyFont="1" applyBorder="1"/>
    <xf numFmtId="164" fontId="8" fillId="0" borderId="5" xfId="5" quotePrefix="1" applyNumberFormat="1" applyFont="1" applyFill="1" applyBorder="1" applyAlignment="1">
      <alignment horizontal="right"/>
    </xf>
    <xf numFmtId="165" fontId="8" fillId="15" borderId="5" xfId="5" applyFont="1" applyFill="1" applyBorder="1"/>
    <xf numFmtId="43" fontId="8" fillId="0" borderId="5" xfId="1" applyFont="1" applyBorder="1" applyAlignment="1">
      <alignment horizontal="left" wrapText="1"/>
    </xf>
    <xf numFmtId="0" fontId="7" fillId="0" borderId="4" xfId="0" applyFont="1" applyFill="1" applyBorder="1" applyAlignment="1">
      <alignment horizontal="center"/>
    </xf>
    <xf numFmtId="16" fontId="8" fillId="0" borderId="4" xfId="0" applyNumberFormat="1" applyFont="1" applyFill="1" applyBorder="1" applyAlignment="1">
      <alignment horizontal="left"/>
    </xf>
    <xf numFmtId="0" fontId="8" fillId="0" borderId="16" xfId="0" applyFont="1" applyFill="1" applyBorder="1" applyAlignment="1">
      <alignment horizontal="left"/>
    </xf>
    <xf numFmtId="165" fontId="8" fillId="0" borderId="17" xfId="1" applyNumberFormat="1" applyFont="1" applyFill="1" applyBorder="1"/>
    <xf numFmtId="0" fontId="8" fillId="0" borderId="4" xfId="0" applyFont="1" applyFill="1" applyBorder="1" applyAlignment="1">
      <alignment horizontal="right"/>
    </xf>
    <xf numFmtId="166" fontId="15" fillId="9" borderId="4" xfId="0" quotePrefix="1" applyNumberFormat="1" applyFont="1" applyFill="1" applyBorder="1" applyAlignment="1">
      <alignment horizontal="center"/>
    </xf>
    <xf numFmtId="166" fontId="8" fillId="0" borderId="4" xfId="0" quotePrefix="1" applyNumberFormat="1" applyFont="1" applyFill="1" applyBorder="1" applyAlignment="1">
      <alignment horizontal="right"/>
    </xf>
    <xf numFmtId="43" fontId="8" fillId="0" borderId="4" xfId="0" applyNumberFormat="1" applyFont="1" applyFill="1" applyBorder="1"/>
    <xf numFmtId="165" fontId="7" fillId="0" borderId="4" xfId="1" applyNumberFormat="1" applyFont="1" applyFill="1" applyBorder="1"/>
    <xf numFmtId="43" fontId="8" fillId="0" borderId="4" xfId="1" applyFont="1" applyFill="1" applyBorder="1" applyAlignment="1">
      <alignment wrapText="1"/>
    </xf>
    <xf numFmtId="165" fontId="7" fillId="15" borderId="4" xfId="1" applyNumberFormat="1" applyFont="1" applyFill="1" applyBorder="1"/>
    <xf numFmtId="165" fontId="8" fillId="0" borderId="5" xfId="5" quotePrefix="1" applyFont="1" applyFill="1" applyBorder="1" applyAlignment="1">
      <alignment horizontal="center"/>
    </xf>
    <xf numFmtId="165" fontId="15" fillId="9" borderId="5" xfId="0" applyNumberFormat="1" applyFont="1" applyFill="1" applyBorder="1"/>
    <xf numFmtId="0" fontId="8" fillId="15" borderId="5" xfId="0" applyFont="1" applyFill="1" applyBorder="1"/>
    <xf numFmtId="165" fontId="7" fillId="0" borderId="5" xfId="5" quotePrefix="1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165" fontId="8" fillId="0" borderId="5" xfId="1" quotePrefix="1" applyNumberFormat="1" applyFont="1" applyFill="1" applyBorder="1" applyAlignment="1">
      <alignment horizontal="center"/>
    </xf>
    <xf numFmtId="0" fontId="8" fillId="0" borderId="6" xfId="0" applyNumberFormat="1" applyFont="1" applyFill="1" applyBorder="1" applyAlignment="1" applyProtection="1">
      <alignment horizontal="left"/>
    </xf>
    <xf numFmtId="164" fontId="8" fillId="0" borderId="5" xfId="0" applyNumberFormat="1" applyFont="1" applyFill="1" applyBorder="1" applyAlignment="1" applyProtection="1">
      <alignment horizontal="left"/>
    </xf>
    <xf numFmtId="165" fontId="27" fillId="9" borderId="0" xfId="0" applyNumberFormat="1" applyFont="1" applyFill="1"/>
    <xf numFmtId="165" fontId="27" fillId="9" borderId="5" xfId="5" applyFont="1" applyFill="1" applyBorder="1"/>
    <xf numFmtId="166" fontId="17" fillId="0" borderId="5" xfId="0" quotePrefix="1" applyNumberFormat="1" applyFont="1" applyFill="1" applyBorder="1" applyAlignment="1">
      <alignment horizontal="right"/>
    </xf>
    <xf numFmtId="43" fontId="19" fillId="0" borderId="5" xfId="1" applyFont="1" applyBorder="1" applyAlignment="1">
      <alignment wrapText="1"/>
    </xf>
    <xf numFmtId="4" fontId="7" fillId="0" borderId="5" xfId="0" applyNumberFormat="1" applyFont="1" applyFill="1" applyBorder="1" applyAlignment="1">
      <alignment horizontal="left"/>
    </xf>
    <xf numFmtId="166" fontId="8" fillId="0" borderId="7" xfId="0" quotePrefix="1" applyNumberFormat="1" applyFont="1" applyFill="1" applyBorder="1" applyAlignment="1">
      <alignment horizontal="right"/>
    </xf>
    <xf numFmtId="43" fontId="7" fillId="0" borderId="5" xfId="1" applyFont="1" applyFill="1" applyBorder="1"/>
    <xf numFmtId="166" fontId="15" fillId="0" borderId="5" xfId="0" quotePrefix="1" applyNumberFormat="1" applyFont="1" applyFill="1" applyBorder="1" applyAlignment="1">
      <alignment horizontal="right"/>
    </xf>
    <xf numFmtId="4" fontId="15" fillId="0" borderId="6" xfId="1" quotePrefix="1" applyNumberFormat="1" applyFont="1" applyBorder="1" applyAlignment="1">
      <alignment horizontal="right"/>
    </xf>
    <xf numFmtId="0" fontId="15" fillId="0" borderId="16" xfId="0" applyFont="1" applyFill="1" applyBorder="1" applyAlignment="1">
      <alignment horizontal="left"/>
    </xf>
    <xf numFmtId="165" fontId="15" fillId="0" borderId="17" xfId="5" applyFont="1" applyFill="1" applyBorder="1" applyAlignment="1">
      <alignment horizontal="right"/>
    </xf>
    <xf numFmtId="14" fontId="15" fillId="0" borderId="4" xfId="0" quotePrefix="1" applyNumberFormat="1" applyFont="1" applyFill="1" applyBorder="1" applyAlignment="1">
      <alignment horizontal="right"/>
    </xf>
    <xf numFmtId="43" fontId="28" fillId="0" borderId="0" xfId="1" applyFont="1"/>
    <xf numFmtId="14" fontId="19" fillId="0" borderId="0" xfId="0" quotePrefix="1" applyNumberFormat="1" applyFont="1"/>
    <xf numFmtId="43" fontId="8" fillId="15" borderId="5" xfId="0" applyNumberFormat="1" applyFont="1" applyFill="1" applyBorder="1"/>
    <xf numFmtId="4" fontId="15" fillId="0" borderId="14" xfId="5" quotePrefix="1" applyNumberFormat="1" applyFont="1" applyBorder="1" applyAlignment="1">
      <alignment horizontal="right"/>
    </xf>
    <xf numFmtId="165" fontId="7" fillId="15" borderId="5" xfId="1" applyNumberFormat="1" applyFont="1" applyFill="1" applyBorder="1"/>
    <xf numFmtId="0" fontId="7" fillId="0" borderId="8" xfId="0" applyFont="1" applyBorder="1"/>
    <xf numFmtId="0" fontId="8" fillId="0" borderId="8" xfId="0" applyFont="1" applyBorder="1"/>
    <xf numFmtId="0" fontId="7" fillId="2" borderId="8" xfId="0" applyFont="1" applyFill="1" applyBorder="1"/>
    <xf numFmtId="165" fontId="7" fillId="2" borderId="5" xfId="1" applyNumberFormat="1" applyFont="1" applyFill="1" applyBorder="1"/>
    <xf numFmtId="0" fontId="8" fillId="0" borderId="19" xfId="0" applyFont="1" applyBorder="1"/>
    <xf numFmtId="0" fontId="8" fillId="0" borderId="20" xfId="0" applyFont="1" applyBorder="1"/>
    <xf numFmtId="164" fontId="8" fillId="0" borderId="8" xfId="0" applyNumberFormat="1" applyFont="1" applyBorder="1" applyAlignment="1">
      <alignment horizontal="left"/>
    </xf>
    <xf numFmtId="0" fontId="8" fillId="0" borderId="21" xfId="0" applyFont="1" applyBorder="1"/>
    <xf numFmtId="0" fontId="15" fillId="9" borderId="19" xfId="0" applyFont="1" applyFill="1" applyBorder="1"/>
    <xf numFmtId="0" fontId="11" fillId="0" borderId="6" xfId="0" applyFont="1" applyBorder="1"/>
    <xf numFmtId="0" fontId="11" fillId="15" borderId="5" xfId="0" applyFont="1" applyFill="1" applyBorder="1"/>
    <xf numFmtId="0" fontId="13" fillId="0" borderId="2" xfId="0" applyFont="1" applyBorder="1"/>
    <xf numFmtId="0" fontId="13" fillId="0" borderId="15" xfId="0" applyFont="1" applyBorder="1"/>
    <xf numFmtId="164" fontId="13" fillId="0" borderId="12" xfId="0" applyNumberFormat="1" applyFont="1" applyBorder="1" applyAlignment="1">
      <alignment horizontal="left"/>
    </xf>
    <xf numFmtId="0" fontId="13" fillId="0" borderId="13" xfId="0" applyFont="1" applyBorder="1"/>
    <xf numFmtId="0" fontId="33" fillId="9" borderId="2" xfId="0" applyFont="1" applyFill="1" applyBorder="1"/>
    <xf numFmtId="165" fontId="11" fillId="15" borderId="3" xfId="1" applyNumberFormat="1" applyFont="1" applyFill="1" applyBorder="1"/>
    <xf numFmtId="43" fontId="13" fillId="0" borderId="7" xfId="1" applyFont="1" applyBorder="1"/>
    <xf numFmtId="0" fontId="7" fillId="0" borderId="4" xfId="0" applyFont="1" applyBorder="1"/>
    <xf numFmtId="0" fontId="8" fillId="0" borderId="4" xfId="0" applyFont="1" applyBorder="1"/>
    <xf numFmtId="0" fontId="8" fillId="0" borderId="16" xfId="0" applyFont="1" applyBorder="1"/>
    <xf numFmtId="164" fontId="8" fillId="0" borderId="4" xfId="0" applyNumberFormat="1" applyFont="1" applyBorder="1" applyAlignment="1">
      <alignment horizontal="left"/>
    </xf>
    <xf numFmtId="0" fontId="8" fillId="0" borderId="17" xfId="0" applyFont="1" applyBorder="1"/>
    <xf numFmtId="0" fontId="15" fillId="9" borderId="4" xfId="0" applyFont="1" applyFill="1" applyBorder="1"/>
    <xf numFmtId="0" fontId="9" fillId="0" borderId="5" xfId="0" applyFont="1" applyBorder="1"/>
    <xf numFmtId="0" fontId="10" fillId="0" borderId="6" xfId="0" applyFont="1" applyBorder="1"/>
    <xf numFmtId="164" fontId="10" fillId="0" borderId="5" xfId="0" applyNumberFormat="1" applyFont="1" applyBorder="1" applyAlignment="1">
      <alignment horizontal="left"/>
    </xf>
    <xf numFmtId="0" fontId="10" fillId="0" borderId="7" xfId="0" applyFont="1" applyBorder="1"/>
    <xf numFmtId="0" fontId="6" fillId="9" borderId="5" xfId="0" applyFont="1" applyFill="1" applyBorder="1"/>
    <xf numFmtId="43" fontId="10" fillId="0" borderId="5" xfId="1" applyFont="1" applyBorder="1"/>
    <xf numFmtId="0" fontId="42" fillId="0" borderId="0" xfId="0" applyFont="1"/>
    <xf numFmtId="164" fontId="7" fillId="9" borderId="5" xfId="0" applyNumberFormat="1" applyFont="1" applyFill="1" applyBorder="1" applyAlignment="1">
      <alignment horizontal="right" wrapText="1"/>
    </xf>
    <xf numFmtId="43" fontId="43" fillId="0" borderId="5" xfId="1" applyFont="1" applyBorder="1"/>
    <xf numFmtId="14" fontId="16" fillId="0" borderId="5" xfId="1" applyNumberFormat="1" applyFont="1" applyBorder="1" applyAlignment="1">
      <alignment horizontal="right"/>
    </xf>
    <xf numFmtId="1" fontId="43" fillId="0" borderId="5" xfId="1" applyNumberFormat="1" applyFont="1" applyBorder="1" applyAlignment="1">
      <alignment horizontal="center"/>
    </xf>
    <xf numFmtId="164" fontId="8" fillId="9" borderId="5" xfId="0" applyNumberFormat="1" applyFont="1" applyFill="1" applyBorder="1" applyAlignment="1">
      <alignment horizontal="right"/>
    </xf>
    <xf numFmtId="164" fontId="8" fillId="0" borderId="5" xfId="0" applyNumberFormat="1" applyFont="1" applyBorder="1" applyAlignment="1">
      <alignment horizontal="right"/>
    </xf>
    <xf numFmtId="43" fontId="42" fillId="0" borderId="0" xfId="1" applyFont="1"/>
    <xf numFmtId="43" fontId="8" fillId="9" borderId="5" xfId="1" quotePrefix="1" applyFont="1" applyFill="1" applyBorder="1" applyAlignment="1">
      <alignment horizontal="right"/>
    </xf>
    <xf numFmtId="43" fontId="8" fillId="9" borderId="7" xfId="1" applyFont="1" applyFill="1" applyBorder="1"/>
    <xf numFmtId="43" fontId="42" fillId="0" borderId="5" xfId="1" applyFont="1" applyBorder="1"/>
    <xf numFmtId="43" fontId="8" fillId="0" borderId="5" xfId="1" applyFont="1" applyFill="1" applyBorder="1" applyAlignment="1">
      <alignment horizontal="left" vertical="top"/>
    </xf>
    <xf numFmtId="0" fontId="42" fillId="0" borderId="5" xfId="0" applyFont="1" applyBorder="1"/>
    <xf numFmtId="169" fontId="8" fillId="0" borderId="5" xfId="0" quotePrefix="1" applyNumberFormat="1" applyFont="1" applyFill="1" applyBorder="1" applyAlignment="1">
      <alignment horizontal="left" vertical="top"/>
    </xf>
    <xf numFmtId="0" fontId="0" fillId="0" borderId="5" xfId="0" applyBorder="1" applyAlignment="1">
      <alignment horizontal="right"/>
    </xf>
    <xf numFmtId="0" fontId="15" fillId="0" borderId="5" xfId="0" applyNumberFormat="1" applyFont="1" applyFill="1" applyBorder="1" applyAlignment="1" applyProtection="1">
      <alignment horizontal="left"/>
    </xf>
    <xf numFmtId="0" fontId="0" fillId="0" borderId="0" xfId="0" quotePrefix="1"/>
    <xf numFmtId="1" fontId="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" fontId="42" fillId="0" borderId="0" xfId="0" applyNumberFormat="1" applyFont="1" applyAlignment="1">
      <alignment horizontal="center"/>
    </xf>
    <xf numFmtId="0" fontId="7" fillId="7" borderId="5" xfId="0" applyFont="1" applyFill="1" applyBorder="1" applyAlignment="1">
      <alignment horizontal="left"/>
    </xf>
    <xf numFmtId="0" fontId="7" fillId="9" borderId="5" xfId="0" applyFont="1" applyFill="1" applyBorder="1" applyAlignment="1">
      <alignment horizontal="left" wrapText="1"/>
    </xf>
    <xf numFmtId="43" fontId="7" fillId="9" borderId="5" xfId="1" applyFont="1" applyFill="1" applyBorder="1" applyAlignment="1">
      <alignment horizontal="left" wrapText="1"/>
    </xf>
    <xf numFmtId="0" fontId="45" fillId="0" borderId="5" xfId="0" applyFont="1" applyBorder="1"/>
    <xf numFmtId="0" fontId="44" fillId="0" borderId="5" xfId="0" applyFont="1" applyBorder="1"/>
    <xf numFmtId="0" fontId="0" fillId="0" borderId="6" xfId="0" applyBorder="1"/>
    <xf numFmtId="0" fontId="0" fillId="0" borderId="8" xfId="0" applyBorder="1" applyAlignment="1">
      <alignment horizontal="right"/>
    </xf>
    <xf numFmtId="0" fontId="46" fillId="3" borderId="1" xfId="0" applyFont="1" applyFill="1" applyBorder="1"/>
    <xf numFmtId="0" fontId="47" fillId="3" borderId="2" xfId="0" applyFont="1" applyFill="1" applyBorder="1"/>
    <xf numFmtId="0" fontId="47" fillId="3" borderId="2" xfId="0" applyFont="1" applyFill="1" applyBorder="1" applyAlignment="1">
      <alignment horizontal="right"/>
    </xf>
    <xf numFmtId="43" fontId="46" fillId="3" borderId="2" xfId="1" applyFont="1" applyFill="1" applyBorder="1"/>
    <xf numFmtId="1" fontId="47" fillId="3" borderId="2" xfId="0" applyNumberFormat="1" applyFont="1" applyFill="1" applyBorder="1" applyAlignment="1">
      <alignment horizontal="center"/>
    </xf>
    <xf numFmtId="43" fontId="48" fillId="3" borderId="2" xfId="1" applyFont="1" applyFill="1" applyBorder="1" applyAlignment="1">
      <alignment horizontal="center" vertical="center" wrapText="1"/>
    </xf>
    <xf numFmtId="43" fontId="48" fillId="4" borderId="2" xfId="1" applyFont="1" applyFill="1" applyBorder="1" applyAlignment="1">
      <alignment horizontal="center" vertical="center" wrapText="1"/>
    </xf>
    <xf numFmtId="43" fontId="48" fillId="5" borderId="2" xfId="1" applyFont="1" applyFill="1" applyBorder="1" applyAlignment="1">
      <alignment horizontal="center" vertical="center" wrapText="1"/>
    </xf>
    <xf numFmtId="43" fontId="48" fillId="6" borderId="2" xfId="1" applyFont="1" applyFill="1" applyBorder="1" applyAlignment="1">
      <alignment horizontal="center" vertical="center" wrapText="1"/>
    </xf>
    <xf numFmtId="43" fontId="48" fillId="7" borderId="2" xfId="1" applyFont="1" applyFill="1" applyBorder="1" applyAlignment="1">
      <alignment horizontal="center" vertical="center" wrapText="1"/>
    </xf>
    <xf numFmtId="166" fontId="7" fillId="9" borderId="5" xfId="0" applyNumberFormat="1" applyFont="1" applyFill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166" fontId="43" fillId="0" borderId="5" xfId="1" applyNumberFormat="1" applyFont="1" applyBorder="1" applyAlignment="1">
      <alignment horizontal="center"/>
    </xf>
    <xf numFmtId="166" fontId="0" fillId="0" borderId="8" xfId="0" applyNumberFormat="1" applyBorder="1" applyAlignment="1">
      <alignment horizontal="right"/>
    </xf>
    <xf numFmtId="166" fontId="47" fillId="3" borderId="2" xfId="0" applyNumberFormat="1" applyFont="1" applyFill="1" applyBorder="1" applyAlignment="1">
      <alignment horizontal="right"/>
    </xf>
    <xf numFmtId="166" fontId="0" fillId="0" borderId="0" xfId="0" applyNumberFormat="1" applyAlignment="1">
      <alignment horizontal="right"/>
    </xf>
    <xf numFmtId="166" fontId="27" fillId="0" borderId="5" xfId="2" applyNumberFormat="1" applyFont="1" applyBorder="1" applyAlignment="1">
      <alignment horizontal="center"/>
    </xf>
    <xf numFmtId="166" fontId="27" fillId="0" borderId="5" xfId="1" applyNumberFormat="1" applyFont="1" applyBorder="1" applyAlignment="1">
      <alignment horizontal="center"/>
    </xf>
    <xf numFmtId="166" fontId="19" fillId="0" borderId="5" xfId="0" applyNumberFormat="1" applyFont="1" applyBorder="1" applyAlignment="1">
      <alignment horizontal="center"/>
    </xf>
    <xf numFmtId="166" fontId="19" fillId="9" borderId="5" xfId="0" quotePrefix="1" applyNumberFormat="1" applyFont="1" applyFill="1" applyBorder="1" applyAlignment="1">
      <alignment horizontal="center"/>
    </xf>
    <xf numFmtId="166" fontId="19" fillId="9" borderId="5" xfId="0" applyNumberFormat="1" applyFont="1" applyFill="1" applyBorder="1" applyAlignment="1">
      <alignment horizontal="center"/>
    </xf>
    <xf numFmtId="166" fontId="19" fillId="0" borderId="5" xfId="0" applyNumberFormat="1" applyFont="1" applyFill="1" applyBorder="1" applyAlignment="1">
      <alignment horizontal="center"/>
    </xf>
    <xf numFmtId="166" fontId="19" fillId="9" borderId="5" xfId="1" quotePrefix="1" applyNumberFormat="1" applyFont="1" applyFill="1" applyBorder="1" applyAlignment="1">
      <alignment horizontal="center"/>
    </xf>
    <xf numFmtId="166" fontId="27" fillId="9" borderId="5" xfId="0" quotePrefix="1" applyNumberFormat="1" applyFont="1" applyFill="1" applyBorder="1" applyAlignment="1">
      <alignment horizontal="center"/>
    </xf>
    <xf numFmtId="166" fontId="27" fillId="0" borderId="5" xfId="0" quotePrefix="1" applyNumberFormat="1" applyFont="1" applyFill="1" applyBorder="1" applyAlignment="1">
      <alignment horizontal="center"/>
    </xf>
    <xf numFmtId="43" fontId="49" fillId="8" borderId="3" xfId="1" applyFont="1" applyFill="1" applyBorder="1" applyAlignment="1">
      <alignment horizontal="center" vertical="center" wrapText="1"/>
    </xf>
    <xf numFmtId="0" fontId="42" fillId="0" borderId="7" xfId="0" applyFont="1" applyBorder="1"/>
    <xf numFmtId="0" fontId="42" fillId="0" borderId="7" xfId="1" applyNumberFormat="1" applyFont="1" applyBorder="1"/>
    <xf numFmtId="0" fontId="3" fillId="2" borderId="21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43" fontId="3" fillId="3" borderId="19" xfId="1" applyFont="1" applyFill="1" applyBorder="1" applyAlignment="1">
      <alignment horizontal="center" vertical="center" wrapText="1"/>
    </xf>
    <xf numFmtId="166" fontId="3" fillId="3" borderId="19" xfId="0" applyNumberFormat="1" applyFont="1" applyFill="1" applyBorder="1" applyAlignment="1">
      <alignment horizontal="center" vertical="center" wrapText="1"/>
    </xf>
    <xf numFmtId="1" fontId="3" fillId="3" borderId="19" xfId="0" applyNumberFormat="1" applyFont="1" applyFill="1" applyBorder="1" applyAlignment="1">
      <alignment horizontal="center" vertical="center" wrapText="1"/>
    </xf>
    <xf numFmtId="43" fontId="3" fillId="4" borderId="19" xfId="1" applyFont="1" applyFill="1" applyBorder="1" applyAlignment="1">
      <alignment horizontal="center" vertical="center" wrapText="1"/>
    </xf>
    <xf numFmtId="43" fontId="3" fillId="5" borderId="19" xfId="1" applyFont="1" applyFill="1" applyBorder="1" applyAlignment="1">
      <alignment horizontal="center" vertical="center" wrapText="1"/>
    </xf>
    <xf numFmtId="43" fontId="4" fillId="6" borderId="19" xfId="1" applyFont="1" applyFill="1" applyBorder="1" applyAlignment="1">
      <alignment horizontal="center" vertical="center" wrapText="1"/>
    </xf>
    <xf numFmtId="43" fontId="4" fillId="7" borderId="19" xfId="1" applyFont="1" applyFill="1" applyBorder="1" applyAlignment="1">
      <alignment horizontal="center" vertical="center" wrapText="1"/>
    </xf>
    <xf numFmtId="43" fontId="4" fillId="8" borderId="22" xfId="1" applyFont="1" applyFill="1" applyBorder="1" applyAlignment="1">
      <alignment horizontal="center" vertical="center" wrapText="1"/>
    </xf>
    <xf numFmtId="0" fontId="0" fillId="0" borderId="0" xfId="0" applyFont="1"/>
    <xf numFmtId="0" fontId="50" fillId="0" borderId="5" xfId="0" applyFont="1" applyFill="1" applyBorder="1" applyAlignment="1">
      <alignment horizontal="left"/>
    </xf>
    <xf numFmtId="0" fontId="47" fillId="0" borderId="0" xfId="0" applyFont="1"/>
    <xf numFmtId="0" fontId="51" fillId="0" borderId="0" xfId="0" applyFont="1"/>
    <xf numFmtId="16" fontId="19" fillId="9" borderId="5" xfId="0" quotePrefix="1" applyNumberFormat="1" applyFont="1" applyFill="1" applyBorder="1" applyAlignment="1">
      <alignment horizontal="left"/>
    </xf>
    <xf numFmtId="0" fontId="19" fillId="9" borderId="5" xfId="0" applyFont="1" applyFill="1" applyBorder="1" applyAlignment="1">
      <alignment horizontal="left"/>
    </xf>
    <xf numFmtId="16" fontId="19" fillId="9" borderId="5" xfId="0" applyNumberFormat="1" applyFont="1" applyFill="1" applyBorder="1" applyAlignment="1">
      <alignment horizontal="left"/>
    </xf>
    <xf numFmtId="0" fontId="27" fillId="0" borderId="5" xfId="0" quotePrefix="1" applyFont="1" applyBorder="1" applyAlignment="1">
      <alignment horizontal="left"/>
    </xf>
    <xf numFmtId="16" fontId="19" fillId="9" borderId="5" xfId="0" applyNumberFormat="1" applyFont="1" applyFill="1" applyBorder="1"/>
    <xf numFmtId="16" fontId="19" fillId="0" borderId="5" xfId="0" applyNumberFormat="1" applyFont="1" applyFill="1" applyBorder="1" applyAlignment="1">
      <alignment horizontal="left" vertical="top"/>
    </xf>
    <xf numFmtId="43" fontId="19" fillId="9" borderId="5" xfId="1" applyFont="1" applyFill="1" applyBorder="1" applyAlignment="1">
      <alignment horizontal="left"/>
    </xf>
    <xf numFmtId="43" fontId="19" fillId="0" borderId="5" xfId="1" applyFont="1" applyFill="1" applyBorder="1" applyAlignment="1">
      <alignment horizontal="left" vertical="top"/>
    </xf>
    <xf numFmtId="169" fontId="19" fillId="0" borderId="5" xfId="0" quotePrefix="1" applyNumberFormat="1" applyFont="1" applyFill="1" applyBorder="1" applyAlignment="1">
      <alignment horizontal="left" vertical="top"/>
    </xf>
    <xf numFmtId="0" fontId="19" fillId="9" borderId="5" xfId="0" applyFont="1" applyFill="1" applyBorder="1"/>
    <xf numFmtId="16" fontId="27" fillId="9" borderId="5" xfId="0" applyNumberFormat="1" applyFont="1" applyFill="1" applyBorder="1" applyAlignment="1">
      <alignment horizontal="left"/>
    </xf>
    <xf numFmtId="16" fontId="27" fillId="9" borderId="5" xfId="0" quotePrefix="1" applyNumberFormat="1" applyFont="1" applyFill="1" applyBorder="1" applyAlignment="1">
      <alignment horizontal="left"/>
    </xf>
    <xf numFmtId="0" fontId="2" fillId="0" borderId="0" xfId="0" applyFont="1"/>
    <xf numFmtId="0" fontId="26" fillId="17" borderId="5" xfId="0" applyFont="1" applyFill="1" applyBorder="1" applyAlignment="1">
      <alignment horizontal="left" vertical="center"/>
    </xf>
    <xf numFmtId="0" fontId="26" fillId="0" borderId="5" xfId="0" applyFont="1" applyBorder="1" applyAlignment="1">
      <alignment horizontal="left" vertical="center"/>
    </xf>
    <xf numFmtId="0" fontId="26" fillId="0" borderId="0" xfId="0" applyFont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9" borderId="5" xfId="0" applyFont="1" applyFill="1" applyBorder="1" applyAlignment="1">
      <alignment horizontal="left" vertical="center"/>
    </xf>
    <xf numFmtId="165" fontId="26" fillId="0" borderId="5" xfId="5" applyFont="1" applyFill="1" applyBorder="1" applyAlignment="1">
      <alignment horizontal="left" vertical="center"/>
    </xf>
    <xf numFmtId="0" fontId="26" fillId="9" borderId="5" xfId="0" applyFont="1" applyFill="1" applyBorder="1" applyAlignment="1">
      <alignment horizontal="center"/>
    </xf>
    <xf numFmtId="0" fontId="26" fillId="9" borderId="0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5" xfId="0" applyFont="1" applyBorder="1" applyAlignment="1">
      <alignment horizontal="center"/>
    </xf>
    <xf numFmtId="0" fontId="52" fillId="0" borderId="5" xfId="0" applyNumberFormat="1" applyFont="1" applyFill="1" applyBorder="1" applyAlignment="1" applyProtection="1">
      <alignment horizontal="center"/>
    </xf>
    <xf numFmtId="0" fontId="52" fillId="9" borderId="5" xfId="0" applyFont="1" applyFill="1" applyBorder="1" applyAlignment="1">
      <alignment horizontal="center"/>
    </xf>
    <xf numFmtId="16" fontId="19" fillId="9" borderId="0" xfId="0" applyNumberFormat="1" applyFont="1" applyFill="1" applyBorder="1" applyAlignment="1">
      <alignment horizontal="left"/>
    </xf>
    <xf numFmtId="0" fontId="19" fillId="0" borderId="0" xfId="0" applyFont="1" applyAlignment="1">
      <alignment horizontal="right" vertical="center"/>
    </xf>
    <xf numFmtId="14" fontId="27" fillId="0" borderId="5" xfId="1" applyNumberFormat="1" applyFont="1" applyBorder="1" applyAlignment="1">
      <alignment horizontal="right" vertical="center"/>
    </xf>
    <xf numFmtId="14" fontId="19" fillId="0" borderId="5" xfId="1" applyNumberFormat="1" applyFont="1" applyBorder="1" applyAlignment="1">
      <alignment horizontal="right" vertical="center"/>
    </xf>
    <xf numFmtId="14" fontId="19" fillId="0" borderId="0" xfId="1" applyNumberFormat="1" applyFont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3" fillId="0" borderId="0" xfId="0" applyFont="1" applyAlignment="1">
      <alignment horizontal="right" vertical="center"/>
    </xf>
    <xf numFmtId="43" fontId="53" fillId="9" borderId="5" xfId="1" applyFont="1" applyFill="1" applyBorder="1" applyAlignment="1">
      <alignment horizontal="right" vertical="center"/>
    </xf>
    <xf numFmtId="43" fontId="53" fillId="9" borderId="0" xfId="1" applyFont="1" applyFill="1" applyBorder="1" applyAlignment="1">
      <alignment horizontal="right" vertical="center"/>
    </xf>
    <xf numFmtId="43" fontId="53" fillId="0" borderId="5" xfId="1" applyFont="1" applyBorder="1" applyAlignment="1">
      <alignment horizontal="right" vertical="center"/>
    </xf>
    <xf numFmtId="166" fontId="46" fillId="3" borderId="2" xfId="0" applyNumberFormat="1" applyFont="1" applyFill="1" applyBorder="1" applyAlignment="1">
      <alignment horizontal="right" vertical="center"/>
    </xf>
    <xf numFmtId="166" fontId="26" fillId="0" borderId="0" xfId="0" applyNumberFormat="1" applyFont="1" applyAlignment="1">
      <alignment horizontal="right" vertical="center"/>
    </xf>
    <xf numFmtId="166" fontId="52" fillId="0" borderId="5" xfId="2" applyNumberFormat="1" applyFont="1" applyBorder="1" applyAlignment="1">
      <alignment horizontal="right" vertical="center"/>
    </xf>
    <xf numFmtId="166" fontId="52" fillId="0" borderId="5" xfId="1" applyNumberFormat="1" applyFont="1" applyBorder="1" applyAlignment="1">
      <alignment horizontal="right" vertical="center"/>
    </xf>
    <xf numFmtId="166" fontId="26" fillId="0" borderId="5" xfId="1" applyNumberFormat="1" applyFont="1" applyBorder="1" applyAlignment="1">
      <alignment horizontal="right" vertical="center"/>
    </xf>
    <xf numFmtId="166" fontId="26" fillId="0" borderId="0" xfId="1" applyNumberFormat="1" applyFont="1" applyBorder="1" applyAlignment="1">
      <alignment horizontal="right" vertical="center"/>
    </xf>
    <xf numFmtId="166" fontId="26" fillId="9" borderId="5" xfId="0" applyNumberFormat="1" applyFont="1" applyFill="1" applyBorder="1" applyAlignment="1">
      <alignment horizontal="right" vertical="center"/>
    </xf>
    <xf numFmtId="166" fontId="26" fillId="0" borderId="5" xfId="0" applyNumberFormat="1" applyFont="1" applyBorder="1" applyAlignment="1">
      <alignment horizontal="right" vertical="center"/>
    </xf>
    <xf numFmtId="166" fontId="26" fillId="9" borderId="5" xfId="0" quotePrefix="1" applyNumberFormat="1" applyFont="1" applyFill="1" applyBorder="1" applyAlignment="1">
      <alignment horizontal="right" vertical="center"/>
    </xf>
    <xf numFmtId="166" fontId="26" fillId="0" borderId="5" xfId="0" applyNumberFormat="1" applyFont="1" applyFill="1" applyBorder="1" applyAlignment="1">
      <alignment horizontal="right" vertical="center"/>
    </xf>
    <xf numFmtId="166" fontId="26" fillId="9" borderId="5" xfId="1" quotePrefix="1" applyNumberFormat="1" applyFont="1" applyFill="1" applyBorder="1" applyAlignment="1">
      <alignment horizontal="right" vertical="center"/>
    </xf>
    <xf numFmtId="166" fontId="52" fillId="9" borderId="5" xfId="0" quotePrefix="1" applyNumberFormat="1" applyFont="1" applyFill="1" applyBorder="1" applyAlignment="1">
      <alignment horizontal="right" vertical="center"/>
    </xf>
    <xf numFmtId="166" fontId="52" fillId="0" borderId="5" xfId="0" quotePrefix="1" applyNumberFormat="1" applyFont="1" applyFill="1" applyBorder="1" applyAlignment="1">
      <alignment horizontal="right" vertical="center"/>
    </xf>
    <xf numFmtId="0" fontId="47" fillId="0" borderId="6" xfId="0" applyFont="1" applyBorder="1"/>
    <xf numFmtId="0" fontId="47" fillId="3" borderId="2" xfId="0" applyFont="1" applyFill="1" applyBorder="1" applyAlignment="1">
      <alignment horizontal="right" vertical="center"/>
    </xf>
    <xf numFmtId="43" fontId="46" fillId="3" borderId="2" xfId="1" applyFont="1" applyFill="1" applyBorder="1" applyAlignment="1">
      <alignment horizontal="right" vertical="center"/>
    </xf>
    <xf numFmtId="0" fontId="54" fillId="0" borderId="0" xfId="0" applyFont="1"/>
    <xf numFmtId="43" fontId="55" fillId="17" borderId="5" xfId="1" applyNumberFormat="1" applyFont="1" applyFill="1" applyBorder="1"/>
    <xf numFmtId="43" fontId="54" fillId="17" borderId="5" xfId="1" applyNumberFormat="1" applyFont="1" applyFill="1" applyBorder="1"/>
    <xf numFmtId="43" fontId="53" fillId="3" borderId="2" xfId="1" applyFont="1" applyFill="1" applyBorder="1" applyAlignment="1">
      <alignment horizontal="center" vertical="center" wrapText="1"/>
    </xf>
    <xf numFmtId="0" fontId="22" fillId="2" borderId="23" xfId="0" applyFont="1" applyFill="1" applyBorder="1" applyAlignment="1">
      <alignment horizontal="center" vertical="center" wrapText="1"/>
    </xf>
    <xf numFmtId="0" fontId="22" fillId="3" borderId="23" xfId="0" applyFont="1" applyFill="1" applyBorder="1" applyAlignment="1">
      <alignment horizontal="center" vertical="center" wrapText="1"/>
    </xf>
    <xf numFmtId="0" fontId="52" fillId="3" borderId="23" xfId="0" applyFont="1" applyFill="1" applyBorder="1" applyAlignment="1">
      <alignment horizontal="center" vertical="center" wrapText="1"/>
    </xf>
    <xf numFmtId="43" fontId="22" fillId="3" borderId="23" xfId="1" applyNumberFormat="1" applyFont="1" applyFill="1" applyBorder="1" applyAlignment="1">
      <alignment horizontal="center" vertical="center" wrapText="1"/>
    </xf>
    <xf numFmtId="166" fontId="22" fillId="3" borderId="23" xfId="0" applyNumberFormat="1" applyFont="1" applyFill="1" applyBorder="1" applyAlignment="1">
      <alignment horizontal="center" vertical="center" wrapText="1"/>
    </xf>
    <xf numFmtId="1" fontId="52" fillId="3" borderId="23" xfId="0" applyNumberFormat="1" applyFont="1" applyFill="1" applyBorder="1" applyAlignment="1">
      <alignment horizontal="center" vertical="center" wrapText="1"/>
    </xf>
    <xf numFmtId="43" fontId="22" fillId="4" borderId="23" xfId="1" applyNumberFormat="1" applyFont="1" applyFill="1" applyBorder="1" applyAlignment="1">
      <alignment horizontal="center" vertical="center" wrapText="1"/>
    </xf>
    <xf numFmtId="43" fontId="22" fillId="5" borderId="23" xfId="1" applyNumberFormat="1" applyFont="1" applyFill="1" applyBorder="1" applyAlignment="1">
      <alignment horizontal="center" vertical="center" wrapText="1"/>
    </xf>
    <xf numFmtId="43" fontId="22" fillId="6" borderId="23" xfId="1" applyNumberFormat="1" applyFont="1" applyFill="1" applyBorder="1" applyAlignment="1">
      <alignment horizontal="center" vertical="center" wrapText="1"/>
    </xf>
    <xf numFmtId="43" fontId="22" fillId="7" borderId="23" xfId="1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43" fontId="56" fillId="8" borderId="24" xfId="1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9" fillId="0" borderId="7" xfId="1" applyNumberFormat="1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47" fillId="0" borderId="7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165" fontId="19" fillId="9" borderId="5" xfId="5" applyFont="1" applyFill="1" applyBorder="1" applyAlignment="1">
      <alignment horizontal="center"/>
    </xf>
    <xf numFmtId="0" fontId="47" fillId="0" borderId="5" xfId="0" applyFont="1" applyBorder="1" applyAlignment="1">
      <alignment horizontal="center"/>
    </xf>
    <xf numFmtId="0" fontId="57" fillId="18" borderId="5" xfId="0" applyFont="1" applyFill="1" applyBorder="1" applyAlignment="1">
      <alignment horizontal="left"/>
    </xf>
    <xf numFmtId="0" fontId="51" fillId="19" borderId="0" xfId="0" applyFont="1" applyFill="1"/>
    <xf numFmtId="1" fontId="16" fillId="20" borderId="5" xfId="1" applyNumberFormat="1" applyFont="1" applyFill="1" applyBorder="1" applyAlignment="1">
      <alignment horizontal="center"/>
    </xf>
    <xf numFmtId="14" fontId="58" fillId="0" borderId="0" xfId="0" applyNumberFormat="1" applyFont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11" fillId="16" borderId="6" xfId="0" applyFont="1" applyFill="1" applyBorder="1" applyAlignment="1">
      <alignment horizontal="center"/>
    </xf>
    <xf numFmtId="0" fontId="11" fillId="16" borderId="14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</cellXfs>
  <cellStyles count="13">
    <cellStyle name="Comma" xfId="1" builtinId="3"/>
    <cellStyle name="Comma 10" xfId="11"/>
    <cellStyle name="Comma 11" xfId="9"/>
    <cellStyle name="Comma 18" xfId="6"/>
    <cellStyle name="Comma 2 5" xfId="10"/>
    <cellStyle name="Comma 4 2" xfId="5"/>
    <cellStyle name="Comma 5" xfId="8"/>
    <cellStyle name="Normal" xfId="0" builtinId="0"/>
    <cellStyle name="Normal 2" xfId="12"/>
    <cellStyle name="Normal 3" xfId="3"/>
    <cellStyle name="Normal 3 2 2" xfId="4"/>
    <cellStyle name="Normal 4_WEEKLY REPORT" xfId="7"/>
    <cellStyle name="Percent" xfId="2" builtinId="5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dd/mm/yyyy;@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scheme val="minor"/>
      </font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textRotation="0" indent="0" justifyLastLine="0" shrinkToFit="0" readingOrder="0"/>
    </dxf>
    <dxf>
      <font>
        <color theme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P718" totalsRowShown="0" dataDxfId="30" tableBorderDxfId="29" dataCellStyle="Comma">
  <autoFilter ref="B3:P718"/>
  <tableColumns count="15">
    <tableColumn id="1" name="SAP A/C CODE" dataDxfId="28"/>
    <tableColumn id="2" name="SBU" dataDxfId="27"/>
    <tableColumn id="3" name="CUSTOMERS"/>
    <tableColumn id="4" name="MONTH"/>
    <tableColumn id="5" name="INVOICE NUMBER"/>
    <tableColumn id="6" name="INVOICE DATE"/>
    <tableColumn id="7" name="INVOICE AMOUNT               =N="/>
    <tableColumn id="8" name="DUE DATE  "/>
    <tableColumn id="9" name="OUTSTANDING NUMBER OF DAYS" dataDxfId="26" dataCellStyle="Comma"/>
    <tableColumn id="10" name="16-30 days" dataDxfId="25" dataCellStyle="Comma"/>
    <tableColumn id="11" name="31-60 days" dataDxfId="24" dataCellStyle="Comma"/>
    <tableColumn id="12" name="61-90 days" dataDxfId="23" dataCellStyle="Comma"/>
    <tableColumn id="13" name="91-180 days" dataDxfId="22" dataCellStyle="Comma"/>
    <tableColumn id="14" name="181-360 days" dataDxfId="21" dataCellStyle="Comma"/>
    <tableColumn id="15" name="over 360 days" dataDxfId="20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3:P688" totalsRowShown="0" headerRowDxfId="18" dataDxfId="16" headerRowBorderDxfId="17" tableBorderDxfId="15" dataCellStyle="Comma">
  <autoFilter ref="B3:P688"/>
  <tableColumns count="15">
    <tableColumn id="1" name="SAP A/C CODE" dataDxfId="14"/>
    <tableColumn id="2" name="SBU" dataDxfId="13"/>
    <tableColumn id="3" name="CUSTOMERS" dataDxfId="12"/>
    <tableColumn id="4" name="MONTH" dataDxfId="11"/>
    <tableColumn id="5" name="INVOICE NUMBER" dataDxfId="10"/>
    <tableColumn id="6" name="INVOICE DATE" dataDxfId="9"/>
    <tableColumn id="7" name="INVOICE AMOUNT               =N=" dataDxfId="8"/>
    <tableColumn id="8" name="DUE DATE  " dataDxfId="7"/>
    <tableColumn id="9" name="OUTSTANDING NUMBER OF DAYS" dataDxfId="6" dataCellStyle="Comma">
      <calculatedColumnFormula>DATEDIF(I4,$J$4,"D")</calculatedColumnFormula>
    </tableColumn>
    <tableColumn id="10" name="16-30 days" dataDxfId="5" dataCellStyle="Comma">
      <calculatedColumnFormula>IF(AND(J4&gt;=16,J4&lt;=30),H4,"")</calculatedColumnFormula>
    </tableColumn>
    <tableColumn id="11" name="31-60 days" dataDxfId="4" dataCellStyle="Comma">
      <calculatedColumnFormula>IF(AND(J4&gt;=31,J4&lt;=60),H4,"")</calculatedColumnFormula>
    </tableColumn>
    <tableColumn id="12" name="61-90 days" dataDxfId="3" dataCellStyle="Comma">
      <calculatedColumnFormula>IF(AND(J4&gt;=61,J4&lt;=90),H4,"")</calculatedColumnFormula>
    </tableColumn>
    <tableColumn id="13" name="91-180 days" dataDxfId="2" dataCellStyle="Comma">
      <calculatedColumnFormula>IF(AND(J4&gt;=91,J4&lt;=180),H4,"")</calculatedColumnFormula>
    </tableColumn>
    <tableColumn id="14" name="181-360 days" dataDxfId="1" dataCellStyle="Comma">
      <calculatedColumnFormula>IF(AND(J4&gt;=181,J4&lt;=360),H4,"")</calculatedColumnFormula>
    </tableColumn>
    <tableColumn id="15" name="over 360 days" dataDxfId="0" dataCellStyle="Comma">
      <calculatedColumnFormula>IF(J4&gt;=360,H4,"")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18"/>
  <sheetViews>
    <sheetView tabSelected="1" topLeftCell="F1" zoomScale="80" zoomScaleNormal="80" workbookViewId="0">
      <pane ySplit="3" topLeftCell="A4" activePane="bottomLeft" state="frozen"/>
      <selection pane="bottomLeft" activeCell="N6" sqref="N6"/>
    </sheetView>
  </sheetViews>
  <sheetFormatPr defaultRowHeight="21"/>
  <cols>
    <col min="1" max="1" width="9.140625" style="477"/>
    <col min="2" max="2" width="18.42578125" style="477" customWidth="1"/>
    <col min="3" max="3" width="16.28515625" style="477" customWidth="1"/>
    <col min="4" max="4" width="56.42578125" customWidth="1"/>
    <col min="5" max="5" width="40.140625" customWidth="1"/>
    <col min="6" max="6" width="21.28515625" customWidth="1"/>
    <col min="7" max="7" width="17.85546875" style="2" customWidth="1"/>
    <col min="8" max="8" width="35.42578125" style="1" customWidth="1"/>
    <col min="9" max="9" width="19" style="519" customWidth="1"/>
    <col min="10" max="10" width="36.85546875" style="496" customWidth="1"/>
    <col min="11" max="11" width="26.140625" style="484" customWidth="1"/>
    <col min="12" max="12" width="27.7109375" style="484" bestFit="1" customWidth="1"/>
    <col min="13" max="13" width="29.42578125" style="484" bestFit="1" customWidth="1"/>
    <col min="14" max="14" width="27.42578125" style="484" bestFit="1" customWidth="1"/>
    <col min="15" max="15" width="25.5703125" style="484" customWidth="1"/>
    <col min="16" max="16" width="29.42578125" style="484" bestFit="1" customWidth="1"/>
    <col min="17" max="17" width="19.5703125" bestFit="1" customWidth="1"/>
    <col min="18" max="18" width="20.28515625" bestFit="1" customWidth="1"/>
  </cols>
  <sheetData>
    <row r="1" spans="1:16" ht="44.25" customHeight="1">
      <c r="A1"/>
      <c r="B1"/>
      <c r="C1"/>
      <c r="D1" s="628"/>
      <c r="E1" s="628"/>
      <c r="F1" s="628"/>
      <c r="G1" s="628"/>
      <c r="H1" s="628"/>
      <c r="I1" s="628"/>
      <c r="J1" s="494"/>
      <c r="K1" s="1"/>
      <c r="L1" s="1"/>
      <c r="M1" s="1"/>
      <c r="N1" s="1"/>
      <c r="O1" s="1"/>
      <c r="P1" s="1"/>
    </row>
    <row r="2" spans="1:16" ht="15">
      <c r="A2"/>
      <c r="B2"/>
      <c r="C2"/>
      <c r="D2" s="629"/>
      <c r="E2" s="629"/>
      <c r="F2" s="629"/>
      <c r="G2" s="629"/>
      <c r="H2" s="629"/>
      <c r="I2" s="629"/>
      <c r="J2" s="495" t="s">
        <v>2215</v>
      </c>
      <c r="K2" s="1">
        <v>1</v>
      </c>
      <c r="L2" s="1">
        <v>1</v>
      </c>
      <c r="M2" s="1">
        <v>1</v>
      </c>
      <c r="N2" s="1">
        <v>3</v>
      </c>
      <c r="O2" s="1">
        <v>6</v>
      </c>
      <c r="P2" s="1"/>
    </row>
    <row r="3" spans="1:16" ht="53.25" customHeight="1">
      <c r="A3"/>
      <c r="B3" s="532" t="s">
        <v>1</v>
      </c>
      <c r="C3" s="533" t="s">
        <v>2</v>
      </c>
      <c r="D3" s="534" t="s">
        <v>128</v>
      </c>
      <c r="E3" s="534" t="s">
        <v>129</v>
      </c>
      <c r="F3" s="534" t="s">
        <v>130</v>
      </c>
      <c r="G3" s="534" t="s">
        <v>3</v>
      </c>
      <c r="H3" s="535" t="s">
        <v>131</v>
      </c>
      <c r="I3" s="536" t="s">
        <v>2217</v>
      </c>
      <c r="J3" s="537" t="s">
        <v>2214</v>
      </c>
      <c r="K3" s="535" t="s">
        <v>4</v>
      </c>
      <c r="L3" s="538" t="s">
        <v>5</v>
      </c>
      <c r="M3" s="539" t="s">
        <v>6</v>
      </c>
      <c r="N3" s="540" t="s">
        <v>7</v>
      </c>
      <c r="O3" s="541" t="s">
        <v>8</v>
      </c>
      <c r="P3" s="542" t="s">
        <v>9</v>
      </c>
    </row>
    <row r="4" spans="1:16" s="477" customFormat="1" ht="24.75" customHeight="1">
      <c r="B4" s="530"/>
      <c r="C4" s="489"/>
      <c r="D4" s="497" t="s">
        <v>138</v>
      </c>
      <c r="E4" s="109"/>
      <c r="F4" s="498"/>
      <c r="G4" s="478"/>
      <c r="H4" s="499"/>
      <c r="I4" s="514" t="s">
        <v>2232</v>
      </c>
      <c r="J4" s="516">
        <v>44371</v>
      </c>
      <c r="K4" s="479"/>
      <c r="L4" s="479"/>
      <c r="M4" s="479"/>
      <c r="N4" s="479"/>
      <c r="O4" s="479"/>
      <c r="P4" s="479"/>
    </row>
    <row r="5" spans="1:16" s="477" customFormat="1" ht="24.75" customHeight="1">
      <c r="B5" s="530"/>
      <c r="C5" s="489"/>
      <c r="D5"/>
      <c r="E5" s="109"/>
      <c r="F5" s="498"/>
      <c r="G5" s="478"/>
      <c r="H5" s="499"/>
      <c r="I5" s="514"/>
      <c r="J5" s="481"/>
      <c r="K5" s="479"/>
      <c r="L5" s="479"/>
      <c r="M5" s="479"/>
      <c r="N5" s="479"/>
      <c r="O5" s="479"/>
      <c r="P5" s="479"/>
    </row>
    <row r="6" spans="1:16" s="477" customFormat="1" ht="19.5" customHeight="1">
      <c r="B6" s="531">
        <v>10014026</v>
      </c>
      <c r="C6" s="489" t="s">
        <v>10</v>
      </c>
      <c r="D6" s="30" t="str">
        <f>'WEEKLY REPORT'!B5</f>
        <v>ADVANCE INTERNATIONAL MERCHANTS LTD</v>
      </c>
      <c r="E6" s="42" t="str">
        <f>'WEEKLY REPORT'!C30</f>
        <v>JANUARY 2021</v>
      </c>
      <c r="F6" s="29" t="str">
        <f>'WEEKLY REPORT'!D30</f>
        <v>NGS 026</v>
      </c>
      <c r="G6" s="480">
        <v>44237</v>
      </c>
      <c r="H6" s="60">
        <f>'WEEKLY REPORT'!F30</f>
        <v>5808334.548620834</v>
      </c>
      <c r="I6" s="520">
        <v>44250</v>
      </c>
      <c r="J6" s="481">
        <f>DATEDIF(I6,$J$4,"D")</f>
        <v>121</v>
      </c>
      <c r="K6" s="479" t="str">
        <f>IF(AND(J6&gt;=16,J6&lt;=30),H6,"")</f>
        <v/>
      </c>
      <c r="L6" s="479" t="str">
        <f>IF(AND(J6&gt;=31,J6&lt;=60),H6,"")</f>
        <v/>
      </c>
      <c r="M6" s="487" t="str">
        <f>IF(AND(J6&gt;=61,J6&lt;=90),H6,"")</f>
        <v/>
      </c>
      <c r="N6" s="479">
        <f>IF(AND(J6&gt;=91,J6&lt;=180),H6,"")</f>
        <v>5808334.548620834</v>
      </c>
      <c r="O6" s="479" t="str">
        <f>IF(AND(J6&gt;=181,J6&lt;=360),H6,"")</f>
        <v/>
      </c>
      <c r="P6" s="479" t="str">
        <f>IF(J6&gt;=360,H6,"")</f>
        <v/>
      </c>
    </row>
    <row r="7" spans="1:16" s="477" customFormat="1" ht="19.5" customHeight="1">
      <c r="B7" s="530">
        <v>10014026</v>
      </c>
      <c r="C7" s="489" t="s">
        <v>10</v>
      </c>
      <c r="D7" s="30" t="str">
        <f>'WEEKLY REPORT'!B5</f>
        <v>ADVANCE INTERNATIONAL MERCHANTS LTD</v>
      </c>
      <c r="E7" s="42" t="str">
        <f>'WEEKLY REPORT'!C31</f>
        <v>FEBRUARY 2021</v>
      </c>
      <c r="F7" s="29" t="str">
        <f>'WEEKLY REPORT'!D31</f>
        <v>NGS 027</v>
      </c>
      <c r="G7" s="480">
        <v>44260</v>
      </c>
      <c r="H7" s="60">
        <f>'WEEKLY REPORT'!F31</f>
        <v>3884828.5404569022</v>
      </c>
      <c r="I7" s="521">
        <v>44275</v>
      </c>
      <c r="J7" s="481">
        <f t="shared" ref="J7:J71" si="0">DATEDIF(I7,$J$4,"D")</f>
        <v>96</v>
      </c>
      <c r="K7" s="479" t="str">
        <f t="shared" ref="K7:K70" si="1">IF(AND(J7&gt;=16,J7&lt;=30),H7,"")</f>
        <v/>
      </c>
      <c r="L7" s="479" t="str">
        <f t="shared" ref="L7:L70" si="2">IF(AND(J7&gt;=31,J7&lt;=60),H7,"")</f>
        <v/>
      </c>
      <c r="M7" s="487" t="str">
        <f t="shared" ref="M7:M70" si="3">IF(AND(J7&gt;=61,J7&lt;=90),H7,"")</f>
        <v/>
      </c>
      <c r="N7" s="479">
        <f t="shared" ref="N7:N70" si="4">IF(AND(J7&gt;=91,J7&lt;=180),H7,"")</f>
        <v>3884828.5404569022</v>
      </c>
      <c r="O7" s="479" t="str">
        <f t="shared" ref="O7:O70" si="5">IF(AND(J7&gt;=181,J7&lt;=360),H7,"")</f>
        <v/>
      </c>
      <c r="P7" s="479" t="str">
        <f t="shared" ref="P7:P70" si="6">IF(J7&gt;=360,H7,"")</f>
        <v/>
      </c>
    </row>
    <row r="8" spans="1:16" s="477" customFormat="1" ht="19.5" customHeight="1">
      <c r="B8" s="530"/>
      <c r="C8" s="489"/>
      <c r="D8" s="30"/>
      <c r="E8" s="31"/>
      <c r="F8" s="29"/>
      <c r="G8" s="482"/>
      <c r="H8" s="194"/>
      <c r="I8" s="523"/>
      <c r="J8" s="481"/>
      <c r="K8" s="479" t="str">
        <f t="shared" si="1"/>
        <v/>
      </c>
      <c r="L8" s="479" t="str">
        <f t="shared" si="2"/>
        <v/>
      </c>
      <c r="M8" s="487" t="str">
        <f t="shared" si="3"/>
        <v/>
      </c>
      <c r="N8" s="479" t="str">
        <f t="shared" si="4"/>
        <v/>
      </c>
      <c r="O8" s="479" t="str">
        <f t="shared" si="5"/>
        <v/>
      </c>
      <c r="P8" s="479" t="str">
        <f t="shared" si="6"/>
        <v/>
      </c>
    </row>
    <row r="9" spans="1:16" s="477" customFormat="1" ht="19.5" customHeight="1">
      <c r="B9" s="530"/>
      <c r="C9" s="489"/>
      <c r="D9" s="30"/>
      <c r="E9" s="31"/>
      <c r="F9" s="29"/>
      <c r="G9" s="482"/>
      <c r="H9" s="60"/>
      <c r="I9" s="523"/>
      <c r="J9" s="481"/>
      <c r="K9" s="479" t="str">
        <f t="shared" si="1"/>
        <v/>
      </c>
      <c r="L9" s="479" t="str">
        <f t="shared" si="2"/>
        <v/>
      </c>
      <c r="M9" s="487" t="str">
        <f t="shared" si="3"/>
        <v/>
      </c>
      <c r="N9" s="479" t="str">
        <f t="shared" si="4"/>
        <v/>
      </c>
      <c r="O9" s="479" t="str">
        <f t="shared" si="5"/>
        <v/>
      </c>
      <c r="P9" s="479" t="str">
        <f t="shared" si="6"/>
        <v/>
      </c>
    </row>
    <row r="10" spans="1:16" s="477" customFormat="1">
      <c r="B10" s="530">
        <v>10000581</v>
      </c>
      <c r="C10" s="489" t="s">
        <v>10</v>
      </c>
      <c r="D10" s="30" t="str">
        <f>'WEEKLY REPORT'!B34</f>
        <v>AFRICAN FOUNDRIES</v>
      </c>
      <c r="E10" s="31" t="str">
        <f>'WEEKLY REPORT'!C70</f>
        <v>JANUARY 2021</v>
      </c>
      <c r="F10" s="29" t="str">
        <f>'WEEKLY REPORT'!D70</f>
        <v>NGS 103</v>
      </c>
      <c r="G10" s="480">
        <f>'WEEKLY REPORT'!E70</f>
        <v>44410</v>
      </c>
      <c r="H10" s="60">
        <f>'WEEKLY REPORT'!K71</f>
        <v>56578862.039423943</v>
      </c>
      <c r="I10" s="521">
        <f>'WEEKLY REPORT'!G70</f>
        <v>44258</v>
      </c>
      <c r="J10" s="481">
        <f t="shared" si="0"/>
        <v>113</v>
      </c>
      <c r="K10" s="479" t="str">
        <f t="shared" si="1"/>
        <v/>
      </c>
      <c r="L10" s="479" t="str">
        <f t="shared" si="2"/>
        <v/>
      </c>
      <c r="M10" s="487" t="str">
        <f t="shared" si="3"/>
        <v/>
      </c>
      <c r="N10" s="479">
        <f t="shared" si="4"/>
        <v>56578862.039423943</v>
      </c>
      <c r="O10" s="479" t="str">
        <f t="shared" si="5"/>
        <v/>
      </c>
      <c r="P10" s="479" t="str">
        <f t="shared" si="6"/>
        <v/>
      </c>
    </row>
    <row r="11" spans="1:16" s="477" customFormat="1">
      <c r="B11" s="530">
        <v>10000581</v>
      </c>
      <c r="C11" s="489" t="s">
        <v>10</v>
      </c>
      <c r="D11" s="30" t="s">
        <v>28</v>
      </c>
      <c r="E11" s="31" t="str">
        <f>'WEEKLY REPORT'!C71</f>
        <v>FEBRUARY 2021</v>
      </c>
      <c r="F11" s="29" t="str">
        <f>'WEEKLY REPORT'!D71</f>
        <v>NGS 104</v>
      </c>
      <c r="G11" s="480">
        <f>'WEEKLY REPORT'!E71</f>
        <v>44319</v>
      </c>
      <c r="H11" s="60">
        <f>'WEEKLY REPORT'!F71</f>
        <v>99623212.688884497</v>
      </c>
      <c r="I11" s="521">
        <v>44275</v>
      </c>
      <c r="J11" s="481">
        <f t="shared" si="0"/>
        <v>96</v>
      </c>
      <c r="K11" s="479" t="str">
        <f t="shared" si="1"/>
        <v/>
      </c>
      <c r="L11" s="479" t="str">
        <f t="shared" si="2"/>
        <v/>
      </c>
      <c r="M11" s="487" t="str">
        <f t="shared" si="3"/>
        <v/>
      </c>
      <c r="N11" s="479">
        <f t="shared" si="4"/>
        <v>99623212.688884497</v>
      </c>
      <c r="O11" s="479" t="str">
        <f t="shared" si="5"/>
        <v/>
      </c>
      <c r="P11" s="479" t="str">
        <f t="shared" si="6"/>
        <v/>
      </c>
    </row>
    <row r="12" spans="1:16" s="477" customFormat="1">
      <c r="B12" s="530"/>
      <c r="C12" s="489"/>
      <c r="D12" s="30"/>
      <c r="E12" s="31"/>
      <c r="F12" s="29"/>
      <c r="G12" s="482"/>
      <c r="H12" s="194"/>
      <c r="I12" s="523"/>
      <c r="J12" s="481"/>
      <c r="K12" s="479" t="str">
        <f t="shared" si="1"/>
        <v/>
      </c>
      <c r="L12" s="479" t="str">
        <f t="shared" si="2"/>
        <v/>
      </c>
      <c r="M12" s="487" t="str">
        <f t="shared" si="3"/>
        <v/>
      </c>
      <c r="N12" s="479" t="str">
        <f t="shared" si="4"/>
        <v/>
      </c>
      <c r="O12" s="479" t="str">
        <f t="shared" si="5"/>
        <v/>
      </c>
      <c r="P12" s="479" t="str">
        <f t="shared" si="6"/>
        <v/>
      </c>
    </row>
    <row r="13" spans="1:16" s="477" customFormat="1">
      <c r="B13" s="530"/>
      <c r="C13" s="489"/>
      <c r="D13" s="30"/>
      <c r="E13" s="31"/>
      <c r="F13" s="29"/>
      <c r="G13" s="482"/>
      <c r="H13" s="194"/>
      <c r="I13" s="523"/>
      <c r="J13" s="481"/>
      <c r="K13" s="479" t="str">
        <f t="shared" si="1"/>
        <v/>
      </c>
      <c r="L13" s="479" t="str">
        <f t="shared" si="2"/>
        <v/>
      </c>
      <c r="M13" s="487" t="str">
        <f t="shared" si="3"/>
        <v/>
      </c>
      <c r="N13" s="479" t="str">
        <f t="shared" si="4"/>
        <v/>
      </c>
      <c r="O13" s="479" t="str">
        <f t="shared" si="5"/>
        <v/>
      </c>
      <c r="P13" s="479" t="str">
        <f t="shared" si="6"/>
        <v/>
      </c>
    </row>
    <row r="14" spans="1:16" s="477" customFormat="1">
      <c r="B14" s="530"/>
      <c r="C14" s="489"/>
      <c r="D14" s="50"/>
      <c r="E14" s="7"/>
      <c r="F14" s="7"/>
      <c r="G14" s="483"/>
      <c r="H14" s="55"/>
      <c r="I14" s="522"/>
      <c r="J14" s="481"/>
      <c r="K14" s="479" t="str">
        <f t="shared" si="1"/>
        <v/>
      </c>
      <c r="L14" s="479" t="str">
        <f t="shared" si="2"/>
        <v/>
      </c>
      <c r="M14" s="487" t="str">
        <f t="shared" si="3"/>
        <v/>
      </c>
      <c r="N14" s="479" t="str">
        <f t="shared" si="4"/>
        <v/>
      </c>
      <c r="O14" s="479" t="str">
        <f t="shared" si="5"/>
        <v/>
      </c>
      <c r="P14" s="479" t="str">
        <f t="shared" si="6"/>
        <v/>
      </c>
    </row>
    <row r="15" spans="1:16" s="477" customFormat="1" ht="20.25" customHeight="1">
      <c r="B15" s="530">
        <v>10000433</v>
      </c>
      <c r="C15" s="489" t="s">
        <v>10</v>
      </c>
      <c r="D15" s="30" t="str">
        <f>'WEEKLY REPORT'!B74</f>
        <v>AFRICAN REFRACTORY/NON FERROUS</v>
      </c>
      <c r="E15" s="42" t="str">
        <f>'WEEKLY REPORT'!C101</f>
        <v>APRIL 2020</v>
      </c>
      <c r="F15" s="31" t="str">
        <f>'WEEKLY REPORT'!D101</f>
        <v>NGS 118</v>
      </c>
      <c r="G15" s="480" t="str">
        <f>'WEEKLY REPORT'!E101</f>
        <v>06/05/2020</v>
      </c>
      <c r="H15" s="60">
        <f>'WEEKLY REPORT'!J101</f>
        <v>98306.172228250187</v>
      </c>
      <c r="I15" s="522">
        <v>44001</v>
      </c>
      <c r="J15" s="481">
        <f t="shared" si="0"/>
        <v>370</v>
      </c>
      <c r="K15" s="479" t="str">
        <f t="shared" si="1"/>
        <v/>
      </c>
      <c r="L15" s="479" t="str">
        <f t="shared" si="2"/>
        <v/>
      </c>
      <c r="M15" s="487" t="str">
        <f t="shared" si="3"/>
        <v/>
      </c>
      <c r="N15" s="479" t="str">
        <f t="shared" si="4"/>
        <v/>
      </c>
      <c r="O15" s="479" t="str">
        <f t="shared" si="5"/>
        <v/>
      </c>
      <c r="P15" s="479">
        <f t="shared" si="6"/>
        <v>98306.172228250187</v>
      </c>
    </row>
    <row r="16" spans="1:16" s="477" customFormat="1">
      <c r="B16" s="530">
        <v>10000433</v>
      </c>
      <c r="C16" s="489" t="s">
        <v>10</v>
      </c>
      <c r="D16" s="30" t="s">
        <v>30</v>
      </c>
      <c r="E16" s="42" t="str">
        <f>'WEEKLY REPORT'!C102</f>
        <v>MAY 2020</v>
      </c>
      <c r="F16" s="29" t="str">
        <f>'WEEKLY REPORT'!D102</f>
        <v>NGS 119</v>
      </c>
      <c r="G16" s="480">
        <f>'WEEKLY REPORT'!E102</f>
        <v>44049</v>
      </c>
      <c r="H16" s="60">
        <f>'WEEKLY REPORT'!J102</f>
        <v>1145943.9785100017</v>
      </c>
      <c r="I16" s="521">
        <v>44015</v>
      </c>
      <c r="J16" s="481">
        <f t="shared" si="0"/>
        <v>356</v>
      </c>
      <c r="K16" s="479" t="str">
        <f t="shared" si="1"/>
        <v/>
      </c>
      <c r="L16" s="479" t="str">
        <f t="shared" si="2"/>
        <v/>
      </c>
      <c r="M16" s="487" t="str">
        <f t="shared" si="3"/>
        <v/>
      </c>
      <c r="N16" s="479" t="str">
        <f t="shared" si="4"/>
        <v/>
      </c>
      <c r="O16" s="479">
        <f t="shared" si="5"/>
        <v>1145943.9785100017</v>
      </c>
      <c r="P16" s="479" t="str">
        <f t="shared" si="6"/>
        <v/>
      </c>
    </row>
    <row r="17" spans="2:16" s="477" customFormat="1">
      <c r="B17" s="530">
        <v>10000433</v>
      </c>
      <c r="C17" s="489" t="s">
        <v>10</v>
      </c>
      <c r="D17" s="30" t="s">
        <v>30</v>
      </c>
      <c r="E17" s="42" t="str">
        <f>'WEEKLY REPORT'!C104</f>
        <v>JULY 2020</v>
      </c>
      <c r="F17" s="29" t="str">
        <f>'WEEKLY REPORT'!D104</f>
        <v>NGS 121</v>
      </c>
      <c r="G17" s="480">
        <f>'WEEKLY REPORT'!E104</f>
        <v>43990</v>
      </c>
      <c r="H17" s="60">
        <f>'WEEKLY REPORT'!J104</f>
        <v>11215589.548319997</v>
      </c>
      <c r="I17" s="521">
        <v>44064</v>
      </c>
      <c r="J17" s="481">
        <f t="shared" si="0"/>
        <v>307</v>
      </c>
      <c r="K17" s="479" t="str">
        <f t="shared" si="1"/>
        <v/>
      </c>
      <c r="L17" s="479" t="str">
        <f t="shared" si="2"/>
        <v/>
      </c>
      <c r="M17" s="487" t="str">
        <f t="shared" si="3"/>
        <v/>
      </c>
      <c r="N17" s="479" t="str">
        <f t="shared" si="4"/>
        <v/>
      </c>
      <c r="O17" s="479">
        <f t="shared" si="5"/>
        <v>11215589.548319997</v>
      </c>
      <c r="P17" s="479" t="str">
        <f t="shared" si="6"/>
        <v/>
      </c>
    </row>
    <row r="18" spans="2:16" s="477" customFormat="1">
      <c r="B18" s="530">
        <v>10000433</v>
      </c>
      <c r="C18" s="489" t="s">
        <v>10</v>
      </c>
      <c r="D18" s="30" t="s">
        <v>30</v>
      </c>
      <c r="E18" s="42" t="str">
        <f>'WEEKLY REPORT'!C105</f>
        <v>AUGUST 2020</v>
      </c>
      <c r="F18" s="29" t="str">
        <f>'WEEKLY REPORT'!D105</f>
        <v>NGS 122</v>
      </c>
      <c r="G18" s="480" t="str">
        <f>'WEEKLY REPORT'!E105</f>
        <v>4/9/2020</v>
      </c>
      <c r="H18" s="60">
        <f>'WEEKLY REPORT'!F105</f>
        <v>16464152.47194</v>
      </c>
      <c r="I18" s="521">
        <v>44099</v>
      </c>
      <c r="J18" s="481">
        <f t="shared" si="0"/>
        <v>272</v>
      </c>
      <c r="K18" s="479" t="str">
        <f t="shared" si="1"/>
        <v/>
      </c>
      <c r="L18" s="479" t="str">
        <f t="shared" si="2"/>
        <v/>
      </c>
      <c r="M18" s="487" t="str">
        <f t="shared" si="3"/>
        <v/>
      </c>
      <c r="N18" s="479" t="str">
        <f t="shared" si="4"/>
        <v/>
      </c>
      <c r="O18" s="479">
        <f t="shared" si="5"/>
        <v>16464152.47194</v>
      </c>
      <c r="P18" s="479" t="str">
        <f t="shared" si="6"/>
        <v/>
      </c>
    </row>
    <row r="19" spans="2:16" s="477" customFormat="1">
      <c r="B19" s="530"/>
      <c r="C19" s="489"/>
      <c r="D19" s="30"/>
      <c r="E19" s="31"/>
      <c r="F19" s="29"/>
      <c r="G19" s="482"/>
      <c r="H19" s="194"/>
      <c r="I19" s="523"/>
      <c r="J19" s="481"/>
      <c r="K19" s="479" t="str">
        <f t="shared" si="1"/>
        <v/>
      </c>
      <c r="L19" s="479" t="str">
        <f t="shared" si="2"/>
        <v/>
      </c>
      <c r="M19" s="487" t="str">
        <f t="shared" si="3"/>
        <v/>
      </c>
      <c r="N19" s="479" t="str">
        <f t="shared" si="4"/>
        <v/>
      </c>
      <c r="O19" s="479" t="str">
        <f t="shared" si="5"/>
        <v/>
      </c>
      <c r="P19" s="479" t="str">
        <f t="shared" si="6"/>
        <v/>
      </c>
    </row>
    <row r="20" spans="2:16" s="477" customFormat="1">
      <c r="B20" s="530"/>
      <c r="C20" s="489"/>
      <c r="D20" s="30"/>
      <c r="E20" s="31"/>
      <c r="F20" s="29"/>
      <c r="G20" s="482"/>
      <c r="H20" s="60"/>
      <c r="I20" s="523"/>
      <c r="J20" s="481"/>
      <c r="K20" s="479" t="str">
        <f t="shared" si="1"/>
        <v/>
      </c>
      <c r="L20" s="479" t="str">
        <f t="shared" si="2"/>
        <v/>
      </c>
      <c r="M20" s="487" t="str">
        <f t="shared" si="3"/>
        <v/>
      </c>
      <c r="N20" s="479" t="str">
        <f t="shared" si="4"/>
        <v/>
      </c>
      <c r="O20" s="479" t="str">
        <f t="shared" si="5"/>
        <v/>
      </c>
      <c r="P20" s="479" t="str">
        <f t="shared" si="6"/>
        <v/>
      </c>
    </row>
    <row r="21" spans="2:16" s="477" customFormat="1">
      <c r="B21" s="530">
        <v>10011811</v>
      </c>
      <c r="C21" s="489" t="s">
        <v>10</v>
      </c>
      <c r="D21" s="57" t="s">
        <v>354</v>
      </c>
      <c r="E21" s="62" t="s">
        <v>207</v>
      </c>
      <c r="F21" s="29" t="s">
        <v>385</v>
      </c>
      <c r="G21" s="44" t="s">
        <v>292</v>
      </c>
      <c r="H21" s="60">
        <v>11961728.460331507</v>
      </c>
      <c r="I21" s="524">
        <v>44099</v>
      </c>
      <c r="J21" s="481">
        <f t="shared" si="0"/>
        <v>272</v>
      </c>
      <c r="K21" s="479" t="str">
        <f t="shared" si="1"/>
        <v/>
      </c>
      <c r="L21" s="479" t="str">
        <f t="shared" si="2"/>
        <v/>
      </c>
      <c r="M21" s="487" t="str">
        <f t="shared" si="3"/>
        <v/>
      </c>
      <c r="N21" s="479" t="str">
        <f t="shared" si="4"/>
        <v/>
      </c>
      <c r="O21" s="479">
        <f t="shared" si="5"/>
        <v>11961728.460331507</v>
      </c>
      <c r="P21" s="479" t="str">
        <f t="shared" si="6"/>
        <v/>
      </c>
    </row>
    <row r="22" spans="2:16" s="477" customFormat="1">
      <c r="B22" s="530">
        <v>10011811</v>
      </c>
      <c r="C22" s="489" t="s">
        <v>10</v>
      </c>
      <c r="D22" s="57" t="s">
        <v>354</v>
      </c>
      <c r="E22" s="62" t="s">
        <v>218</v>
      </c>
      <c r="F22" s="29" t="s">
        <v>39</v>
      </c>
      <c r="G22" s="44">
        <v>44024</v>
      </c>
      <c r="H22" s="60">
        <v>13659639.038073748</v>
      </c>
      <c r="I22" s="524">
        <v>44208</v>
      </c>
      <c r="J22" s="481">
        <f t="shared" si="0"/>
        <v>163</v>
      </c>
      <c r="K22" s="479" t="str">
        <f t="shared" si="1"/>
        <v/>
      </c>
      <c r="L22" s="479" t="str">
        <f t="shared" si="2"/>
        <v/>
      </c>
      <c r="M22" s="487" t="str">
        <f t="shared" si="3"/>
        <v/>
      </c>
      <c r="N22" s="479">
        <f t="shared" si="4"/>
        <v>13659639.038073748</v>
      </c>
      <c r="O22" s="479" t="str">
        <f t="shared" si="5"/>
        <v/>
      </c>
      <c r="P22" s="479" t="str">
        <f t="shared" si="6"/>
        <v/>
      </c>
    </row>
    <row r="23" spans="2:16" s="477" customFormat="1">
      <c r="B23" s="530">
        <v>10011811</v>
      </c>
      <c r="C23" s="489" t="s">
        <v>10</v>
      </c>
      <c r="D23" s="57" t="s">
        <v>354</v>
      </c>
      <c r="E23" s="62" t="s">
        <v>222</v>
      </c>
      <c r="F23" s="29" t="s">
        <v>393</v>
      </c>
      <c r="G23" s="44">
        <v>44319</v>
      </c>
      <c r="H23" s="60">
        <v>17537324.554827001</v>
      </c>
      <c r="I23" s="521">
        <v>44275</v>
      </c>
      <c r="J23" s="481">
        <f t="shared" si="0"/>
        <v>96</v>
      </c>
      <c r="K23" s="479" t="str">
        <f t="shared" si="1"/>
        <v/>
      </c>
      <c r="L23" s="479" t="str">
        <f t="shared" si="2"/>
        <v/>
      </c>
      <c r="M23" s="487" t="str">
        <f t="shared" si="3"/>
        <v/>
      </c>
      <c r="N23" s="479">
        <f t="shared" si="4"/>
        <v>17537324.554827001</v>
      </c>
      <c r="O23" s="479" t="str">
        <f t="shared" si="5"/>
        <v/>
      </c>
      <c r="P23" s="479" t="str">
        <f t="shared" si="6"/>
        <v/>
      </c>
    </row>
    <row r="24" spans="2:16" s="477" customFormat="1" ht="21.75" customHeight="1">
      <c r="B24" s="530"/>
      <c r="C24" s="489"/>
      <c r="D24" s="57"/>
      <c r="E24" s="489"/>
      <c r="F24" s="489"/>
      <c r="G24" s="489"/>
      <c r="H24" s="487"/>
      <c r="I24" s="522"/>
      <c r="J24" s="481"/>
      <c r="K24" s="479" t="str">
        <f t="shared" si="1"/>
        <v/>
      </c>
      <c r="L24" s="479" t="str">
        <f t="shared" si="2"/>
        <v/>
      </c>
      <c r="M24" s="487" t="str">
        <f t="shared" si="3"/>
        <v/>
      </c>
      <c r="N24" s="479" t="str">
        <f t="shared" si="4"/>
        <v/>
      </c>
      <c r="O24" s="479" t="str">
        <f t="shared" si="5"/>
        <v/>
      </c>
      <c r="P24" s="479" t="str">
        <f t="shared" si="6"/>
        <v/>
      </c>
    </row>
    <row r="25" spans="2:16" s="477" customFormat="1" ht="18.75" customHeight="1">
      <c r="B25" s="530"/>
      <c r="C25" s="489"/>
      <c r="D25" s="57"/>
      <c r="E25" s="74"/>
      <c r="F25" s="29"/>
      <c r="G25" s="480"/>
      <c r="H25" s="60"/>
      <c r="I25" s="523"/>
      <c r="J25" s="481"/>
      <c r="K25" s="479" t="str">
        <f t="shared" si="1"/>
        <v/>
      </c>
      <c r="L25" s="479" t="str">
        <f t="shared" si="2"/>
        <v/>
      </c>
      <c r="M25" s="487" t="str">
        <f t="shared" si="3"/>
        <v/>
      </c>
      <c r="N25" s="479" t="str">
        <f t="shared" si="4"/>
        <v/>
      </c>
      <c r="O25" s="479" t="str">
        <f t="shared" si="5"/>
        <v/>
      </c>
      <c r="P25" s="479" t="str">
        <f t="shared" si="6"/>
        <v/>
      </c>
    </row>
    <row r="26" spans="2:16" s="477" customFormat="1" ht="22.5" customHeight="1">
      <c r="B26" s="530"/>
      <c r="C26" s="489"/>
      <c r="D26" s="65"/>
      <c r="E26" s="74"/>
      <c r="F26" s="29"/>
      <c r="G26" s="480"/>
      <c r="H26" s="60"/>
      <c r="I26" s="524"/>
      <c r="J26" s="481"/>
      <c r="K26" s="479" t="str">
        <f t="shared" si="1"/>
        <v/>
      </c>
      <c r="L26" s="479" t="str">
        <f t="shared" si="2"/>
        <v/>
      </c>
      <c r="M26" s="487" t="str">
        <f t="shared" si="3"/>
        <v/>
      </c>
      <c r="N26" s="479" t="str">
        <f t="shared" si="4"/>
        <v/>
      </c>
      <c r="O26" s="479" t="str">
        <f t="shared" si="5"/>
        <v/>
      </c>
      <c r="P26" s="479" t="str">
        <f t="shared" si="6"/>
        <v/>
      </c>
    </row>
    <row r="27" spans="2:16" s="477" customFormat="1">
      <c r="B27" s="530">
        <v>10000438</v>
      </c>
      <c r="C27" s="489" t="s">
        <v>10</v>
      </c>
      <c r="D27" s="65" t="s">
        <v>395</v>
      </c>
      <c r="E27" s="62" t="s">
        <v>136</v>
      </c>
      <c r="F27" s="29"/>
      <c r="G27" s="480"/>
      <c r="H27" s="55">
        <v>1733718.1639857001</v>
      </c>
      <c r="I27" s="523"/>
      <c r="J27" s="481"/>
      <c r="K27" s="479" t="str">
        <f t="shared" si="1"/>
        <v/>
      </c>
      <c r="L27" s="479" t="str">
        <f t="shared" si="2"/>
        <v/>
      </c>
      <c r="M27" s="487" t="str">
        <f t="shared" si="3"/>
        <v/>
      </c>
      <c r="N27" s="479" t="str">
        <f t="shared" si="4"/>
        <v/>
      </c>
      <c r="O27" s="479" t="str">
        <f t="shared" si="5"/>
        <v/>
      </c>
      <c r="P27" s="479" t="str">
        <f t="shared" si="6"/>
        <v/>
      </c>
    </row>
    <row r="28" spans="2:16" s="477" customFormat="1">
      <c r="B28" s="530">
        <v>10000438</v>
      </c>
      <c r="C28" s="489" t="s">
        <v>10</v>
      </c>
      <c r="D28" s="65" t="s">
        <v>395</v>
      </c>
      <c r="E28" s="62" t="s">
        <v>191</v>
      </c>
      <c r="F28" s="29" t="s">
        <v>445</v>
      </c>
      <c r="G28" s="480">
        <v>43986</v>
      </c>
      <c r="H28" s="55">
        <v>22437.782442000003</v>
      </c>
      <c r="I28" s="523">
        <v>43949</v>
      </c>
      <c r="J28" s="481">
        <f t="shared" si="0"/>
        <v>422</v>
      </c>
      <c r="K28" s="479" t="str">
        <f t="shared" si="1"/>
        <v/>
      </c>
      <c r="L28" s="479" t="str">
        <f t="shared" si="2"/>
        <v/>
      </c>
      <c r="M28" s="487" t="str">
        <f t="shared" si="3"/>
        <v/>
      </c>
      <c r="N28" s="479" t="str">
        <f t="shared" si="4"/>
        <v/>
      </c>
      <c r="O28" s="479" t="str">
        <f t="shared" si="5"/>
        <v/>
      </c>
      <c r="P28" s="479">
        <f t="shared" si="6"/>
        <v>22437.782442000003</v>
      </c>
    </row>
    <row r="29" spans="2:16" s="477" customFormat="1">
      <c r="B29" s="530">
        <v>10000438</v>
      </c>
      <c r="C29" s="489" t="s">
        <v>10</v>
      </c>
      <c r="D29" s="65" t="s">
        <v>395</v>
      </c>
      <c r="E29" s="62" t="s">
        <v>195</v>
      </c>
      <c r="F29" s="29" t="s">
        <v>446</v>
      </c>
      <c r="G29" s="480" t="s">
        <v>197</v>
      </c>
      <c r="H29" s="55">
        <v>19797.941771499998</v>
      </c>
      <c r="I29" s="523">
        <v>43980</v>
      </c>
      <c r="J29" s="481">
        <f t="shared" si="0"/>
        <v>391</v>
      </c>
      <c r="K29" s="479" t="str">
        <f t="shared" si="1"/>
        <v/>
      </c>
      <c r="L29" s="479" t="str">
        <f t="shared" si="2"/>
        <v/>
      </c>
      <c r="M29" s="487" t="str">
        <f t="shared" si="3"/>
        <v/>
      </c>
      <c r="N29" s="479" t="str">
        <f t="shared" si="4"/>
        <v/>
      </c>
      <c r="O29" s="479" t="str">
        <f t="shared" si="5"/>
        <v/>
      </c>
      <c r="P29" s="479">
        <f t="shared" si="6"/>
        <v>19797.941771499998</v>
      </c>
    </row>
    <row r="30" spans="2:16" s="477" customFormat="1">
      <c r="B30" s="530">
        <v>10000438</v>
      </c>
      <c r="C30" s="489" t="s">
        <v>10</v>
      </c>
      <c r="D30" s="65" t="s">
        <v>395</v>
      </c>
      <c r="E30" s="62" t="s">
        <v>199</v>
      </c>
      <c r="F30" s="29" t="s">
        <v>447</v>
      </c>
      <c r="G30" s="480">
        <v>44049</v>
      </c>
      <c r="H30" s="55">
        <v>22615.347440000001</v>
      </c>
      <c r="I30" s="523">
        <v>44015</v>
      </c>
      <c r="J30" s="481">
        <f t="shared" si="0"/>
        <v>356</v>
      </c>
      <c r="K30" s="479" t="str">
        <f t="shared" si="1"/>
        <v/>
      </c>
      <c r="L30" s="479" t="str">
        <f t="shared" si="2"/>
        <v/>
      </c>
      <c r="M30" s="487" t="str">
        <f t="shared" si="3"/>
        <v/>
      </c>
      <c r="N30" s="479" t="str">
        <f t="shared" si="4"/>
        <v/>
      </c>
      <c r="O30" s="479">
        <f t="shared" si="5"/>
        <v>22615.347440000001</v>
      </c>
      <c r="P30" s="479" t="str">
        <f t="shared" si="6"/>
        <v/>
      </c>
    </row>
    <row r="31" spans="2:16" s="477" customFormat="1">
      <c r="B31" s="530">
        <v>10000438</v>
      </c>
      <c r="C31" s="489" t="s">
        <v>10</v>
      </c>
      <c r="D31" s="65" t="s">
        <v>395</v>
      </c>
      <c r="E31" s="62" t="s">
        <v>201</v>
      </c>
      <c r="F31" s="29" t="s">
        <v>448</v>
      </c>
      <c r="G31" s="480" t="s">
        <v>449</v>
      </c>
      <c r="H31" s="55">
        <v>23693.977859999999</v>
      </c>
      <c r="I31" s="523">
        <v>44050</v>
      </c>
      <c r="J31" s="481">
        <f t="shared" si="0"/>
        <v>321</v>
      </c>
      <c r="K31" s="479" t="str">
        <f t="shared" si="1"/>
        <v/>
      </c>
      <c r="L31" s="479" t="str">
        <f t="shared" si="2"/>
        <v/>
      </c>
      <c r="M31" s="487" t="str">
        <f t="shared" si="3"/>
        <v/>
      </c>
      <c r="N31" s="479" t="str">
        <f t="shared" si="4"/>
        <v/>
      </c>
      <c r="O31" s="479">
        <f t="shared" si="5"/>
        <v>23693.977859999999</v>
      </c>
      <c r="P31" s="479" t="str">
        <f t="shared" si="6"/>
        <v/>
      </c>
    </row>
    <row r="32" spans="2:16" s="477" customFormat="1">
      <c r="B32" s="530">
        <v>10000438</v>
      </c>
      <c r="C32" s="489" t="s">
        <v>10</v>
      </c>
      <c r="D32" s="65" t="s">
        <v>395</v>
      </c>
      <c r="E32" s="62" t="s">
        <v>203</v>
      </c>
      <c r="F32" s="29" t="s">
        <v>448</v>
      </c>
      <c r="G32" s="480">
        <v>44020</v>
      </c>
      <c r="H32" s="55">
        <v>25385.736946499997</v>
      </c>
      <c r="I32" s="523">
        <v>44065</v>
      </c>
      <c r="J32" s="481">
        <f t="shared" si="0"/>
        <v>306</v>
      </c>
      <c r="K32" s="479" t="str">
        <f t="shared" si="1"/>
        <v/>
      </c>
      <c r="L32" s="479" t="str">
        <f t="shared" si="2"/>
        <v/>
      </c>
      <c r="M32" s="487" t="str">
        <f t="shared" si="3"/>
        <v/>
      </c>
      <c r="N32" s="479" t="str">
        <f t="shared" si="4"/>
        <v/>
      </c>
      <c r="O32" s="479">
        <f t="shared" si="5"/>
        <v>25385.736946499997</v>
      </c>
      <c r="P32" s="479" t="str">
        <f t="shared" si="6"/>
        <v/>
      </c>
    </row>
    <row r="33" spans="2:18" s="477" customFormat="1">
      <c r="B33" s="530">
        <v>10000438</v>
      </c>
      <c r="C33" s="489" t="s">
        <v>10</v>
      </c>
      <c r="D33" s="65" t="s">
        <v>395</v>
      </c>
      <c r="E33" s="62" t="s">
        <v>207</v>
      </c>
      <c r="F33" s="29" t="s">
        <v>451</v>
      </c>
      <c r="G33" s="480" t="s">
        <v>209</v>
      </c>
      <c r="H33" s="55">
        <v>28160.28138</v>
      </c>
      <c r="I33" s="523">
        <v>44098</v>
      </c>
      <c r="J33" s="481">
        <f t="shared" si="0"/>
        <v>273</v>
      </c>
      <c r="K33" s="479" t="str">
        <f t="shared" si="1"/>
        <v/>
      </c>
      <c r="L33" s="479" t="str">
        <f t="shared" si="2"/>
        <v/>
      </c>
      <c r="M33" s="487" t="str">
        <f t="shared" si="3"/>
        <v/>
      </c>
      <c r="N33" s="479" t="str">
        <f t="shared" si="4"/>
        <v/>
      </c>
      <c r="O33" s="479">
        <f t="shared" si="5"/>
        <v>28160.28138</v>
      </c>
      <c r="P33" s="479" t="str">
        <f t="shared" si="6"/>
        <v/>
      </c>
    </row>
    <row r="34" spans="2:18" s="477" customFormat="1">
      <c r="B34" s="530">
        <v>10000438</v>
      </c>
      <c r="C34" s="489" t="s">
        <v>10</v>
      </c>
      <c r="D34" s="65" t="s">
        <v>395</v>
      </c>
      <c r="E34" s="62" t="s">
        <v>212</v>
      </c>
      <c r="F34" s="29" t="s">
        <v>452</v>
      </c>
      <c r="G34" s="480">
        <v>44084</v>
      </c>
      <c r="H34" s="55">
        <v>29744.284779000001</v>
      </c>
      <c r="I34" s="523">
        <v>44129</v>
      </c>
      <c r="J34" s="481">
        <f t="shared" si="0"/>
        <v>242</v>
      </c>
      <c r="K34" s="479" t="str">
        <f t="shared" si="1"/>
        <v/>
      </c>
      <c r="L34" s="479" t="str">
        <f t="shared" si="2"/>
        <v/>
      </c>
      <c r="M34" s="487" t="str">
        <f t="shared" si="3"/>
        <v/>
      </c>
      <c r="N34" s="479" t="str">
        <f t="shared" si="4"/>
        <v/>
      </c>
      <c r="O34" s="479">
        <f t="shared" si="5"/>
        <v>29744.284779000001</v>
      </c>
      <c r="P34" s="479" t="str">
        <f t="shared" si="6"/>
        <v/>
      </c>
    </row>
    <row r="35" spans="2:18" s="477" customFormat="1">
      <c r="B35" s="530">
        <v>10000438</v>
      </c>
      <c r="C35" s="489" t="s">
        <v>10</v>
      </c>
      <c r="D35" s="65" t="s">
        <v>395</v>
      </c>
      <c r="E35" s="62" t="s">
        <v>214</v>
      </c>
      <c r="F35" s="29" t="s">
        <v>453</v>
      </c>
      <c r="G35" s="480">
        <v>43962</v>
      </c>
      <c r="H35" s="55">
        <v>27779.716882499997</v>
      </c>
      <c r="I35" s="523" t="s">
        <v>2216</v>
      </c>
      <c r="J35" s="481">
        <f t="shared" si="0"/>
        <v>214</v>
      </c>
      <c r="K35" s="479" t="str">
        <f t="shared" si="1"/>
        <v/>
      </c>
      <c r="L35" s="479" t="str">
        <f t="shared" si="2"/>
        <v/>
      </c>
      <c r="M35" s="487" t="str">
        <f t="shared" si="3"/>
        <v/>
      </c>
      <c r="N35" s="479" t="str">
        <f t="shared" si="4"/>
        <v/>
      </c>
      <c r="O35" s="479">
        <f t="shared" si="5"/>
        <v>27779.716882499997</v>
      </c>
      <c r="P35" s="479" t="str">
        <f t="shared" si="6"/>
        <v/>
      </c>
    </row>
    <row r="36" spans="2:18" s="477" customFormat="1">
      <c r="B36" s="530">
        <v>10000438</v>
      </c>
      <c r="C36" s="489" t="s">
        <v>10</v>
      </c>
      <c r="D36" s="65" t="s">
        <v>395</v>
      </c>
      <c r="E36" s="31" t="s">
        <v>218</v>
      </c>
      <c r="F36" s="29" t="s">
        <v>454</v>
      </c>
      <c r="G36" s="480">
        <v>44024</v>
      </c>
      <c r="H36" s="60">
        <v>26422.262459999998</v>
      </c>
      <c r="I36" s="523">
        <v>44208</v>
      </c>
      <c r="J36" s="481">
        <f t="shared" si="0"/>
        <v>163</v>
      </c>
      <c r="K36" s="479" t="str">
        <f t="shared" si="1"/>
        <v/>
      </c>
      <c r="L36" s="479" t="str">
        <f t="shared" si="2"/>
        <v/>
      </c>
      <c r="M36" s="487" t="str">
        <f t="shared" si="3"/>
        <v/>
      </c>
      <c r="N36" s="479">
        <f t="shared" si="4"/>
        <v>26422.262459999998</v>
      </c>
      <c r="O36" s="479" t="str">
        <f t="shared" si="5"/>
        <v/>
      </c>
      <c r="P36" s="479" t="str">
        <f t="shared" si="6"/>
        <v/>
      </c>
    </row>
    <row r="37" spans="2:18" s="477" customFormat="1">
      <c r="B37" s="530">
        <v>10000438</v>
      </c>
      <c r="C37" s="489" t="s">
        <v>10</v>
      </c>
      <c r="D37" s="65" t="s">
        <v>395</v>
      </c>
      <c r="E37" s="31" t="s">
        <v>219</v>
      </c>
      <c r="F37" s="29" t="s">
        <v>455</v>
      </c>
      <c r="G37" s="480">
        <v>44409</v>
      </c>
      <c r="H37" s="60">
        <v>29970.883469999993</v>
      </c>
      <c r="I37" s="523">
        <v>44219</v>
      </c>
      <c r="J37" s="481">
        <f t="shared" si="0"/>
        <v>152</v>
      </c>
      <c r="K37" s="479" t="str">
        <f t="shared" si="1"/>
        <v/>
      </c>
      <c r="L37" s="479" t="str">
        <f t="shared" si="2"/>
        <v/>
      </c>
      <c r="M37" s="487" t="str">
        <f t="shared" si="3"/>
        <v/>
      </c>
      <c r="N37" s="479">
        <f t="shared" si="4"/>
        <v>29970.883469999993</v>
      </c>
      <c r="O37" s="479" t="str">
        <f t="shared" si="5"/>
        <v/>
      </c>
      <c r="P37" s="479" t="str">
        <f t="shared" si="6"/>
        <v/>
      </c>
    </row>
    <row r="38" spans="2:18" s="477" customFormat="1">
      <c r="B38" s="530">
        <v>10000438</v>
      </c>
      <c r="C38" s="489" t="s">
        <v>10</v>
      </c>
      <c r="D38" s="65" t="s">
        <v>395</v>
      </c>
      <c r="E38" s="66" t="s">
        <v>221</v>
      </c>
      <c r="F38" s="492" t="s">
        <v>31</v>
      </c>
      <c r="G38" s="480">
        <v>44502</v>
      </c>
      <c r="H38" s="60">
        <v>26952.417887999996</v>
      </c>
      <c r="I38" s="525">
        <v>44253</v>
      </c>
      <c r="J38" s="481">
        <f t="shared" si="0"/>
        <v>118</v>
      </c>
      <c r="K38" s="479" t="str">
        <f t="shared" si="1"/>
        <v/>
      </c>
      <c r="L38" s="479" t="str">
        <f t="shared" si="2"/>
        <v/>
      </c>
      <c r="M38" s="487" t="str">
        <f t="shared" si="3"/>
        <v/>
      </c>
      <c r="N38" s="479">
        <f t="shared" si="4"/>
        <v>26952.417887999996</v>
      </c>
      <c r="O38" s="479" t="str">
        <f t="shared" si="5"/>
        <v/>
      </c>
      <c r="P38" s="479" t="str">
        <f t="shared" si="6"/>
        <v/>
      </c>
    </row>
    <row r="39" spans="2:18" s="477" customFormat="1">
      <c r="B39" s="530">
        <v>10000438</v>
      </c>
      <c r="C39" s="489" t="s">
        <v>10</v>
      </c>
      <c r="D39" s="65" t="s">
        <v>395</v>
      </c>
      <c r="E39" s="31" t="s">
        <v>222</v>
      </c>
      <c r="F39" s="29" t="s">
        <v>457</v>
      </c>
      <c r="G39" s="480">
        <v>44319</v>
      </c>
      <c r="H39" s="60">
        <v>28008.453297</v>
      </c>
      <c r="I39" s="523">
        <v>44275</v>
      </c>
      <c r="J39" s="481">
        <f t="shared" si="0"/>
        <v>96</v>
      </c>
      <c r="K39" s="479" t="str">
        <f t="shared" si="1"/>
        <v/>
      </c>
      <c r="L39" s="479" t="str">
        <f t="shared" si="2"/>
        <v/>
      </c>
      <c r="M39" s="487" t="str">
        <f t="shared" si="3"/>
        <v/>
      </c>
      <c r="N39" s="479">
        <f t="shared" si="4"/>
        <v>28008.453297</v>
      </c>
      <c r="O39" s="479" t="str">
        <f t="shared" si="5"/>
        <v/>
      </c>
      <c r="P39" s="479" t="str">
        <f t="shared" si="6"/>
        <v/>
      </c>
      <c r="Q39" s="484"/>
      <c r="R39" s="484"/>
    </row>
    <row r="40" spans="2:18" s="477" customFormat="1">
      <c r="B40" s="530"/>
      <c r="C40" s="489"/>
      <c r="D40" s="65"/>
      <c r="E40" s="31"/>
      <c r="F40" s="29"/>
      <c r="G40" s="480"/>
      <c r="H40" s="60"/>
      <c r="I40" s="523"/>
      <c r="J40" s="481"/>
      <c r="K40" s="479" t="str">
        <f t="shared" si="1"/>
        <v/>
      </c>
      <c r="L40" s="479" t="str">
        <f t="shared" si="2"/>
        <v/>
      </c>
      <c r="M40" s="487" t="str">
        <f t="shared" si="3"/>
        <v/>
      </c>
      <c r="N40" s="479" t="str">
        <f t="shared" si="4"/>
        <v/>
      </c>
      <c r="O40" s="479" t="str">
        <f t="shared" si="5"/>
        <v/>
      </c>
      <c r="P40" s="479" t="str">
        <f t="shared" si="6"/>
        <v/>
      </c>
    </row>
    <row r="41" spans="2:18" s="477" customFormat="1">
      <c r="B41" s="530"/>
      <c r="C41" s="489"/>
      <c r="D41" s="65"/>
      <c r="E41" s="66"/>
      <c r="F41" s="492"/>
      <c r="G41" s="480"/>
      <c r="H41" s="60"/>
      <c r="I41" s="525"/>
      <c r="J41" s="481"/>
      <c r="K41" s="479" t="str">
        <f t="shared" si="1"/>
        <v/>
      </c>
      <c r="L41" s="479" t="str">
        <f t="shared" si="2"/>
        <v/>
      </c>
      <c r="M41" s="487" t="str">
        <f t="shared" si="3"/>
        <v/>
      </c>
      <c r="N41" s="479" t="str">
        <f t="shared" si="4"/>
        <v/>
      </c>
      <c r="O41" s="479" t="str">
        <f t="shared" si="5"/>
        <v/>
      </c>
      <c r="P41" s="479" t="str">
        <f t="shared" si="6"/>
        <v/>
      </c>
    </row>
    <row r="42" spans="2:18" s="477" customFormat="1">
      <c r="B42" s="530">
        <v>10009630</v>
      </c>
      <c r="C42" s="489" t="s">
        <v>10</v>
      </c>
      <c r="D42" s="65" t="str">
        <f>'WEEKLY REPORT'!B194</f>
        <v>BN CERAMICS</v>
      </c>
      <c r="E42" s="31" t="str">
        <f>'WEEKLY REPORT'!C259</f>
        <v>FEBRUARY 2021</v>
      </c>
      <c r="F42" s="29" t="str">
        <f>'WEEKLY REPORT'!D259</f>
        <v>NGS 073</v>
      </c>
      <c r="G42" s="480">
        <f>'WEEKLY REPORT'!E259</f>
        <v>44319</v>
      </c>
      <c r="H42" s="60">
        <f>'WEEKLY REPORT'!F259</f>
        <v>736028451.89925981</v>
      </c>
      <c r="I42" s="523">
        <v>44275</v>
      </c>
      <c r="J42" s="481">
        <f t="shared" si="0"/>
        <v>96</v>
      </c>
      <c r="K42" s="479" t="str">
        <f t="shared" si="1"/>
        <v/>
      </c>
      <c r="L42" s="479" t="str">
        <f t="shared" si="2"/>
        <v/>
      </c>
      <c r="M42" s="487" t="str">
        <f t="shared" si="3"/>
        <v/>
      </c>
      <c r="N42" s="479">
        <f t="shared" si="4"/>
        <v>736028451.89925981</v>
      </c>
      <c r="O42" s="479" t="str">
        <f t="shared" si="5"/>
        <v/>
      </c>
      <c r="P42" s="479" t="str">
        <f t="shared" si="6"/>
        <v/>
      </c>
    </row>
    <row r="43" spans="2:18" s="477" customFormat="1">
      <c r="B43" s="530"/>
      <c r="C43" s="489"/>
      <c r="D43" s="65"/>
      <c r="E43" s="31"/>
      <c r="F43" s="29"/>
      <c r="G43" s="480"/>
      <c r="H43" s="60"/>
      <c r="I43" s="523"/>
      <c r="J43" s="481"/>
      <c r="K43" s="479" t="str">
        <f t="shared" si="1"/>
        <v/>
      </c>
      <c r="L43" s="479" t="str">
        <f t="shared" si="2"/>
        <v/>
      </c>
      <c r="M43" s="487" t="str">
        <f t="shared" si="3"/>
        <v/>
      </c>
      <c r="N43" s="479" t="str">
        <f t="shared" si="4"/>
        <v/>
      </c>
      <c r="O43" s="479" t="str">
        <f t="shared" si="5"/>
        <v/>
      </c>
      <c r="P43" s="479" t="str">
        <f t="shared" si="6"/>
        <v/>
      </c>
    </row>
    <row r="44" spans="2:18" s="477" customFormat="1">
      <c r="B44" s="530"/>
      <c r="C44" s="489"/>
      <c r="D44" s="65"/>
      <c r="E44" s="31"/>
      <c r="F44" s="29"/>
      <c r="G44" s="480"/>
      <c r="H44" s="60"/>
      <c r="I44" s="523"/>
      <c r="J44" s="481"/>
      <c r="K44" s="479" t="str">
        <f t="shared" si="1"/>
        <v/>
      </c>
      <c r="L44" s="479" t="str">
        <f t="shared" si="2"/>
        <v/>
      </c>
      <c r="M44" s="487" t="str">
        <f t="shared" si="3"/>
        <v/>
      </c>
      <c r="N44" s="479" t="str">
        <f t="shared" si="4"/>
        <v/>
      </c>
      <c r="O44" s="479" t="str">
        <f t="shared" si="5"/>
        <v/>
      </c>
      <c r="P44" s="479" t="str">
        <f t="shared" si="6"/>
        <v/>
      </c>
    </row>
    <row r="45" spans="2:18" s="477" customFormat="1">
      <c r="B45" s="530">
        <v>10014634</v>
      </c>
      <c r="C45" s="489" t="s">
        <v>10</v>
      </c>
      <c r="D45" s="65" t="s">
        <v>34</v>
      </c>
      <c r="E45" s="66" t="s">
        <v>136</v>
      </c>
      <c r="F45" s="492"/>
      <c r="G45" s="480"/>
      <c r="H45" s="60">
        <v>202279082.99540427</v>
      </c>
      <c r="I45" s="525"/>
      <c r="J45" s="481"/>
      <c r="K45" s="479" t="str">
        <f t="shared" si="1"/>
        <v/>
      </c>
      <c r="L45" s="479" t="str">
        <f t="shared" si="2"/>
        <v/>
      </c>
      <c r="M45" s="487" t="str">
        <f t="shared" si="3"/>
        <v/>
      </c>
      <c r="N45" s="479" t="str">
        <f t="shared" si="4"/>
        <v/>
      </c>
      <c r="O45" s="479" t="str">
        <f t="shared" si="5"/>
        <v/>
      </c>
      <c r="P45" s="479" t="str">
        <f t="shared" si="6"/>
        <v/>
      </c>
    </row>
    <row r="46" spans="2:18" s="477" customFormat="1">
      <c r="B46" s="530">
        <v>10014634</v>
      </c>
      <c r="C46" s="489" t="s">
        <v>10</v>
      </c>
      <c r="D46" s="65" t="s">
        <v>34</v>
      </c>
      <c r="E46" s="66" t="s">
        <v>207</v>
      </c>
      <c r="F46" s="492" t="s">
        <v>39</v>
      </c>
      <c r="G46" s="480" t="s">
        <v>209</v>
      </c>
      <c r="H46" s="60">
        <v>39950718.185320005</v>
      </c>
      <c r="I46" s="525">
        <v>44067</v>
      </c>
      <c r="J46" s="481">
        <f t="shared" si="0"/>
        <v>304</v>
      </c>
      <c r="K46" s="479" t="str">
        <f t="shared" si="1"/>
        <v/>
      </c>
      <c r="L46" s="479" t="str">
        <f t="shared" si="2"/>
        <v/>
      </c>
      <c r="M46" s="487" t="str">
        <f t="shared" si="3"/>
        <v/>
      </c>
      <c r="N46" s="479" t="str">
        <f t="shared" si="4"/>
        <v/>
      </c>
      <c r="O46" s="479">
        <f t="shared" si="5"/>
        <v>39950718.185320005</v>
      </c>
      <c r="P46" s="479" t="str">
        <f t="shared" si="6"/>
        <v/>
      </c>
    </row>
    <row r="47" spans="2:18" s="477" customFormat="1">
      <c r="B47" s="530">
        <v>10014634</v>
      </c>
      <c r="C47" s="489" t="s">
        <v>10</v>
      </c>
      <c r="D47" s="65" t="s">
        <v>34</v>
      </c>
      <c r="E47" s="31" t="s">
        <v>218</v>
      </c>
      <c r="F47" s="29" t="s">
        <v>393</v>
      </c>
      <c r="G47" s="480">
        <v>44024</v>
      </c>
      <c r="H47" s="60">
        <v>46039367.726856008</v>
      </c>
      <c r="I47" s="523">
        <v>44208</v>
      </c>
      <c r="J47" s="481">
        <f t="shared" si="0"/>
        <v>163</v>
      </c>
      <c r="K47" s="479" t="str">
        <f t="shared" si="1"/>
        <v/>
      </c>
      <c r="L47" s="479" t="str">
        <f t="shared" si="2"/>
        <v/>
      </c>
      <c r="M47" s="487" t="str">
        <f t="shared" si="3"/>
        <v/>
      </c>
      <c r="N47" s="479">
        <f t="shared" si="4"/>
        <v>46039367.726856008</v>
      </c>
      <c r="O47" s="479" t="str">
        <f t="shared" si="5"/>
        <v/>
      </c>
      <c r="P47" s="479" t="str">
        <f t="shared" si="6"/>
        <v/>
      </c>
    </row>
    <row r="48" spans="2:18" s="477" customFormat="1">
      <c r="B48" s="530">
        <v>10014634</v>
      </c>
      <c r="C48" s="489" t="s">
        <v>10</v>
      </c>
      <c r="D48" s="65" t="s">
        <v>34</v>
      </c>
      <c r="E48" s="31" t="s">
        <v>219</v>
      </c>
      <c r="F48" s="29" t="s">
        <v>528</v>
      </c>
      <c r="G48" s="480">
        <v>44409</v>
      </c>
      <c r="H48" s="60">
        <v>44424060.079911001</v>
      </c>
      <c r="I48" s="523">
        <v>44219</v>
      </c>
      <c r="J48" s="481">
        <f t="shared" si="0"/>
        <v>152</v>
      </c>
      <c r="K48" s="479" t="str">
        <f t="shared" si="1"/>
        <v/>
      </c>
      <c r="L48" s="479" t="str">
        <f t="shared" si="2"/>
        <v/>
      </c>
      <c r="M48" s="487" t="str">
        <f t="shared" si="3"/>
        <v/>
      </c>
      <c r="N48" s="479">
        <f t="shared" si="4"/>
        <v>44424060.079911001</v>
      </c>
      <c r="O48" s="479" t="str">
        <f t="shared" si="5"/>
        <v/>
      </c>
      <c r="P48" s="479" t="str">
        <f t="shared" si="6"/>
        <v/>
      </c>
    </row>
    <row r="49" spans="2:16" s="477" customFormat="1">
      <c r="B49" s="530">
        <v>10014634</v>
      </c>
      <c r="C49" s="489" t="s">
        <v>10</v>
      </c>
      <c r="D49" s="65" t="s">
        <v>34</v>
      </c>
      <c r="E49" s="66" t="s">
        <v>221</v>
      </c>
      <c r="F49" s="492" t="s">
        <v>35</v>
      </c>
      <c r="G49" s="480">
        <v>44471</v>
      </c>
      <c r="H49" s="60">
        <v>47422415.011175007</v>
      </c>
      <c r="I49" s="525">
        <v>44250</v>
      </c>
      <c r="J49" s="481">
        <f t="shared" si="0"/>
        <v>121</v>
      </c>
      <c r="K49" s="479" t="str">
        <f t="shared" si="1"/>
        <v/>
      </c>
      <c r="L49" s="479" t="str">
        <f t="shared" si="2"/>
        <v/>
      </c>
      <c r="M49" s="487" t="str">
        <f t="shared" si="3"/>
        <v/>
      </c>
      <c r="N49" s="479">
        <f t="shared" si="4"/>
        <v>47422415.011175007</v>
      </c>
      <c r="O49" s="479" t="str">
        <f t="shared" si="5"/>
        <v/>
      </c>
      <c r="P49" s="479" t="str">
        <f t="shared" si="6"/>
        <v/>
      </c>
    </row>
    <row r="50" spans="2:16" s="477" customFormat="1">
      <c r="B50" s="530">
        <v>10014634</v>
      </c>
      <c r="C50" s="489" t="s">
        <v>10</v>
      </c>
      <c r="D50" s="65" t="s">
        <v>34</v>
      </c>
      <c r="E50" s="31" t="s">
        <v>222</v>
      </c>
      <c r="F50" s="29" t="s">
        <v>530</v>
      </c>
      <c r="G50" s="480">
        <v>44319</v>
      </c>
      <c r="H50" s="60">
        <v>43037413.127175003</v>
      </c>
      <c r="I50" s="523">
        <v>44275</v>
      </c>
      <c r="J50" s="481">
        <f t="shared" si="0"/>
        <v>96</v>
      </c>
      <c r="K50" s="479" t="str">
        <f t="shared" si="1"/>
        <v/>
      </c>
      <c r="L50" s="479" t="str">
        <f t="shared" si="2"/>
        <v/>
      </c>
      <c r="M50" s="487" t="str">
        <f t="shared" si="3"/>
        <v/>
      </c>
      <c r="N50" s="479">
        <f t="shared" si="4"/>
        <v>43037413.127175003</v>
      </c>
      <c r="O50" s="479" t="str">
        <f t="shared" si="5"/>
        <v/>
      </c>
      <c r="P50" s="479" t="str">
        <f t="shared" si="6"/>
        <v/>
      </c>
    </row>
    <row r="51" spans="2:16" s="477" customFormat="1">
      <c r="B51" s="530"/>
      <c r="C51" s="489"/>
      <c r="D51" s="65"/>
      <c r="E51" s="31"/>
      <c r="F51" s="29"/>
      <c r="G51" s="480"/>
      <c r="H51" s="60"/>
      <c r="I51" s="523"/>
      <c r="J51" s="481"/>
      <c r="K51" s="479" t="str">
        <f t="shared" si="1"/>
        <v/>
      </c>
      <c r="L51" s="479" t="str">
        <f t="shared" si="2"/>
        <v/>
      </c>
      <c r="M51" s="487" t="str">
        <f t="shared" si="3"/>
        <v/>
      </c>
      <c r="N51" s="479" t="str">
        <f t="shared" si="4"/>
        <v/>
      </c>
      <c r="O51" s="479" t="str">
        <f t="shared" si="5"/>
        <v/>
      </c>
      <c r="P51" s="479" t="str">
        <f t="shared" si="6"/>
        <v/>
      </c>
    </row>
    <row r="52" spans="2:16" s="477" customFormat="1">
      <c r="B52" s="530"/>
      <c r="C52" s="489"/>
      <c r="D52" s="65"/>
      <c r="E52" s="66"/>
      <c r="F52" s="492"/>
      <c r="G52" s="480"/>
      <c r="H52" s="60"/>
      <c r="I52" s="525"/>
      <c r="J52" s="481"/>
      <c r="K52" s="479" t="str">
        <f t="shared" si="1"/>
        <v/>
      </c>
      <c r="L52" s="479" t="str">
        <f t="shared" si="2"/>
        <v/>
      </c>
      <c r="M52" s="487" t="str">
        <f t="shared" si="3"/>
        <v/>
      </c>
      <c r="N52" s="479" t="str">
        <f t="shared" si="4"/>
        <v/>
      </c>
      <c r="O52" s="479" t="str">
        <f t="shared" si="5"/>
        <v/>
      </c>
      <c r="P52" s="479" t="str">
        <f t="shared" si="6"/>
        <v/>
      </c>
    </row>
    <row r="53" spans="2:16" s="477" customFormat="1">
      <c r="B53" s="530">
        <v>10011384</v>
      </c>
      <c r="C53" s="489" t="s">
        <v>10</v>
      </c>
      <c r="D53" s="65" t="str">
        <f>'WEEKLY REPORT'!B313</f>
        <v>BREEZE INDUSTRY LIMITED</v>
      </c>
      <c r="E53" s="31" t="s">
        <v>199</v>
      </c>
      <c r="F53" s="29" t="s">
        <v>167</v>
      </c>
      <c r="G53" s="480">
        <v>44049</v>
      </c>
      <c r="H53" s="60">
        <f>'WEEKLY REPORT'!K332</f>
        <v>12225.494963759556</v>
      </c>
      <c r="I53" s="523">
        <v>43897</v>
      </c>
      <c r="J53" s="481">
        <f t="shared" si="0"/>
        <v>474</v>
      </c>
      <c r="K53" s="479" t="str">
        <f t="shared" si="1"/>
        <v/>
      </c>
      <c r="L53" s="479" t="str">
        <f t="shared" si="2"/>
        <v/>
      </c>
      <c r="M53" s="487" t="str">
        <f t="shared" si="3"/>
        <v/>
      </c>
      <c r="N53" s="479" t="str">
        <f t="shared" si="4"/>
        <v/>
      </c>
      <c r="O53" s="479" t="str">
        <f t="shared" si="5"/>
        <v/>
      </c>
      <c r="P53" s="479">
        <f t="shared" si="6"/>
        <v>12225.494963759556</v>
      </c>
    </row>
    <row r="54" spans="2:16" s="477" customFormat="1">
      <c r="B54" s="530"/>
      <c r="C54" s="489"/>
      <c r="D54" s="65"/>
      <c r="E54" s="31"/>
      <c r="F54" s="29"/>
      <c r="G54" s="480"/>
      <c r="H54" s="60"/>
      <c r="I54" s="523"/>
      <c r="J54" s="481"/>
      <c r="K54" s="479" t="str">
        <f t="shared" si="1"/>
        <v/>
      </c>
      <c r="L54" s="479" t="str">
        <f t="shared" si="2"/>
        <v/>
      </c>
      <c r="M54" s="487" t="str">
        <f t="shared" si="3"/>
        <v/>
      </c>
      <c r="N54" s="479" t="str">
        <f t="shared" si="4"/>
        <v/>
      </c>
      <c r="O54" s="479" t="str">
        <f t="shared" si="5"/>
        <v/>
      </c>
      <c r="P54" s="479" t="str">
        <f t="shared" si="6"/>
        <v/>
      </c>
    </row>
    <row r="55" spans="2:16" s="477" customFormat="1">
      <c r="B55" s="530">
        <v>10012643</v>
      </c>
      <c r="C55" s="489" t="s">
        <v>10</v>
      </c>
      <c r="D55" s="65" t="s">
        <v>37</v>
      </c>
      <c r="E55" s="66" t="s">
        <v>136</v>
      </c>
      <c r="F55" s="492"/>
      <c r="G55" s="480"/>
      <c r="H55" s="60">
        <v>18609917.51024437</v>
      </c>
      <c r="I55" s="525"/>
      <c r="J55" s="481"/>
      <c r="K55" s="479" t="str">
        <f t="shared" si="1"/>
        <v/>
      </c>
      <c r="L55" s="479" t="str">
        <f t="shared" si="2"/>
        <v/>
      </c>
      <c r="M55" s="487" t="str">
        <f t="shared" si="3"/>
        <v/>
      </c>
      <c r="N55" s="479" t="str">
        <f t="shared" si="4"/>
        <v/>
      </c>
      <c r="O55" s="479" t="str">
        <f t="shared" si="5"/>
        <v/>
      </c>
      <c r="P55" s="479" t="str">
        <f t="shared" si="6"/>
        <v/>
      </c>
    </row>
    <row r="56" spans="2:16" s="477" customFormat="1">
      <c r="B56" s="530">
        <v>10012643</v>
      </c>
      <c r="C56" s="489" t="s">
        <v>10</v>
      </c>
      <c r="D56" s="65" t="s">
        <v>37</v>
      </c>
      <c r="E56" s="31" t="s">
        <v>221</v>
      </c>
      <c r="F56" s="29" t="s">
        <v>38</v>
      </c>
      <c r="G56" s="480">
        <v>44471</v>
      </c>
      <c r="H56" s="60">
        <v>1099999999.9950001</v>
      </c>
      <c r="I56" s="523">
        <v>44260</v>
      </c>
      <c r="J56" s="481">
        <f t="shared" si="0"/>
        <v>111</v>
      </c>
      <c r="K56" s="479" t="str">
        <f t="shared" si="1"/>
        <v/>
      </c>
      <c r="L56" s="479" t="str">
        <f t="shared" si="2"/>
        <v/>
      </c>
      <c r="M56" s="487" t="str">
        <f t="shared" si="3"/>
        <v/>
      </c>
      <c r="N56" s="479">
        <f t="shared" si="4"/>
        <v>1099999999.9950001</v>
      </c>
      <c r="O56" s="479" t="str">
        <f t="shared" si="5"/>
        <v/>
      </c>
      <c r="P56" s="479" t="str">
        <f t="shared" si="6"/>
        <v/>
      </c>
    </row>
    <row r="57" spans="2:16" s="477" customFormat="1">
      <c r="B57" s="530">
        <v>10012643</v>
      </c>
      <c r="C57" s="489" t="s">
        <v>10</v>
      </c>
      <c r="D57" s="65" t="s">
        <v>37</v>
      </c>
      <c r="E57" s="31" t="s">
        <v>222</v>
      </c>
      <c r="F57" s="29" t="s">
        <v>548</v>
      </c>
      <c r="G57" s="480">
        <v>44319</v>
      </c>
      <c r="H57" s="60">
        <v>2526146689.6082501</v>
      </c>
      <c r="I57" s="523">
        <v>44275</v>
      </c>
      <c r="J57" s="481">
        <f t="shared" si="0"/>
        <v>96</v>
      </c>
      <c r="K57" s="479" t="str">
        <f t="shared" si="1"/>
        <v/>
      </c>
      <c r="L57" s="479" t="str">
        <f t="shared" si="2"/>
        <v/>
      </c>
      <c r="M57" s="487" t="str">
        <f t="shared" si="3"/>
        <v/>
      </c>
      <c r="N57" s="479">
        <f t="shared" si="4"/>
        <v>2526146689.6082501</v>
      </c>
      <c r="O57" s="479" t="str">
        <f t="shared" si="5"/>
        <v/>
      </c>
      <c r="P57" s="479" t="str">
        <f t="shared" si="6"/>
        <v/>
      </c>
    </row>
    <row r="58" spans="2:16" s="477" customFormat="1">
      <c r="B58" s="530"/>
      <c r="C58" s="489"/>
      <c r="D58" s="65"/>
      <c r="E58" s="66"/>
      <c r="F58" s="492"/>
      <c r="G58" s="480"/>
      <c r="H58" s="60"/>
      <c r="I58" s="525"/>
      <c r="J58" s="481"/>
      <c r="K58" s="479" t="str">
        <f t="shared" si="1"/>
        <v/>
      </c>
      <c r="L58" s="479" t="str">
        <f t="shared" si="2"/>
        <v/>
      </c>
      <c r="M58" s="487" t="str">
        <f t="shared" si="3"/>
        <v/>
      </c>
      <c r="N58" s="479" t="str">
        <f t="shared" si="4"/>
        <v/>
      </c>
      <c r="O58" s="479" t="str">
        <f t="shared" si="5"/>
        <v/>
      </c>
      <c r="P58" s="479" t="str">
        <f t="shared" si="6"/>
        <v/>
      </c>
    </row>
    <row r="59" spans="2:16" s="477" customFormat="1">
      <c r="B59" s="530"/>
      <c r="C59" s="489"/>
      <c r="D59" s="65"/>
      <c r="E59" s="31"/>
      <c r="F59" s="29"/>
      <c r="G59" s="480"/>
      <c r="H59" s="60">
        <v>-2414.9561357945204</v>
      </c>
      <c r="I59" s="523"/>
      <c r="J59" s="481"/>
      <c r="K59" s="479" t="str">
        <f t="shared" si="1"/>
        <v/>
      </c>
      <c r="L59" s="479" t="str">
        <f t="shared" si="2"/>
        <v/>
      </c>
      <c r="M59" s="487" t="str">
        <f t="shared" si="3"/>
        <v/>
      </c>
      <c r="N59" s="479" t="str">
        <f t="shared" si="4"/>
        <v/>
      </c>
      <c r="O59" s="479" t="str">
        <f t="shared" si="5"/>
        <v/>
      </c>
      <c r="P59" s="479" t="str">
        <f t="shared" si="6"/>
        <v/>
      </c>
    </row>
    <row r="60" spans="2:16" s="477" customFormat="1">
      <c r="B60" s="530">
        <v>10014633</v>
      </c>
      <c r="C60" s="489" t="s">
        <v>10</v>
      </c>
      <c r="D60" s="65" t="s">
        <v>666</v>
      </c>
      <c r="E60" s="31" t="s">
        <v>222</v>
      </c>
      <c r="F60" s="29" t="s">
        <v>390</v>
      </c>
      <c r="G60" s="480">
        <v>44411</v>
      </c>
      <c r="H60" s="60">
        <v>95134967.033427075</v>
      </c>
      <c r="I60" s="523">
        <v>44278</v>
      </c>
      <c r="J60" s="481">
        <f t="shared" si="0"/>
        <v>93</v>
      </c>
      <c r="K60" s="479" t="str">
        <f t="shared" si="1"/>
        <v/>
      </c>
      <c r="L60" s="479" t="str">
        <f t="shared" si="2"/>
        <v/>
      </c>
      <c r="M60" s="487" t="str">
        <f t="shared" si="3"/>
        <v/>
      </c>
      <c r="N60" s="479">
        <f t="shared" si="4"/>
        <v>95134967.033427075</v>
      </c>
      <c r="O60" s="479" t="str">
        <f t="shared" si="5"/>
        <v/>
      </c>
      <c r="P60" s="479" t="str">
        <f t="shared" si="6"/>
        <v/>
      </c>
    </row>
    <row r="61" spans="2:16" s="477" customFormat="1">
      <c r="B61" s="530"/>
      <c r="C61" s="489"/>
      <c r="D61" s="65"/>
      <c r="E61" s="66"/>
      <c r="F61" s="492"/>
      <c r="G61" s="480"/>
      <c r="H61" s="60"/>
      <c r="I61" s="525"/>
      <c r="J61" s="481"/>
      <c r="K61" s="479" t="str">
        <f t="shared" si="1"/>
        <v/>
      </c>
      <c r="L61" s="479" t="str">
        <f t="shared" si="2"/>
        <v/>
      </c>
      <c r="M61" s="487" t="str">
        <f t="shared" si="3"/>
        <v/>
      </c>
      <c r="N61" s="479" t="str">
        <f t="shared" si="4"/>
        <v/>
      </c>
      <c r="O61" s="479" t="str">
        <f t="shared" si="5"/>
        <v/>
      </c>
      <c r="P61" s="479" t="str">
        <f t="shared" si="6"/>
        <v/>
      </c>
    </row>
    <row r="62" spans="2:16" s="477" customFormat="1">
      <c r="B62" s="530"/>
      <c r="C62" s="489"/>
      <c r="D62" s="65"/>
      <c r="E62" s="66"/>
      <c r="F62" s="492"/>
      <c r="G62" s="480"/>
      <c r="H62" s="60"/>
      <c r="I62" s="525"/>
      <c r="J62" s="481"/>
      <c r="K62" s="479" t="str">
        <f t="shared" si="1"/>
        <v/>
      </c>
      <c r="L62" s="479" t="str">
        <f t="shared" si="2"/>
        <v/>
      </c>
      <c r="M62" s="487" t="str">
        <f t="shared" si="3"/>
        <v/>
      </c>
      <c r="N62" s="479" t="str">
        <f t="shared" si="4"/>
        <v/>
      </c>
      <c r="O62" s="479" t="str">
        <f t="shared" si="5"/>
        <v/>
      </c>
      <c r="P62" s="479" t="str">
        <f t="shared" si="6"/>
        <v/>
      </c>
    </row>
    <row r="63" spans="2:16" s="477" customFormat="1">
      <c r="B63" s="530">
        <v>10011552</v>
      </c>
      <c r="C63" s="489" t="s">
        <v>10</v>
      </c>
      <c r="D63" s="65" t="s">
        <v>40</v>
      </c>
      <c r="E63" s="31" t="s">
        <v>218</v>
      </c>
      <c r="F63" s="29" t="s">
        <v>192</v>
      </c>
      <c r="G63" s="480">
        <v>44024</v>
      </c>
      <c r="H63" s="60">
        <v>14301999.50485228</v>
      </c>
      <c r="I63" s="523">
        <v>44208</v>
      </c>
      <c r="J63" s="481">
        <f t="shared" si="0"/>
        <v>163</v>
      </c>
      <c r="K63" s="479" t="str">
        <f t="shared" si="1"/>
        <v/>
      </c>
      <c r="L63" s="479" t="str">
        <f t="shared" si="2"/>
        <v/>
      </c>
      <c r="M63" s="487" t="str">
        <f t="shared" si="3"/>
        <v/>
      </c>
      <c r="N63" s="479">
        <f t="shared" si="4"/>
        <v>14301999.50485228</v>
      </c>
      <c r="O63" s="479" t="str">
        <f t="shared" si="5"/>
        <v/>
      </c>
      <c r="P63" s="479" t="str">
        <f t="shared" si="6"/>
        <v/>
      </c>
    </row>
    <row r="64" spans="2:16" s="477" customFormat="1">
      <c r="B64" s="530">
        <v>10011552</v>
      </c>
      <c r="C64" s="489" t="s">
        <v>10</v>
      </c>
      <c r="D64" s="65" t="s">
        <v>40</v>
      </c>
      <c r="E64" s="31" t="s">
        <v>221</v>
      </c>
      <c r="F64" s="29" t="s">
        <v>41</v>
      </c>
      <c r="G64" s="480">
        <v>44471</v>
      </c>
      <c r="H64" s="60">
        <v>13770824.307569753</v>
      </c>
      <c r="I64" s="523">
        <v>44250</v>
      </c>
      <c r="J64" s="481">
        <f t="shared" si="0"/>
        <v>121</v>
      </c>
      <c r="K64" s="479" t="str">
        <f t="shared" si="1"/>
        <v/>
      </c>
      <c r="L64" s="479" t="str">
        <f t="shared" si="2"/>
        <v/>
      </c>
      <c r="M64" s="487" t="str">
        <f t="shared" si="3"/>
        <v/>
      </c>
      <c r="N64" s="479">
        <f t="shared" si="4"/>
        <v>13770824.307569753</v>
      </c>
      <c r="O64" s="479" t="str">
        <f t="shared" si="5"/>
        <v/>
      </c>
      <c r="P64" s="479" t="str">
        <f t="shared" si="6"/>
        <v/>
      </c>
    </row>
    <row r="65" spans="2:16" s="477" customFormat="1">
      <c r="B65" s="530">
        <v>10011552</v>
      </c>
      <c r="C65" s="489" t="s">
        <v>10</v>
      </c>
      <c r="D65" s="65" t="s">
        <v>40</v>
      </c>
      <c r="E65" s="66" t="s">
        <v>222</v>
      </c>
      <c r="F65" s="492" t="s">
        <v>359</v>
      </c>
      <c r="G65" s="480">
        <v>44319</v>
      </c>
      <c r="H65" s="60">
        <v>11397697.096527472</v>
      </c>
      <c r="I65" s="525">
        <v>44275</v>
      </c>
      <c r="J65" s="481">
        <f t="shared" si="0"/>
        <v>96</v>
      </c>
      <c r="K65" s="479" t="str">
        <f t="shared" si="1"/>
        <v/>
      </c>
      <c r="L65" s="479" t="str">
        <f t="shared" si="2"/>
        <v/>
      </c>
      <c r="M65" s="487" t="str">
        <f t="shared" si="3"/>
        <v/>
      </c>
      <c r="N65" s="479">
        <f t="shared" si="4"/>
        <v>11397697.096527472</v>
      </c>
      <c r="O65" s="479" t="str">
        <f t="shared" si="5"/>
        <v/>
      </c>
      <c r="P65" s="479" t="str">
        <f t="shared" si="6"/>
        <v/>
      </c>
    </row>
    <row r="66" spans="2:16" s="477" customFormat="1">
      <c r="B66" s="530"/>
      <c r="C66" s="489"/>
      <c r="D66" s="65"/>
      <c r="E66" s="31"/>
      <c r="F66" s="29"/>
      <c r="G66" s="480"/>
      <c r="H66" s="60"/>
      <c r="I66" s="523"/>
      <c r="J66" s="481"/>
      <c r="K66" s="479" t="str">
        <f t="shared" si="1"/>
        <v/>
      </c>
      <c r="L66" s="479" t="str">
        <f t="shared" si="2"/>
        <v/>
      </c>
      <c r="M66" s="487" t="str">
        <f t="shared" si="3"/>
        <v/>
      </c>
      <c r="N66" s="479" t="str">
        <f t="shared" si="4"/>
        <v/>
      </c>
      <c r="O66" s="479" t="str">
        <f t="shared" si="5"/>
        <v/>
      </c>
      <c r="P66" s="479" t="str">
        <f t="shared" si="6"/>
        <v/>
      </c>
    </row>
    <row r="67" spans="2:16" s="477" customFormat="1">
      <c r="B67" s="530"/>
      <c r="C67" s="489"/>
      <c r="D67" s="65"/>
      <c r="E67" s="31"/>
      <c r="F67" s="29"/>
      <c r="G67" s="480"/>
      <c r="H67" s="60"/>
      <c r="I67" s="523"/>
      <c r="J67" s="481"/>
      <c r="K67" s="479" t="str">
        <f t="shared" si="1"/>
        <v/>
      </c>
      <c r="L67" s="479" t="str">
        <f t="shared" si="2"/>
        <v/>
      </c>
      <c r="M67" s="487" t="str">
        <f t="shared" si="3"/>
        <v/>
      </c>
      <c r="N67" s="479" t="str">
        <f t="shared" si="4"/>
        <v/>
      </c>
      <c r="O67" s="479" t="str">
        <f t="shared" si="5"/>
        <v/>
      </c>
      <c r="P67" s="479" t="str">
        <f t="shared" si="6"/>
        <v/>
      </c>
    </row>
    <row r="68" spans="2:16" s="477" customFormat="1">
      <c r="B68" s="530">
        <v>10000078</v>
      </c>
      <c r="C68" s="489" t="s">
        <v>10</v>
      </c>
      <c r="D68" s="65" t="s">
        <v>42</v>
      </c>
      <c r="E68" s="31" t="s">
        <v>203</v>
      </c>
      <c r="F68" s="29" t="s">
        <v>35</v>
      </c>
      <c r="G68" s="480">
        <v>44020</v>
      </c>
      <c r="H68" s="60">
        <v>3098870.2260000035</v>
      </c>
      <c r="I68" s="523">
        <v>44065</v>
      </c>
      <c r="J68" s="481">
        <f t="shared" si="0"/>
        <v>306</v>
      </c>
      <c r="K68" s="479" t="str">
        <f t="shared" si="1"/>
        <v/>
      </c>
      <c r="L68" s="479" t="str">
        <f t="shared" si="2"/>
        <v/>
      </c>
      <c r="M68" s="487" t="str">
        <f t="shared" si="3"/>
        <v/>
      </c>
      <c r="N68" s="479" t="str">
        <f t="shared" si="4"/>
        <v/>
      </c>
      <c r="O68" s="479">
        <f t="shared" si="5"/>
        <v>3098870.2260000035</v>
      </c>
      <c r="P68" s="479" t="str">
        <f t="shared" si="6"/>
        <v/>
      </c>
    </row>
    <row r="69" spans="2:16" s="477" customFormat="1">
      <c r="B69" s="530">
        <v>10000078</v>
      </c>
      <c r="C69" s="489" t="s">
        <v>10</v>
      </c>
      <c r="D69" s="65" t="s">
        <v>42</v>
      </c>
      <c r="E69" s="66" t="s">
        <v>214</v>
      </c>
      <c r="F69" s="492" t="s">
        <v>534</v>
      </c>
      <c r="G69" s="480">
        <v>43962</v>
      </c>
      <c r="H69" s="60">
        <v>48076345.048290253</v>
      </c>
      <c r="I69" s="525">
        <v>44170</v>
      </c>
      <c r="J69" s="481">
        <f t="shared" si="0"/>
        <v>201</v>
      </c>
      <c r="K69" s="479" t="str">
        <f t="shared" si="1"/>
        <v/>
      </c>
      <c r="L69" s="479" t="str">
        <f t="shared" si="2"/>
        <v/>
      </c>
      <c r="M69" s="487" t="str">
        <f t="shared" si="3"/>
        <v/>
      </c>
      <c r="N69" s="479" t="str">
        <f t="shared" si="4"/>
        <v/>
      </c>
      <c r="O69" s="479">
        <f t="shared" si="5"/>
        <v>48076345.048290253</v>
      </c>
      <c r="P69" s="479" t="str">
        <f t="shared" si="6"/>
        <v/>
      </c>
    </row>
    <row r="70" spans="2:16" s="477" customFormat="1">
      <c r="B70" s="530">
        <v>10000078</v>
      </c>
      <c r="C70" s="489" t="s">
        <v>10</v>
      </c>
      <c r="D70" s="65" t="s">
        <v>42</v>
      </c>
      <c r="E70" s="31" t="s">
        <v>218</v>
      </c>
      <c r="F70" s="29" t="s">
        <v>535</v>
      </c>
      <c r="G70" s="480">
        <v>44024</v>
      </c>
      <c r="H70" s="60">
        <v>46955169.110612996</v>
      </c>
      <c r="I70" s="523">
        <v>44208</v>
      </c>
      <c r="J70" s="481">
        <f t="shared" si="0"/>
        <v>163</v>
      </c>
      <c r="K70" s="479" t="str">
        <f t="shared" si="1"/>
        <v/>
      </c>
      <c r="L70" s="479" t="str">
        <f t="shared" si="2"/>
        <v/>
      </c>
      <c r="M70" s="487" t="str">
        <f t="shared" si="3"/>
        <v/>
      </c>
      <c r="N70" s="479">
        <f t="shared" si="4"/>
        <v>46955169.110612996</v>
      </c>
      <c r="O70" s="479" t="str">
        <f t="shared" si="5"/>
        <v/>
      </c>
      <c r="P70" s="479" t="str">
        <f t="shared" si="6"/>
        <v/>
      </c>
    </row>
    <row r="71" spans="2:16" s="477" customFormat="1">
      <c r="B71" s="530">
        <v>10000078</v>
      </c>
      <c r="C71" s="489" t="s">
        <v>10</v>
      </c>
      <c r="D71" s="65" t="s">
        <v>42</v>
      </c>
      <c r="E71" s="31" t="s">
        <v>219</v>
      </c>
      <c r="F71" s="29" t="s">
        <v>538</v>
      </c>
      <c r="G71" s="480">
        <v>44409</v>
      </c>
      <c r="H71" s="60">
        <v>48969993.699518502</v>
      </c>
      <c r="I71" s="523">
        <v>44234</v>
      </c>
      <c r="J71" s="481">
        <f t="shared" si="0"/>
        <v>137</v>
      </c>
      <c r="K71" s="479" t="str">
        <f t="shared" ref="K71:K134" si="7">IF(AND(J71&gt;=16,J71&lt;=30),H71,"")</f>
        <v/>
      </c>
      <c r="L71" s="479" t="str">
        <f t="shared" ref="L71:L134" si="8">IF(AND(J71&gt;=31,J71&lt;=60),H71,"")</f>
        <v/>
      </c>
      <c r="M71" s="487" t="str">
        <f t="shared" ref="M71:M134" si="9">IF(AND(J71&gt;=61,J71&lt;=90),H71,"")</f>
        <v/>
      </c>
      <c r="N71" s="479">
        <f t="shared" ref="N71:N134" si="10">IF(AND(J71&gt;=91,J71&lt;=180),H71,"")</f>
        <v>48969993.699518502</v>
      </c>
      <c r="O71" s="479" t="str">
        <f t="shared" ref="O71:O134" si="11">IF(AND(J71&gt;=181,J71&lt;=360),H71,"")</f>
        <v/>
      </c>
      <c r="P71" s="479" t="str">
        <f t="shared" ref="P71:P134" si="12">IF(J71&gt;=360,H71,"")</f>
        <v/>
      </c>
    </row>
    <row r="72" spans="2:16" s="477" customFormat="1">
      <c r="B72" s="530">
        <v>10000078</v>
      </c>
      <c r="C72" s="489" t="s">
        <v>10</v>
      </c>
      <c r="D72" s="65" t="s">
        <v>42</v>
      </c>
      <c r="E72" s="66" t="s">
        <v>221</v>
      </c>
      <c r="F72" s="492" t="s">
        <v>43</v>
      </c>
      <c r="G72" s="480">
        <v>44410</v>
      </c>
      <c r="H72" s="60">
        <v>47911744.384638742</v>
      </c>
      <c r="I72" s="525">
        <v>44258</v>
      </c>
      <c r="J72" s="481">
        <f t="shared" ref="J72:J135" si="13">DATEDIF(I72,$J$4,"D")</f>
        <v>113</v>
      </c>
      <c r="K72" s="479" t="str">
        <f t="shared" si="7"/>
        <v/>
      </c>
      <c r="L72" s="479" t="str">
        <f t="shared" si="8"/>
        <v/>
      </c>
      <c r="M72" s="487" t="str">
        <f t="shared" si="9"/>
        <v/>
      </c>
      <c r="N72" s="479">
        <f t="shared" si="10"/>
        <v>47911744.384638742</v>
      </c>
      <c r="O72" s="479" t="str">
        <f t="shared" si="11"/>
        <v/>
      </c>
      <c r="P72" s="479" t="str">
        <f t="shared" si="12"/>
        <v/>
      </c>
    </row>
    <row r="73" spans="2:16" s="477" customFormat="1">
      <c r="B73" s="530">
        <v>10000078</v>
      </c>
      <c r="C73" s="489" t="s">
        <v>10</v>
      </c>
      <c r="D73" s="65" t="s">
        <v>42</v>
      </c>
      <c r="E73" s="31" t="s">
        <v>222</v>
      </c>
      <c r="F73" s="29" t="s">
        <v>540</v>
      </c>
      <c r="G73" s="480">
        <v>44319</v>
      </c>
      <c r="H73" s="60">
        <v>48237864.923729241</v>
      </c>
      <c r="I73" s="523">
        <v>44275</v>
      </c>
      <c r="J73" s="481">
        <f t="shared" si="13"/>
        <v>96</v>
      </c>
      <c r="K73" s="479" t="str">
        <f t="shared" si="7"/>
        <v/>
      </c>
      <c r="L73" s="479" t="str">
        <f t="shared" si="8"/>
        <v/>
      </c>
      <c r="M73" s="487" t="str">
        <f t="shared" si="9"/>
        <v/>
      </c>
      <c r="N73" s="479">
        <f t="shared" si="10"/>
        <v>48237864.923729241</v>
      </c>
      <c r="O73" s="479" t="str">
        <f t="shared" si="11"/>
        <v/>
      </c>
      <c r="P73" s="479" t="str">
        <f t="shared" si="12"/>
        <v/>
      </c>
    </row>
    <row r="74" spans="2:16" s="477" customFormat="1">
      <c r="B74" s="530"/>
      <c r="C74" s="489"/>
      <c r="D74" s="65"/>
      <c r="E74" s="31"/>
      <c r="F74" s="29"/>
      <c r="G74" s="480"/>
      <c r="H74" s="60"/>
      <c r="I74" s="523"/>
      <c r="J74" s="481"/>
      <c r="K74" s="479" t="str">
        <f t="shared" si="7"/>
        <v/>
      </c>
      <c r="L74" s="479" t="str">
        <f t="shared" si="8"/>
        <v/>
      </c>
      <c r="M74" s="487" t="str">
        <f t="shared" si="9"/>
        <v/>
      </c>
      <c r="N74" s="479" t="str">
        <f t="shared" si="10"/>
        <v/>
      </c>
      <c r="O74" s="479" t="str">
        <f t="shared" si="11"/>
        <v/>
      </c>
      <c r="P74" s="479" t="str">
        <f t="shared" si="12"/>
        <v/>
      </c>
    </row>
    <row r="75" spans="2:16" s="477" customFormat="1">
      <c r="B75" s="530"/>
      <c r="C75" s="489"/>
      <c r="D75" s="65"/>
      <c r="E75" s="31"/>
      <c r="F75" s="29"/>
      <c r="G75" s="480"/>
      <c r="H75" s="60"/>
      <c r="I75" s="523"/>
      <c r="J75" s="481"/>
      <c r="K75" s="479" t="str">
        <f t="shared" si="7"/>
        <v/>
      </c>
      <c r="L75" s="479" t="str">
        <f t="shared" si="8"/>
        <v/>
      </c>
      <c r="M75" s="487" t="str">
        <f t="shared" si="9"/>
        <v/>
      </c>
      <c r="N75" s="479" t="str">
        <f t="shared" si="10"/>
        <v/>
      </c>
      <c r="O75" s="479" t="str">
        <f t="shared" si="11"/>
        <v/>
      </c>
      <c r="P75" s="479" t="str">
        <f t="shared" si="12"/>
        <v/>
      </c>
    </row>
    <row r="76" spans="2:16" s="477" customFormat="1">
      <c r="B76" s="530">
        <v>10000105</v>
      </c>
      <c r="C76" s="489" t="s">
        <v>10</v>
      </c>
      <c r="D76" s="65" t="s">
        <v>738</v>
      </c>
      <c r="E76" s="31" t="s">
        <v>136</v>
      </c>
      <c r="F76" s="29"/>
      <c r="G76" s="480"/>
      <c r="H76" s="60">
        <v>5571257648.5909977</v>
      </c>
      <c r="I76" s="523"/>
      <c r="J76" s="481"/>
      <c r="K76" s="479" t="str">
        <f t="shared" si="7"/>
        <v/>
      </c>
      <c r="L76" s="479" t="str">
        <f t="shared" si="8"/>
        <v/>
      </c>
      <c r="M76" s="487" t="str">
        <f t="shared" si="9"/>
        <v/>
      </c>
      <c r="N76" s="479" t="str">
        <f t="shared" si="10"/>
        <v/>
      </c>
      <c r="O76" s="479" t="str">
        <f t="shared" si="11"/>
        <v/>
      </c>
      <c r="P76" s="479" t="str">
        <f t="shared" si="12"/>
        <v/>
      </c>
    </row>
    <row r="77" spans="2:16" s="477" customFormat="1">
      <c r="B77" s="530">
        <v>10000105</v>
      </c>
      <c r="C77" s="489" t="s">
        <v>10</v>
      </c>
      <c r="D77" s="65" t="s">
        <v>738</v>
      </c>
      <c r="E77" s="356" t="s">
        <v>191</v>
      </c>
      <c r="F77" s="29" t="s">
        <v>29</v>
      </c>
      <c r="G77" s="480">
        <v>43986</v>
      </c>
      <c r="H77" s="60">
        <v>561967031.04300022</v>
      </c>
      <c r="I77" s="523">
        <v>43949</v>
      </c>
      <c r="J77" s="481">
        <f t="shared" si="13"/>
        <v>422</v>
      </c>
      <c r="K77" s="479" t="str">
        <f t="shared" si="7"/>
        <v/>
      </c>
      <c r="L77" s="479" t="str">
        <f t="shared" si="8"/>
        <v/>
      </c>
      <c r="M77" s="487" t="str">
        <f t="shared" si="9"/>
        <v/>
      </c>
      <c r="N77" s="479" t="str">
        <f t="shared" si="10"/>
        <v/>
      </c>
      <c r="O77" s="479" t="str">
        <f t="shared" si="11"/>
        <v/>
      </c>
      <c r="P77" s="479">
        <f t="shared" si="12"/>
        <v>561967031.04300022</v>
      </c>
    </row>
    <row r="78" spans="2:16" s="477" customFormat="1">
      <c r="B78" s="530">
        <v>10000105</v>
      </c>
      <c r="C78" s="489" t="s">
        <v>10</v>
      </c>
      <c r="D78" s="65" t="s">
        <v>738</v>
      </c>
      <c r="E78" s="356" t="s">
        <v>195</v>
      </c>
      <c r="F78" s="29" t="s">
        <v>301</v>
      </c>
      <c r="G78" s="480" t="s">
        <v>197</v>
      </c>
      <c r="H78" s="60">
        <v>252006618.45600033</v>
      </c>
      <c r="I78" s="523">
        <v>43980</v>
      </c>
      <c r="J78" s="481">
        <f t="shared" si="13"/>
        <v>391</v>
      </c>
      <c r="K78" s="479" t="str">
        <f t="shared" si="7"/>
        <v/>
      </c>
      <c r="L78" s="479" t="str">
        <f t="shared" si="8"/>
        <v/>
      </c>
      <c r="M78" s="487" t="str">
        <f t="shared" si="9"/>
        <v/>
      </c>
      <c r="N78" s="479" t="str">
        <f t="shared" si="10"/>
        <v/>
      </c>
      <c r="O78" s="479" t="str">
        <f t="shared" si="11"/>
        <v/>
      </c>
      <c r="P78" s="479">
        <f t="shared" si="12"/>
        <v>252006618.45600033</v>
      </c>
    </row>
    <row r="79" spans="2:16" s="477" customFormat="1">
      <c r="B79" s="530">
        <v>10000105</v>
      </c>
      <c r="C79" s="489" t="s">
        <v>10</v>
      </c>
      <c r="D79" s="65" t="s">
        <v>738</v>
      </c>
      <c r="E79" s="356" t="s">
        <v>199</v>
      </c>
      <c r="F79" s="29" t="s">
        <v>313</v>
      </c>
      <c r="G79" s="480">
        <v>44049</v>
      </c>
      <c r="H79" s="60">
        <v>215667234.67999983</v>
      </c>
      <c r="I79" s="523">
        <v>43985</v>
      </c>
      <c r="J79" s="481">
        <f t="shared" si="13"/>
        <v>386</v>
      </c>
      <c r="K79" s="479" t="str">
        <f t="shared" si="7"/>
        <v/>
      </c>
      <c r="L79" s="479" t="str">
        <f t="shared" si="8"/>
        <v/>
      </c>
      <c r="M79" s="487" t="str">
        <f t="shared" si="9"/>
        <v/>
      </c>
      <c r="N79" s="479" t="str">
        <f t="shared" si="10"/>
        <v/>
      </c>
      <c r="O79" s="479" t="str">
        <f t="shared" si="11"/>
        <v/>
      </c>
      <c r="P79" s="479">
        <f t="shared" si="12"/>
        <v>215667234.67999983</v>
      </c>
    </row>
    <row r="80" spans="2:16" s="477" customFormat="1">
      <c r="B80" s="530">
        <v>10000105</v>
      </c>
      <c r="C80" s="489" t="s">
        <v>10</v>
      </c>
      <c r="D80" s="65" t="s">
        <v>738</v>
      </c>
      <c r="E80" s="356" t="s">
        <v>201</v>
      </c>
      <c r="F80" s="29" t="s">
        <v>314</v>
      </c>
      <c r="G80" s="480" t="s">
        <v>449</v>
      </c>
      <c r="H80" s="60">
        <v>215609772.69000006</v>
      </c>
      <c r="I80" s="523">
        <v>44047</v>
      </c>
      <c r="J80" s="481">
        <f t="shared" si="13"/>
        <v>324</v>
      </c>
      <c r="K80" s="479" t="str">
        <f t="shared" si="7"/>
        <v/>
      </c>
      <c r="L80" s="479" t="str">
        <f t="shared" si="8"/>
        <v/>
      </c>
      <c r="M80" s="487" t="str">
        <f t="shared" si="9"/>
        <v/>
      </c>
      <c r="N80" s="479" t="str">
        <f t="shared" si="10"/>
        <v/>
      </c>
      <c r="O80" s="479">
        <f t="shared" si="11"/>
        <v>215609772.69000006</v>
      </c>
      <c r="P80" s="479" t="str">
        <f t="shared" si="12"/>
        <v/>
      </c>
    </row>
    <row r="81" spans="2:16" s="477" customFormat="1">
      <c r="B81" s="530">
        <v>10000105</v>
      </c>
      <c r="C81" s="489" t="s">
        <v>10</v>
      </c>
      <c r="D81" s="65" t="s">
        <v>738</v>
      </c>
      <c r="E81" s="356" t="s">
        <v>203</v>
      </c>
      <c r="F81" s="29" t="s">
        <v>315</v>
      </c>
      <c r="G81" s="480">
        <v>44020</v>
      </c>
      <c r="H81" s="60">
        <v>244578359.43500042</v>
      </c>
      <c r="I81" s="523">
        <v>44065</v>
      </c>
      <c r="J81" s="481">
        <f t="shared" si="13"/>
        <v>306</v>
      </c>
      <c r="K81" s="479" t="str">
        <f t="shared" si="7"/>
        <v/>
      </c>
      <c r="L81" s="479" t="str">
        <f t="shared" si="8"/>
        <v/>
      </c>
      <c r="M81" s="487" t="str">
        <f t="shared" si="9"/>
        <v/>
      </c>
      <c r="N81" s="479" t="str">
        <f t="shared" si="10"/>
        <v/>
      </c>
      <c r="O81" s="479">
        <f t="shared" si="11"/>
        <v>244578359.43500042</v>
      </c>
      <c r="P81" s="479" t="str">
        <f t="shared" si="12"/>
        <v/>
      </c>
    </row>
    <row r="82" spans="2:16" s="477" customFormat="1">
      <c r="B82" s="530">
        <v>10000105</v>
      </c>
      <c r="C82" s="489" t="s">
        <v>10</v>
      </c>
      <c r="D82" s="65" t="s">
        <v>738</v>
      </c>
      <c r="E82" s="356" t="s">
        <v>207</v>
      </c>
      <c r="F82" s="29" t="s">
        <v>316</v>
      </c>
      <c r="G82" s="480" t="s">
        <v>292</v>
      </c>
      <c r="H82" s="60">
        <v>247811342.33999968</v>
      </c>
      <c r="I82" s="523">
        <v>44099</v>
      </c>
      <c r="J82" s="481">
        <f t="shared" si="13"/>
        <v>272</v>
      </c>
      <c r="K82" s="479" t="str">
        <f t="shared" si="7"/>
        <v/>
      </c>
      <c r="L82" s="479" t="str">
        <f t="shared" si="8"/>
        <v/>
      </c>
      <c r="M82" s="487" t="str">
        <f t="shared" si="9"/>
        <v/>
      </c>
      <c r="N82" s="479" t="str">
        <f t="shared" si="10"/>
        <v/>
      </c>
      <c r="O82" s="479">
        <f t="shared" si="11"/>
        <v>247811342.33999968</v>
      </c>
      <c r="P82" s="479" t="str">
        <f t="shared" si="12"/>
        <v/>
      </c>
    </row>
    <row r="83" spans="2:16" s="477" customFormat="1">
      <c r="B83" s="530">
        <v>10000105</v>
      </c>
      <c r="C83" s="489" t="s">
        <v>10</v>
      </c>
      <c r="D83" s="65" t="s">
        <v>738</v>
      </c>
      <c r="E83" s="356" t="s">
        <v>212</v>
      </c>
      <c r="F83" s="29" t="s">
        <v>786</v>
      </c>
      <c r="G83" s="480" t="s">
        <v>736</v>
      </c>
      <c r="H83" s="60">
        <v>312150738.72300005</v>
      </c>
      <c r="I83" s="523">
        <v>44132</v>
      </c>
      <c r="J83" s="481">
        <f t="shared" si="13"/>
        <v>239</v>
      </c>
      <c r="K83" s="479" t="str">
        <f t="shared" si="7"/>
        <v/>
      </c>
      <c r="L83" s="479" t="str">
        <f t="shared" si="8"/>
        <v/>
      </c>
      <c r="M83" s="487" t="str">
        <f t="shared" si="9"/>
        <v/>
      </c>
      <c r="N83" s="479" t="str">
        <f t="shared" si="10"/>
        <v/>
      </c>
      <c r="O83" s="479">
        <f t="shared" si="11"/>
        <v>312150738.72300005</v>
      </c>
      <c r="P83" s="479" t="str">
        <f t="shared" si="12"/>
        <v/>
      </c>
    </row>
    <row r="84" spans="2:16" s="477" customFormat="1">
      <c r="B84" s="530">
        <v>10000105</v>
      </c>
      <c r="C84" s="489" t="s">
        <v>10</v>
      </c>
      <c r="D84" s="65" t="s">
        <v>738</v>
      </c>
      <c r="E84" s="356" t="s">
        <v>214</v>
      </c>
      <c r="F84" s="29" t="s">
        <v>319</v>
      </c>
      <c r="G84" s="480">
        <v>43962</v>
      </c>
      <c r="H84" s="60">
        <v>306165311.65474939</v>
      </c>
      <c r="I84" s="523">
        <v>44157</v>
      </c>
      <c r="J84" s="481">
        <f t="shared" si="13"/>
        <v>214</v>
      </c>
      <c r="K84" s="479" t="str">
        <f t="shared" si="7"/>
        <v/>
      </c>
      <c r="L84" s="479" t="str">
        <f t="shared" si="8"/>
        <v/>
      </c>
      <c r="M84" s="487" t="str">
        <f t="shared" si="9"/>
        <v/>
      </c>
      <c r="N84" s="479" t="str">
        <f t="shared" si="10"/>
        <v/>
      </c>
      <c r="O84" s="479">
        <f t="shared" si="11"/>
        <v>306165311.65474939</v>
      </c>
      <c r="P84" s="479" t="str">
        <f t="shared" si="12"/>
        <v/>
      </c>
    </row>
    <row r="85" spans="2:16" s="477" customFormat="1">
      <c r="B85" s="530">
        <v>10000105</v>
      </c>
      <c r="C85" s="489" t="s">
        <v>10</v>
      </c>
      <c r="D85" s="65" t="s">
        <v>738</v>
      </c>
      <c r="E85" s="356" t="s">
        <v>218</v>
      </c>
      <c r="F85" s="29" t="s">
        <v>787</v>
      </c>
      <c r="G85" s="480">
        <v>44024</v>
      </c>
      <c r="H85" s="60">
        <v>266813821.14815044</v>
      </c>
      <c r="I85" s="523">
        <v>44208</v>
      </c>
      <c r="J85" s="481">
        <f t="shared" si="13"/>
        <v>163</v>
      </c>
      <c r="K85" s="479" t="str">
        <f t="shared" si="7"/>
        <v/>
      </c>
      <c r="L85" s="479" t="str">
        <f t="shared" si="8"/>
        <v/>
      </c>
      <c r="M85" s="487" t="str">
        <f t="shared" si="9"/>
        <v/>
      </c>
      <c r="N85" s="479">
        <f t="shared" si="10"/>
        <v>266813821.14815044</v>
      </c>
      <c r="O85" s="479" t="str">
        <f t="shared" si="11"/>
        <v/>
      </c>
      <c r="P85" s="479" t="str">
        <f t="shared" si="12"/>
        <v/>
      </c>
    </row>
    <row r="86" spans="2:16" s="477" customFormat="1">
      <c r="B86" s="530">
        <v>10000105</v>
      </c>
      <c r="C86" s="489" t="s">
        <v>10</v>
      </c>
      <c r="D86" s="65" t="s">
        <v>738</v>
      </c>
      <c r="E86" s="356" t="s">
        <v>219</v>
      </c>
      <c r="F86" s="29" t="s">
        <v>323</v>
      </c>
      <c r="G86" s="480">
        <v>44409</v>
      </c>
      <c r="H86" s="60">
        <v>299145921.82399988</v>
      </c>
      <c r="I86" s="523">
        <v>44219</v>
      </c>
      <c r="J86" s="481">
        <f t="shared" si="13"/>
        <v>152</v>
      </c>
      <c r="K86" s="479" t="str">
        <f t="shared" si="7"/>
        <v/>
      </c>
      <c r="L86" s="479" t="str">
        <f t="shared" si="8"/>
        <v/>
      </c>
      <c r="M86" s="487" t="str">
        <f t="shared" si="9"/>
        <v/>
      </c>
      <c r="N86" s="479">
        <f t="shared" si="10"/>
        <v>299145921.82399988</v>
      </c>
      <c r="O86" s="479" t="str">
        <f t="shared" si="11"/>
        <v/>
      </c>
      <c r="P86" s="479" t="str">
        <f t="shared" si="12"/>
        <v/>
      </c>
    </row>
    <row r="87" spans="2:16" s="477" customFormat="1">
      <c r="B87" s="530">
        <v>10000105</v>
      </c>
      <c r="C87" s="489" t="s">
        <v>10</v>
      </c>
      <c r="D87" s="65" t="s">
        <v>738</v>
      </c>
      <c r="E87" s="356" t="s">
        <v>221</v>
      </c>
      <c r="F87" s="29" t="s">
        <v>44</v>
      </c>
      <c r="G87" s="480">
        <v>44441</v>
      </c>
      <c r="H87" s="60">
        <v>332723755.26900005</v>
      </c>
      <c r="I87" s="523">
        <v>44259</v>
      </c>
      <c r="J87" s="481">
        <f t="shared" si="13"/>
        <v>112</v>
      </c>
      <c r="K87" s="479" t="str">
        <f t="shared" si="7"/>
        <v/>
      </c>
      <c r="L87" s="479" t="str">
        <f t="shared" si="8"/>
        <v/>
      </c>
      <c r="M87" s="487" t="str">
        <f t="shared" si="9"/>
        <v/>
      </c>
      <c r="N87" s="479">
        <f t="shared" si="10"/>
        <v>332723755.26900005</v>
      </c>
      <c r="O87" s="479" t="str">
        <f t="shared" si="11"/>
        <v/>
      </c>
      <c r="P87" s="479" t="str">
        <f t="shared" si="12"/>
        <v/>
      </c>
    </row>
    <row r="88" spans="2:16" s="477" customFormat="1">
      <c r="B88" s="530">
        <v>10000105</v>
      </c>
      <c r="C88" s="489" t="s">
        <v>10</v>
      </c>
      <c r="D88" s="65" t="s">
        <v>738</v>
      </c>
      <c r="E88" s="31" t="s">
        <v>222</v>
      </c>
      <c r="F88" s="29" t="s">
        <v>326</v>
      </c>
      <c r="G88" s="480">
        <v>44319</v>
      </c>
      <c r="H88" s="60">
        <v>4359188111.0785007</v>
      </c>
      <c r="I88" s="523">
        <v>44275</v>
      </c>
      <c r="J88" s="481">
        <f t="shared" si="13"/>
        <v>96</v>
      </c>
      <c r="K88" s="479" t="str">
        <f t="shared" si="7"/>
        <v/>
      </c>
      <c r="L88" s="479" t="str">
        <f t="shared" si="8"/>
        <v/>
      </c>
      <c r="M88" s="487" t="str">
        <f t="shared" si="9"/>
        <v/>
      </c>
      <c r="N88" s="479">
        <f t="shared" si="10"/>
        <v>4359188111.0785007</v>
      </c>
      <c r="O88" s="479" t="str">
        <f t="shared" si="11"/>
        <v/>
      </c>
      <c r="P88" s="479" t="str">
        <f t="shared" si="12"/>
        <v/>
      </c>
    </row>
    <row r="89" spans="2:16" s="477" customFormat="1">
      <c r="B89" s="530"/>
      <c r="C89" s="489"/>
      <c r="D89" s="65"/>
      <c r="E89" s="31"/>
      <c r="F89" s="29"/>
      <c r="G89" s="480"/>
      <c r="H89" s="60"/>
      <c r="I89" s="523"/>
      <c r="J89" s="481"/>
      <c r="K89" s="479" t="str">
        <f t="shared" si="7"/>
        <v/>
      </c>
      <c r="L89" s="479" t="str">
        <f t="shared" si="8"/>
        <v/>
      </c>
      <c r="M89" s="487" t="str">
        <f t="shared" si="9"/>
        <v/>
      </c>
      <c r="N89" s="479" t="str">
        <f t="shared" si="10"/>
        <v/>
      </c>
      <c r="O89" s="479" t="str">
        <f t="shared" si="11"/>
        <v/>
      </c>
      <c r="P89" s="479" t="str">
        <f t="shared" si="12"/>
        <v/>
      </c>
    </row>
    <row r="90" spans="2:16" s="477" customFormat="1">
      <c r="B90" s="530"/>
      <c r="C90" s="489"/>
      <c r="D90" s="65"/>
      <c r="E90" s="488"/>
      <c r="F90" s="492"/>
      <c r="G90" s="480"/>
      <c r="H90" s="60"/>
      <c r="I90" s="525"/>
      <c r="J90" s="481"/>
      <c r="K90" s="479" t="str">
        <f t="shared" si="7"/>
        <v/>
      </c>
      <c r="L90" s="479" t="str">
        <f t="shared" si="8"/>
        <v/>
      </c>
      <c r="M90" s="487" t="str">
        <f t="shared" si="9"/>
        <v/>
      </c>
      <c r="N90" s="479" t="str">
        <f t="shared" si="10"/>
        <v/>
      </c>
      <c r="O90" s="479" t="str">
        <f t="shared" si="11"/>
        <v/>
      </c>
      <c r="P90" s="479" t="str">
        <f t="shared" si="12"/>
        <v/>
      </c>
    </row>
    <row r="91" spans="2:16" s="477" customFormat="1">
      <c r="B91" s="530"/>
      <c r="C91" s="489"/>
      <c r="D91" s="65"/>
      <c r="E91" s="356"/>
      <c r="F91" s="29"/>
      <c r="G91" s="480"/>
      <c r="H91" s="60"/>
      <c r="I91" s="523"/>
      <c r="J91" s="481"/>
      <c r="K91" s="479" t="str">
        <f t="shared" si="7"/>
        <v/>
      </c>
      <c r="L91" s="479" t="str">
        <f t="shared" si="8"/>
        <v/>
      </c>
      <c r="M91" s="487" t="str">
        <f t="shared" si="9"/>
        <v/>
      </c>
      <c r="N91" s="479" t="str">
        <f t="shared" si="10"/>
        <v/>
      </c>
      <c r="O91" s="479" t="str">
        <f t="shared" si="11"/>
        <v/>
      </c>
      <c r="P91" s="479" t="str">
        <f t="shared" si="12"/>
        <v/>
      </c>
    </row>
    <row r="92" spans="2:16" s="477" customFormat="1">
      <c r="B92" s="530">
        <v>10014024</v>
      </c>
      <c r="C92" s="489" t="s">
        <v>10</v>
      </c>
      <c r="D92" s="65" t="s">
        <v>45</v>
      </c>
      <c r="E92" s="356" t="s">
        <v>136</v>
      </c>
      <c r="F92" s="29"/>
      <c r="G92" s="480"/>
      <c r="H92" s="60">
        <v>1378830567.8316069</v>
      </c>
      <c r="I92" s="523"/>
      <c r="J92" s="481"/>
      <c r="K92" s="479" t="str">
        <f t="shared" si="7"/>
        <v/>
      </c>
      <c r="L92" s="479" t="str">
        <f t="shared" si="8"/>
        <v/>
      </c>
      <c r="M92" s="487" t="str">
        <f t="shared" si="9"/>
        <v/>
      </c>
      <c r="N92" s="479" t="str">
        <f t="shared" si="10"/>
        <v/>
      </c>
      <c r="O92" s="479" t="str">
        <f t="shared" si="11"/>
        <v/>
      </c>
      <c r="P92" s="479" t="str">
        <f t="shared" si="12"/>
        <v/>
      </c>
    </row>
    <row r="93" spans="2:16" s="477" customFormat="1">
      <c r="B93" s="530">
        <v>10014024</v>
      </c>
      <c r="C93" s="489" t="s">
        <v>10</v>
      </c>
      <c r="D93" s="65" t="s">
        <v>45</v>
      </c>
      <c r="E93" s="488" t="s">
        <v>214</v>
      </c>
      <c r="F93" s="492" t="s">
        <v>866</v>
      </c>
      <c r="G93" s="480">
        <v>43962</v>
      </c>
      <c r="H93" s="60">
        <v>86118422.812999964</v>
      </c>
      <c r="I93" s="525">
        <v>44170</v>
      </c>
      <c r="J93" s="481">
        <f t="shared" si="13"/>
        <v>201</v>
      </c>
      <c r="K93" s="479" t="str">
        <f t="shared" si="7"/>
        <v/>
      </c>
      <c r="L93" s="479" t="str">
        <f t="shared" si="8"/>
        <v/>
      </c>
      <c r="M93" s="487" t="str">
        <f t="shared" si="9"/>
        <v/>
      </c>
      <c r="N93" s="479" t="str">
        <f t="shared" si="10"/>
        <v/>
      </c>
      <c r="O93" s="479">
        <f t="shared" si="11"/>
        <v>86118422.812999964</v>
      </c>
      <c r="P93" s="479" t="str">
        <f t="shared" si="12"/>
        <v/>
      </c>
    </row>
    <row r="94" spans="2:16" s="477" customFormat="1">
      <c r="B94" s="530">
        <v>10014024</v>
      </c>
      <c r="C94" s="489" t="s">
        <v>10</v>
      </c>
      <c r="D94" s="65" t="s">
        <v>45</v>
      </c>
      <c r="E94" s="356" t="s">
        <v>218</v>
      </c>
      <c r="F94" s="29" t="s">
        <v>868</v>
      </c>
      <c r="G94" s="480">
        <v>44147</v>
      </c>
      <c r="H94" s="60">
        <v>126054539.57200003</v>
      </c>
      <c r="I94" s="523">
        <v>44177</v>
      </c>
      <c r="J94" s="481">
        <f t="shared" si="13"/>
        <v>194</v>
      </c>
      <c r="K94" s="479" t="str">
        <f t="shared" si="7"/>
        <v/>
      </c>
      <c r="L94" s="479" t="str">
        <f t="shared" si="8"/>
        <v/>
      </c>
      <c r="M94" s="487" t="str">
        <f t="shared" si="9"/>
        <v/>
      </c>
      <c r="N94" s="479" t="str">
        <f t="shared" si="10"/>
        <v/>
      </c>
      <c r="O94" s="479">
        <f t="shared" si="11"/>
        <v>126054539.57200003</v>
      </c>
      <c r="P94" s="479" t="str">
        <f t="shared" si="12"/>
        <v/>
      </c>
    </row>
    <row r="95" spans="2:16" s="477" customFormat="1">
      <c r="B95" s="530">
        <v>10014024</v>
      </c>
      <c r="C95" s="489" t="s">
        <v>10</v>
      </c>
      <c r="D95" s="65" t="s">
        <v>45</v>
      </c>
      <c r="E95" s="356" t="s">
        <v>219</v>
      </c>
      <c r="F95" s="29" t="s">
        <v>869</v>
      </c>
      <c r="G95" s="480">
        <v>44409</v>
      </c>
      <c r="H95" s="60">
        <v>84079492.943750024</v>
      </c>
      <c r="I95" s="523">
        <v>44234</v>
      </c>
      <c r="J95" s="481">
        <f t="shared" si="13"/>
        <v>137</v>
      </c>
      <c r="K95" s="479" t="str">
        <f t="shared" si="7"/>
        <v/>
      </c>
      <c r="L95" s="479" t="str">
        <f t="shared" si="8"/>
        <v/>
      </c>
      <c r="M95" s="487" t="str">
        <f t="shared" si="9"/>
        <v/>
      </c>
      <c r="N95" s="479">
        <f t="shared" si="10"/>
        <v>84079492.943750024</v>
      </c>
      <c r="O95" s="479" t="str">
        <f t="shared" si="11"/>
        <v/>
      </c>
      <c r="P95" s="479" t="str">
        <f t="shared" si="12"/>
        <v/>
      </c>
    </row>
    <row r="96" spans="2:16" s="477" customFormat="1">
      <c r="B96" s="530">
        <v>10014024</v>
      </c>
      <c r="C96" s="489" t="s">
        <v>10</v>
      </c>
      <c r="D96" s="65" t="s">
        <v>45</v>
      </c>
      <c r="E96" s="488" t="s">
        <v>221</v>
      </c>
      <c r="F96" s="492" t="s">
        <v>46</v>
      </c>
      <c r="G96" s="480" t="s">
        <v>47</v>
      </c>
      <c r="H96" s="60">
        <v>91060333.940750003</v>
      </c>
      <c r="I96" s="525">
        <v>44270</v>
      </c>
      <c r="J96" s="481">
        <f t="shared" si="13"/>
        <v>101</v>
      </c>
      <c r="K96" s="479" t="str">
        <f t="shared" si="7"/>
        <v/>
      </c>
      <c r="L96" s="479" t="str">
        <f t="shared" si="8"/>
        <v/>
      </c>
      <c r="M96" s="487" t="str">
        <f t="shared" si="9"/>
        <v/>
      </c>
      <c r="N96" s="479">
        <f t="shared" si="10"/>
        <v>91060333.940750003</v>
      </c>
      <c r="O96" s="479" t="str">
        <f t="shared" si="11"/>
        <v/>
      </c>
      <c r="P96" s="479" t="str">
        <f t="shared" si="12"/>
        <v/>
      </c>
    </row>
    <row r="97" spans="2:16" s="477" customFormat="1">
      <c r="B97" s="530">
        <v>10014024</v>
      </c>
      <c r="C97" s="489" t="s">
        <v>10</v>
      </c>
      <c r="D97" s="65" t="s">
        <v>45</v>
      </c>
      <c r="E97" s="356" t="s">
        <v>222</v>
      </c>
      <c r="F97" s="29" t="s">
        <v>870</v>
      </c>
      <c r="G97" s="480">
        <v>44472</v>
      </c>
      <c r="H97" s="60">
        <v>806334520.61725008</v>
      </c>
      <c r="I97" s="523">
        <v>44280</v>
      </c>
      <c r="J97" s="481">
        <f t="shared" si="13"/>
        <v>91</v>
      </c>
      <c r="K97" s="479" t="str">
        <f t="shared" si="7"/>
        <v/>
      </c>
      <c r="L97" s="479" t="str">
        <f t="shared" si="8"/>
        <v/>
      </c>
      <c r="M97" s="487" t="str">
        <f t="shared" si="9"/>
        <v/>
      </c>
      <c r="N97" s="479">
        <f t="shared" si="10"/>
        <v>806334520.61725008</v>
      </c>
      <c r="O97" s="479" t="str">
        <f t="shared" si="11"/>
        <v/>
      </c>
      <c r="P97" s="479" t="str">
        <f t="shared" si="12"/>
        <v/>
      </c>
    </row>
    <row r="98" spans="2:16" s="477" customFormat="1">
      <c r="B98" s="530"/>
      <c r="C98" s="489"/>
      <c r="D98" s="65"/>
      <c r="E98" s="356"/>
      <c r="F98" s="29"/>
      <c r="G98" s="480"/>
      <c r="H98" s="60"/>
      <c r="I98" s="523"/>
      <c r="J98" s="481"/>
      <c r="K98" s="479" t="str">
        <f t="shared" si="7"/>
        <v/>
      </c>
      <c r="L98" s="479" t="str">
        <f t="shared" si="8"/>
        <v/>
      </c>
      <c r="M98" s="487" t="str">
        <f t="shared" si="9"/>
        <v/>
      </c>
      <c r="N98" s="479" t="str">
        <f t="shared" si="10"/>
        <v/>
      </c>
      <c r="O98" s="479" t="str">
        <f t="shared" si="11"/>
        <v/>
      </c>
      <c r="P98" s="479" t="str">
        <f t="shared" si="12"/>
        <v/>
      </c>
    </row>
    <row r="99" spans="2:16" s="477" customFormat="1">
      <c r="B99" s="530"/>
      <c r="C99" s="489"/>
      <c r="D99" s="65"/>
      <c r="E99" s="488"/>
      <c r="F99" s="492"/>
      <c r="G99" s="480"/>
      <c r="H99" s="60"/>
      <c r="I99" s="525"/>
      <c r="J99" s="481"/>
      <c r="K99" s="479" t="str">
        <f t="shared" si="7"/>
        <v/>
      </c>
      <c r="L99" s="479" t="str">
        <f t="shared" si="8"/>
        <v/>
      </c>
      <c r="M99" s="487" t="str">
        <f t="shared" si="9"/>
        <v/>
      </c>
      <c r="N99" s="479" t="str">
        <f t="shared" si="10"/>
        <v/>
      </c>
      <c r="O99" s="479" t="str">
        <f t="shared" si="11"/>
        <v/>
      </c>
      <c r="P99" s="479" t="str">
        <f t="shared" si="12"/>
        <v/>
      </c>
    </row>
    <row r="100" spans="2:16" s="477" customFormat="1">
      <c r="B100" s="530">
        <v>10014429</v>
      </c>
      <c r="C100" s="489" t="s">
        <v>10</v>
      </c>
      <c r="D100" s="65" t="s">
        <v>49</v>
      </c>
      <c r="E100" s="356" t="s">
        <v>873</v>
      </c>
      <c r="F100" s="29" t="s">
        <v>140</v>
      </c>
      <c r="G100" s="480"/>
      <c r="H100" s="60">
        <v>915842620.83999991</v>
      </c>
      <c r="I100" s="523"/>
      <c r="J100" s="481"/>
      <c r="K100" s="479" t="str">
        <f t="shared" si="7"/>
        <v/>
      </c>
      <c r="L100" s="479" t="str">
        <f t="shared" si="8"/>
        <v/>
      </c>
      <c r="M100" s="487" t="str">
        <f t="shared" si="9"/>
        <v/>
      </c>
      <c r="N100" s="479" t="str">
        <f t="shared" si="10"/>
        <v/>
      </c>
      <c r="O100" s="479" t="str">
        <f t="shared" si="11"/>
        <v/>
      </c>
      <c r="P100" s="479" t="str">
        <f t="shared" si="12"/>
        <v/>
      </c>
    </row>
    <row r="101" spans="2:16" s="477" customFormat="1">
      <c r="B101" s="530">
        <v>10014429</v>
      </c>
      <c r="C101" s="489" t="s">
        <v>10</v>
      </c>
      <c r="D101" s="65" t="s">
        <v>49</v>
      </c>
      <c r="E101" s="356" t="s">
        <v>874</v>
      </c>
      <c r="F101" s="29" t="s">
        <v>120</v>
      </c>
      <c r="G101" s="480"/>
      <c r="H101" s="60">
        <v>137321037.64999998</v>
      </c>
      <c r="I101" s="523"/>
      <c r="J101" s="481"/>
      <c r="K101" s="479" t="str">
        <f t="shared" si="7"/>
        <v/>
      </c>
      <c r="L101" s="479" t="str">
        <f t="shared" si="8"/>
        <v/>
      </c>
      <c r="M101" s="487" t="str">
        <f t="shared" si="9"/>
        <v/>
      </c>
      <c r="N101" s="479" t="str">
        <f t="shared" si="10"/>
        <v/>
      </c>
      <c r="O101" s="479" t="str">
        <f t="shared" si="11"/>
        <v/>
      </c>
      <c r="P101" s="479" t="str">
        <f t="shared" si="12"/>
        <v/>
      </c>
    </row>
    <row r="102" spans="2:16" s="477" customFormat="1">
      <c r="B102" s="530"/>
      <c r="C102" s="489"/>
      <c r="D102" s="65"/>
      <c r="E102" s="66"/>
      <c r="F102" s="492"/>
      <c r="G102" s="480"/>
      <c r="H102" s="60"/>
      <c r="I102" s="525"/>
      <c r="J102" s="481"/>
      <c r="K102" s="479" t="str">
        <f t="shared" si="7"/>
        <v/>
      </c>
      <c r="L102" s="479" t="str">
        <f t="shared" si="8"/>
        <v/>
      </c>
      <c r="M102" s="487" t="str">
        <f t="shared" si="9"/>
        <v/>
      </c>
      <c r="N102" s="479" t="str">
        <f t="shared" si="10"/>
        <v/>
      </c>
      <c r="O102" s="479" t="str">
        <f t="shared" si="11"/>
        <v/>
      </c>
      <c r="P102" s="479" t="str">
        <f t="shared" si="12"/>
        <v/>
      </c>
    </row>
    <row r="103" spans="2:16" s="477" customFormat="1">
      <c r="B103" s="530"/>
      <c r="C103" s="489"/>
      <c r="D103" s="65"/>
      <c r="E103" s="31"/>
      <c r="F103" s="29"/>
      <c r="G103" s="480"/>
      <c r="H103" s="60"/>
      <c r="I103" s="523"/>
      <c r="J103" s="481"/>
      <c r="K103" s="479" t="str">
        <f t="shared" si="7"/>
        <v/>
      </c>
      <c r="L103" s="479" t="str">
        <f t="shared" si="8"/>
        <v/>
      </c>
      <c r="M103" s="487" t="str">
        <f t="shared" si="9"/>
        <v/>
      </c>
      <c r="N103" s="479" t="str">
        <f t="shared" si="10"/>
        <v/>
      </c>
      <c r="O103" s="479" t="str">
        <f t="shared" si="11"/>
        <v/>
      </c>
      <c r="P103" s="479" t="str">
        <f t="shared" si="12"/>
        <v/>
      </c>
    </row>
    <row r="104" spans="2:16" s="477" customFormat="1">
      <c r="B104" s="530"/>
      <c r="C104" s="489"/>
      <c r="D104" s="65"/>
      <c r="E104" s="31" t="s">
        <v>136</v>
      </c>
      <c r="F104" s="29"/>
      <c r="G104" s="480"/>
      <c r="H104" s="60">
        <v>12942329.994842738</v>
      </c>
      <c r="I104" s="523"/>
      <c r="J104" s="481"/>
      <c r="K104" s="479" t="str">
        <f t="shared" si="7"/>
        <v/>
      </c>
      <c r="L104" s="479" t="str">
        <f t="shared" si="8"/>
        <v/>
      </c>
      <c r="M104" s="487" t="str">
        <f t="shared" si="9"/>
        <v/>
      </c>
      <c r="N104" s="479" t="str">
        <f t="shared" si="10"/>
        <v/>
      </c>
      <c r="O104" s="479" t="str">
        <f t="shared" si="11"/>
        <v/>
      </c>
      <c r="P104" s="479" t="str">
        <f t="shared" si="12"/>
        <v/>
      </c>
    </row>
    <row r="105" spans="2:16" s="477" customFormat="1">
      <c r="B105" s="530">
        <v>10000570</v>
      </c>
      <c r="C105" s="489" t="s">
        <v>10</v>
      </c>
      <c r="D105" s="65" t="s">
        <v>51</v>
      </c>
      <c r="E105" s="31" t="s">
        <v>214</v>
      </c>
      <c r="F105" s="29" t="s">
        <v>202</v>
      </c>
      <c r="G105" s="480">
        <v>43962</v>
      </c>
      <c r="H105" s="60">
        <v>48837846.796495005</v>
      </c>
      <c r="I105" s="523">
        <v>44157</v>
      </c>
      <c r="J105" s="481">
        <f t="shared" si="13"/>
        <v>214</v>
      </c>
      <c r="K105" s="479" t="str">
        <f t="shared" si="7"/>
        <v/>
      </c>
      <c r="L105" s="479" t="str">
        <f t="shared" si="8"/>
        <v/>
      </c>
      <c r="M105" s="487" t="str">
        <f t="shared" si="9"/>
        <v/>
      </c>
      <c r="N105" s="479" t="str">
        <f t="shared" si="10"/>
        <v/>
      </c>
      <c r="O105" s="479">
        <f t="shared" si="11"/>
        <v>48837846.796495005</v>
      </c>
      <c r="P105" s="479" t="str">
        <f t="shared" si="12"/>
        <v/>
      </c>
    </row>
    <row r="106" spans="2:16" s="477" customFormat="1">
      <c r="B106" s="530">
        <v>10000570</v>
      </c>
      <c r="C106" s="489" t="s">
        <v>10</v>
      </c>
      <c r="D106" s="65" t="s">
        <v>51</v>
      </c>
      <c r="E106" s="66" t="s">
        <v>218</v>
      </c>
      <c r="F106" s="492" t="s">
        <v>204</v>
      </c>
      <c r="G106" s="480">
        <v>44024</v>
      </c>
      <c r="H106" s="60">
        <v>90780060.608184993</v>
      </c>
      <c r="I106" s="525">
        <v>44208</v>
      </c>
      <c r="J106" s="481">
        <f t="shared" si="13"/>
        <v>163</v>
      </c>
      <c r="K106" s="479" t="str">
        <f t="shared" si="7"/>
        <v/>
      </c>
      <c r="L106" s="479" t="str">
        <f t="shared" si="8"/>
        <v/>
      </c>
      <c r="M106" s="487" t="str">
        <f t="shared" si="9"/>
        <v/>
      </c>
      <c r="N106" s="479">
        <f t="shared" si="10"/>
        <v>90780060.608184993</v>
      </c>
      <c r="O106" s="479" t="str">
        <f t="shared" si="11"/>
        <v/>
      </c>
      <c r="P106" s="479" t="str">
        <f t="shared" si="12"/>
        <v/>
      </c>
    </row>
    <row r="107" spans="2:16" s="477" customFormat="1">
      <c r="B107" s="530">
        <v>10000570</v>
      </c>
      <c r="C107" s="489" t="s">
        <v>10</v>
      </c>
      <c r="D107" s="65" t="s">
        <v>51</v>
      </c>
      <c r="E107" s="31" t="s">
        <v>219</v>
      </c>
      <c r="F107" s="29" t="s">
        <v>208</v>
      </c>
      <c r="G107" s="480">
        <v>44409</v>
      </c>
      <c r="H107" s="60">
        <v>78836289.725026503</v>
      </c>
      <c r="I107" s="523">
        <v>44219</v>
      </c>
      <c r="J107" s="481">
        <f t="shared" si="13"/>
        <v>152</v>
      </c>
      <c r="K107" s="479" t="str">
        <f t="shared" si="7"/>
        <v/>
      </c>
      <c r="L107" s="479" t="str">
        <f t="shared" si="8"/>
        <v/>
      </c>
      <c r="M107" s="487" t="str">
        <f t="shared" si="9"/>
        <v/>
      </c>
      <c r="N107" s="479">
        <f t="shared" si="10"/>
        <v>78836289.725026503</v>
      </c>
      <c r="O107" s="479" t="str">
        <f t="shared" si="11"/>
        <v/>
      </c>
      <c r="P107" s="479" t="str">
        <f t="shared" si="12"/>
        <v/>
      </c>
    </row>
    <row r="108" spans="2:16" s="477" customFormat="1">
      <c r="B108" s="530">
        <v>10000570</v>
      </c>
      <c r="C108" s="489" t="s">
        <v>10</v>
      </c>
      <c r="D108" s="65" t="s">
        <v>51</v>
      </c>
      <c r="E108" s="31" t="s">
        <v>221</v>
      </c>
      <c r="F108" s="29" t="s">
        <v>52</v>
      </c>
      <c r="G108" s="480">
        <v>44471</v>
      </c>
      <c r="H108" s="60">
        <v>141675499.47766</v>
      </c>
      <c r="I108" s="523">
        <v>44250</v>
      </c>
      <c r="J108" s="481">
        <f t="shared" si="13"/>
        <v>121</v>
      </c>
      <c r="K108" s="479" t="str">
        <f t="shared" si="7"/>
        <v/>
      </c>
      <c r="L108" s="479" t="str">
        <f t="shared" si="8"/>
        <v/>
      </c>
      <c r="M108" s="487" t="str">
        <f t="shared" si="9"/>
        <v/>
      </c>
      <c r="N108" s="479">
        <f t="shared" si="10"/>
        <v>141675499.47766</v>
      </c>
      <c r="O108" s="479" t="str">
        <f t="shared" si="11"/>
        <v/>
      </c>
      <c r="P108" s="479" t="str">
        <f t="shared" si="12"/>
        <v/>
      </c>
    </row>
    <row r="109" spans="2:16" s="477" customFormat="1">
      <c r="B109" s="530">
        <v>10000570</v>
      </c>
      <c r="C109" s="489" t="s">
        <v>10</v>
      </c>
      <c r="D109" s="65" t="s">
        <v>51</v>
      </c>
      <c r="E109" s="66" t="s">
        <v>222</v>
      </c>
      <c r="F109" s="492" t="s">
        <v>215</v>
      </c>
      <c r="G109" s="480">
        <v>44319</v>
      </c>
      <c r="H109" s="60">
        <v>131976736.77294001</v>
      </c>
      <c r="I109" s="525">
        <v>44275</v>
      </c>
      <c r="J109" s="481">
        <f t="shared" si="13"/>
        <v>96</v>
      </c>
      <c r="K109" s="479" t="str">
        <f t="shared" si="7"/>
        <v/>
      </c>
      <c r="L109" s="479" t="str">
        <f t="shared" si="8"/>
        <v/>
      </c>
      <c r="M109" s="487" t="str">
        <f t="shared" si="9"/>
        <v/>
      </c>
      <c r="N109" s="479">
        <f t="shared" si="10"/>
        <v>131976736.77294001</v>
      </c>
      <c r="O109" s="479" t="str">
        <f t="shared" si="11"/>
        <v/>
      </c>
      <c r="P109" s="479" t="str">
        <f t="shared" si="12"/>
        <v/>
      </c>
    </row>
    <row r="110" spans="2:16" s="477" customFormat="1">
      <c r="B110" s="530"/>
      <c r="C110" s="489"/>
      <c r="D110" s="65"/>
      <c r="E110" s="31"/>
      <c r="F110" s="29"/>
      <c r="G110" s="480"/>
      <c r="H110" s="60"/>
      <c r="I110" s="523"/>
      <c r="J110" s="481"/>
      <c r="K110" s="479" t="str">
        <f t="shared" si="7"/>
        <v/>
      </c>
      <c r="L110" s="479" t="str">
        <f t="shared" si="8"/>
        <v/>
      </c>
      <c r="M110" s="487" t="str">
        <f t="shared" si="9"/>
        <v/>
      </c>
      <c r="N110" s="479" t="str">
        <f t="shared" si="10"/>
        <v/>
      </c>
      <c r="O110" s="479" t="str">
        <f t="shared" si="11"/>
        <v/>
      </c>
      <c r="P110" s="479" t="str">
        <f t="shared" si="12"/>
        <v/>
      </c>
    </row>
    <row r="111" spans="2:16" s="477" customFormat="1">
      <c r="B111" s="530"/>
      <c r="C111" s="489"/>
      <c r="D111" s="65"/>
      <c r="E111" s="31"/>
      <c r="F111" s="492"/>
      <c r="G111" s="480"/>
      <c r="H111" s="60"/>
      <c r="I111" s="525"/>
      <c r="J111" s="481"/>
      <c r="K111" s="479" t="str">
        <f t="shared" si="7"/>
        <v/>
      </c>
      <c r="L111" s="479" t="str">
        <f t="shared" si="8"/>
        <v/>
      </c>
      <c r="M111" s="487" t="str">
        <f t="shared" si="9"/>
        <v/>
      </c>
      <c r="N111" s="479" t="str">
        <f t="shared" si="10"/>
        <v/>
      </c>
      <c r="O111" s="479" t="str">
        <f t="shared" si="11"/>
        <v/>
      </c>
      <c r="P111" s="479" t="str">
        <f t="shared" si="12"/>
        <v/>
      </c>
    </row>
    <row r="112" spans="2:16" s="477" customFormat="1">
      <c r="B112" s="530">
        <v>10010603</v>
      </c>
      <c r="C112" s="489" t="s">
        <v>10</v>
      </c>
      <c r="D112" s="65" t="s">
        <v>53</v>
      </c>
      <c r="E112" s="66" t="s">
        <v>136</v>
      </c>
      <c r="F112" s="492"/>
      <c r="G112" s="480"/>
      <c r="H112" s="60">
        <v>39569649.035918973</v>
      </c>
      <c r="I112" s="525"/>
      <c r="J112" s="481"/>
      <c r="K112" s="479" t="str">
        <f t="shared" si="7"/>
        <v/>
      </c>
      <c r="L112" s="479" t="str">
        <f t="shared" si="8"/>
        <v/>
      </c>
      <c r="M112" s="487" t="str">
        <f t="shared" si="9"/>
        <v/>
      </c>
      <c r="N112" s="479" t="str">
        <f t="shared" si="10"/>
        <v/>
      </c>
      <c r="O112" s="479" t="str">
        <f t="shared" si="11"/>
        <v/>
      </c>
      <c r="P112" s="479" t="str">
        <f t="shared" si="12"/>
        <v/>
      </c>
    </row>
    <row r="113" spans="2:16" s="477" customFormat="1">
      <c r="B113" s="530">
        <v>10010603</v>
      </c>
      <c r="C113" s="489" t="s">
        <v>10</v>
      </c>
      <c r="D113" s="65" t="s">
        <v>53</v>
      </c>
      <c r="E113" s="31" t="s">
        <v>191</v>
      </c>
      <c r="F113" s="29" t="s">
        <v>368</v>
      </c>
      <c r="G113" s="480">
        <v>43986</v>
      </c>
      <c r="H113" s="60">
        <v>39326279.312700748</v>
      </c>
      <c r="I113" s="523">
        <v>43918</v>
      </c>
      <c r="J113" s="481">
        <f t="shared" si="13"/>
        <v>453</v>
      </c>
      <c r="K113" s="479" t="str">
        <f t="shared" si="7"/>
        <v/>
      </c>
      <c r="L113" s="479" t="str">
        <f t="shared" si="8"/>
        <v/>
      </c>
      <c r="M113" s="487" t="str">
        <f t="shared" si="9"/>
        <v/>
      </c>
      <c r="N113" s="479" t="str">
        <f t="shared" si="10"/>
        <v/>
      </c>
      <c r="O113" s="479" t="str">
        <f t="shared" si="11"/>
        <v/>
      </c>
      <c r="P113" s="479">
        <f t="shared" si="12"/>
        <v>39326279.312700748</v>
      </c>
    </row>
    <row r="114" spans="2:16" s="477" customFormat="1">
      <c r="B114" s="530">
        <v>10010603</v>
      </c>
      <c r="C114" s="489" t="s">
        <v>10</v>
      </c>
      <c r="D114" s="65" t="s">
        <v>53</v>
      </c>
      <c r="E114" s="31" t="s">
        <v>195</v>
      </c>
      <c r="F114" s="29" t="s">
        <v>370</v>
      </c>
      <c r="G114" s="480" t="s">
        <v>197</v>
      </c>
      <c r="H114" s="60">
        <v>23001372.231996499</v>
      </c>
      <c r="I114" s="523">
        <v>43980</v>
      </c>
      <c r="J114" s="481">
        <f t="shared" si="13"/>
        <v>391</v>
      </c>
      <c r="K114" s="479" t="str">
        <f t="shared" si="7"/>
        <v/>
      </c>
      <c r="L114" s="479" t="str">
        <f t="shared" si="8"/>
        <v/>
      </c>
      <c r="M114" s="487" t="str">
        <f t="shared" si="9"/>
        <v/>
      </c>
      <c r="N114" s="479" t="str">
        <f t="shared" si="10"/>
        <v/>
      </c>
      <c r="O114" s="479" t="str">
        <f t="shared" si="11"/>
        <v/>
      </c>
      <c r="P114" s="479">
        <f t="shared" si="12"/>
        <v>23001372.231996499</v>
      </c>
    </row>
    <row r="115" spans="2:16" s="477" customFormat="1">
      <c r="B115" s="530">
        <v>10010603</v>
      </c>
      <c r="C115" s="489" t="s">
        <v>10</v>
      </c>
      <c r="D115" s="65" t="s">
        <v>53</v>
      </c>
      <c r="E115" s="66" t="s">
        <v>199</v>
      </c>
      <c r="F115" s="492" t="s">
        <v>371</v>
      </c>
      <c r="G115" s="480">
        <v>44049</v>
      </c>
      <c r="H115" s="60">
        <v>26180167.09</v>
      </c>
      <c r="I115" s="525">
        <v>44015</v>
      </c>
      <c r="J115" s="481">
        <f t="shared" si="13"/>
        <v>356</v>
      </c>
      <c r="K115" s="479" t="str">
        <f t="shared" si="7"/>
        <v/>
      </c>
      <c r="L115" s="479" t="str">
        <f t="shared" si="8"/>
        <v/>
      </c>
      <c r="M115" s="487" t="str">
        <f t="shared" si="9"/>
        <v/>
      </c>
      <c r="N115" s="479" t="str">
        <f t="shared" si="10"/>
        <v/>
      </c>
      <c r="O115" s="479">
        <f t="shared" si="11"/>
        <v>26180167.09</v>
      </c>
      <c r="P115" s="479" t="str">
        <f t="shared" si="12"/>
        <v/>
      </c>
    </row>
    <row r="116" spans="2:16" s="477" customFormat="1">
      <c r="B116" s="530">
        <v>10010603</v>
      </c>
      <c r="C116" s="489" t="s">
        <v>10</v>
      </c>
      <c r="D116" s="65" t="s">
        <v>53</v>
      </c>
      <c r="E116" s="31" t="s">
        <v>201</v>
      </c>
      <c r="F116" s="29" t="s">
        <v>372</v>
      </c>
      <c r="G116" s="480" t="s">
        <v>449</v>
      </c>
      <c r="H116" s="60">
        <v>29201519.420029998</v>
      </c>
      <c r="I116" s="523">
        <v>44047</v>
      </c>
      <c r="J116" s="481">
        <f t="shared" si="13"/>
        <v>324</v>
      </c>
      <c r="K116" s="479" t="str">
        <f t="shared" si="7"/>
        <v/>
      </c>
      <c r="L116" s="479" t="str">
        <f t="shared" si="8"/>
        <v/>
      </c>
      <c r="M116" s="487" t="str">
        <f t="shared" si="9"/>
        <v/>
      </c>
      <c r="N116" s="479" t="str">
        <f t="shared" si="10"/>
        <v/>
      </c>
      <c r="O116" s="479">
        <f t="shared" si="11"/>
        <v>29201519.420029998</v>
      </c>
      <c r="P116" s="479" t="str">
        <f t="shared" si="12"/>
        <v/>
      </c>
    </row>
    <row r="117" spans="2:16" s="477" customFormat="1">
      <c r="B117" s="530">
        <v>10010603</v>
      </c>
      <c r="C117" s="489" t="s">
        <v>10</v>
      </c>
      <c r="D117" s="65" t="s">
        <v>53</v>
      </c>
      <c r="E117" s="31" t="s">
        <v>203</v>
      </c>
      <c r="F117" s="29" t="s">
        <v>373</v>
      </c>
      <c r="G117" s="480">
        <v>43990</v>
      </c>
      <c r="H117" s="60">
        <v>28215992.989999998</v>
      </c>
      <c r="I117" s="523">
        <v>44064</v>
      </c>
      <c r="J117" s="481">
        <f t="shared" si="13"/>
        <v>307</v>
      </c>
      <c r="K117" s="479" t="str">
        <f t="shared" si="7"/>
        <v/>
      </c>
      <c r="L117" s="479" t="str">
        <f t="shared" si="8"/>
        <v/>
      </c>
      <c r="M117" s="487" t="str">
        <f t="shared" si="9"/>
        <v/>
      </c>
      <c r="N117" s="479" t="str">
        <f t="shared" si="10"/>
        <v/>
      </c>
      <c r="O117" s="479">
        <f t="shared" si="11"/>
        <v>28215992.989999998</v>
      </c>
      <c r="P117" s="479" t="str">
        <f t="shared" si="12"/>
        <v/>
      </c>
    </row>
    <row r="118" spans="2:16" s="477" customFormat="1">
      <c r="B118" s="530">
        <v>10010603</v>
      </c>
      <c r="C118" s="489" t="s">
        <v>10</v>
      </c>
      <c r="D118" s="65" t="s">
        <v>53</v>
      </c>
      <c r="E118" s="66" t="s">
        <v>207</v>
      </c>
      <c r="F118" s="492" t="s">
        <v>373</v>
      </c>
      <c r="G118" s="480" t="s">
        <v>209</v>
      </c>
      <c r="H118" s="60">
        <v>24258739.375689998</v>
      </c>
      <c r="I118" s="525">
        <v>44098</v>
      </c>
      <c r="J118" s="481">
        <f t="shared" si="13"/>
        <v>273</v>
      </c>
      <c r="K118" s="479" t="str">
        <f t="shared" si="7"/>
        <v/>
      </c>
      <c r="L118" s="479" t="str">
        <f t="shared" si="8"/>
        <v/>
      </c>
      <c r="M118" s="487" t="str">
        <f t="shared" si="9"/>
        <v/>
      </c>
      <c r="N118" s="479" t="str">
        <f t="shared" si="10"/>
        <v/>
      </c>
      <c r="O118" s="479">
        <f t="shared" si="11"/>
        <v>24258739.375689998</v>
      </c>
      <c r="P118" s="479" t="str">
        <f t="shared" si="12"/>
        <v/>
      </c>
    </row>
    <row r="119" spans="2:16" s="477" customFormat="1">
      <c r="B119" s="530">
        <v>10010603</v>
      </c>
      <c r="C119" s="489" t="s">
        <v>10</v>
      </c>
      <c r="D119" s="65" t="s">
        <v>53</v>
      </c>
      <c r="E119" s="31" t="s">
        <v>212</v>
      </c>
      <c r="F119" s="29" t="s">
        <v>92</v>
      </c>
      <c r="G119" s="480">
        <v>44084</v>
      </c>
      <c r="H119" s="60">
        <v>35028704.109999999</v>
      </c>
      <c r="I119" s="523">
        <v>44129</v>
      </c>
      <c r="J119" s="481">
        <f t="shared" si="13"/>
        <v>242</v>
      </c>
      <c r="K119" s="479" t="str">
        <f t="shared" si="7"/>
        <v/>
      </c>
      <c r="L119" s="479" t="str">
        <f t="shared" si="8"/>
        <v/>
      </c>
      <c r="M119" s="487" t="str">
        <f t="shared" si="9"/>
        <v/>
      </c>
      <c r="N119" s="479" t="str">
        <f t="shared" si="10"/>
        <v/>
      </c>
      <c r="O119" s="479">
        <f t="shared" si="11"/>
        <v>35028704.109999999</v>
      </c>
      <c r="P119" s="479" t="str">
        <f t="shared" si="12"/>
        <v/>
      </c>
    </row>
    <row r="120" spans="2:16" s="477" customFormat="1">
      <c r="B120" s="530">
        <v>10010603</v>
      </c>
      <c r="C120" s="489" t="s">
        <v>10</v>
      </c>
      <c r="D120" s="65" t="s">
        <v>53</v>
      </c>
      <c r="E120" s="31" t="s">
        <v>214</v>
      </c>
      <c r="F120" s="29" t="s">
        <v>63</v>
      </c>
      <c r="G120" s="480">
        <v>43962</v>
      </c>
      <c r="H120" s="60">
        <v>38391621.706249997</v>
      </c>
      <c r="I120" s="523">
        <v>44157</v>
      </c>
      <c r="J120" s="481">
        <f t="shared" si="13"/>
        <v>214</v>
      </c>
      <c r="K120" s="479" t="str">
        <f t="shared" si="7"/>
        <v/>
      </c>
      <c r="L120" s="479" t="str">
        <f t="shared" si="8"/>
        <v/>
      </c>
      <c r="M120" s="487" t="str">
        <f t="shared" si="9"/>
        <v/>
      </c>
      <c r="N120" s="479" t="str">
        <f t="shared" si="10"/>
        <v/>
      </c>
      <c r="O120" s="479">
        <f t="shared" si="11"/>
        <v>38391621.706249997</v>
      </c>
      <c r="P120" s="479" t="str">
        <f t="shared" si="12"/>
        <v/>
      </c>
    </row>
    <row r="121" spans="2:16" s="477" customFormat="1">
      <c r="B121" s="530">
        <v>10010603</v>
      </c>
      <c r="C121" s="489" t="s">
        <v>10</v>
      </c>
      <c r="D121" s="65" t="s">
        <v>53</v>
      </c>
      <c r="E121" s="66" t="s">
        <v>218</v>
      </c>
      <c r="F121" s="492" t="s">
        <v>921</v>
      </c>
      <c r="G121" s="480">
        <v>44147</v>
      </c>
      <c r="H121" s="60">
        <v>35937823.954999998</v>
      </c>
      <c r="I121" s="525">
        <v>44193</v>
      </c>
      <c r="J121" s="481">
        <f t="shared" si="13"/>
        <v>178</v>
      </c>
      <c r="K121" s="479" t="str">
        <f t="shared" si="7"/>
        <v/>
      </c>
      <c r="L121" s="479" t="str">
        <f t="shared" si="8"/>
        <v/>
      </c>
      <c r="M121" s="487" t="str">
        <f t="shared" si="9"/>
        <v/>
      </c>
      <c r="N121" s="479">
        <f t="shared" si="10"/>
        <v>35937823.954999998</v>
      </c>
      <c r="O121" s="479" t="str">
        <f t="shared" si="11"/>
        <v/>
      </c>
      <c r="P121" s="479" t="str">
        <f t="shared" si="12"/>
        <v/>
      </c>
    </row>
    <row r="122" spans="2:16" s="477" customFormat="1">
      <c r="B122" s="530">
        <v>10010603</v>
      </c>
      <c r="C122" s="489" t="s">
        <v>10</v>
      </c>
      <c r="D122" s="65" t="s">
        <v>53</v>
      </c>
      <c r="E122" s="31" t="s">
        <v>219</v>
      </c>
      <c r="F122" s="29" t="s">
        <v>376</v>
      </c>
      <c r="G122" s="480">
        <v>44409</v>
      </c>
      <c r="H122" s="60">
        <v>34627280.255477503</v>
      </c>
      <c r="I122" s="523">
        <v>44219</v>
      </c>
      <c r="J122" s="481">
        <f t="shared" si="13"/>
        <v>152</v>
      </c>
      <c r="K122" s="479" t="str">
        <f t="shared" si="7"/>
        <v/>
      </c>
      <c r="L122" s="479" t="str">
        <f t="shared" si="8"/>
        <v/>
      </c>
      <c r="M122" s="487" t="str">
        <f t="shared" si="9"/>
        <v/>
      </c>
      <c r="N122" s="479">
        <f t="shared" si="10"/>
        <v>34627280.255477503</v>
      </c>
      <c r="O122" s="479" t="str">
        <f t="shared" si="11"/>
        <v/>
      </c>
      <c r="P122" s="479" t="str">
        <f t="shared" si="12"/>
        <v/>
      </c>
    </row>
    <row r="123" spans="2:16" s="477" customFormat="1">
      <c r="B123" s="530">
        <v>10010603</v>
      </c>
      <c r="C123" s="489" t="s">
        <v>10</v>
      </c>
      <c r="D123" s="65" t="s">
        <v>53</v>
      </c>
      <c r="E123" s="31" t="s">
        <v>221</v>
      </c>
      <c r="F123" s="29" t="s">
        <v>54</v>
      </c>
      <c r="G123" s="480">
        <v>44441</v>
      </c>
      <c r="H123" s="60">
        <v>37224214.963947497</v>
      </c>
      <c r="I123" s="523">
        <v>44259</v>
      </c>
      <c r="J123" s="481">
        <f t="shared" si="13"/>
        <v>112</v>
      </c>
      <c r="K123" s="479" t="str">
        <f t="shared" si="7"/>
        <v/>
      </c>
      <c r="L123" s="479" t="str">
        <f t="shared" si="8"/>
        <v/>
      </c>
      <c r="M123" s="487" t="str">
        <f t="shared" si="9"/>
        <v/>
      </c>
      <c r="N123" s="479">
        <f t="shared" si="10"/>
        <v>37224214.963947497</v>
      </c>
      <c r="O123" s="479" t="str">
        <f t="shared" si="11"/>
        <v/>
      </c>
      <c r="P123" s="479" t="str">
        <f t="shared" si="12"/>
        <v/>
      </c>
    </row>
    <row r="124" spans="2:16" s="477" customFormat="1">
      <c r="B124" s="530">
        <v>10010603</v>
      </c>
      <c r="C124" s="489" t="s">
        <v>10</v>
      </c>
      <c r="D124" s="65" t="s">
        <v>53</v>
      </c>
      <c r="E124" s="66" t="s">
        <v>222</v>
      </c>
      <c r="F124" s="492" t="s">
        <v>379</v>
      </c>
      <c r="G124" s="480">
        <v>44472</v>
      </c>
      <c r="H124" s="60">
        <v>38996047.711499996</v>
      </c>
      <c r="I124" s="525">
        <v>44280</v>
      </c>
      <c r="J124" s="481">
        <f t="shared" si="13"/>
        <v>91</v>
      </c>
      <c r="K124" s="479" t="str">
        <f t="shared" si="7"/>
        <v/>
      </c>
      <c r="L124" s="479" t="str">
        <f t="shared" si="8"/>
        <v/>
      </c>
      <c r="M124" s="487" t="str">
        <f t="shared" si="9"/>
        <v/>
      </c>
      <c r="N124" s="479">
        <f t="shared" si="10"/>
        <v>38996047.711499996</v>
      </c>
      <c r="O124" s="479" t="str">
        <f t="shared" si="11"/>
        <v/>
      </c>
      <c r="P124" s="479" t="str">
        <f t="shared" si="12"/>
        <v/>
      </c>
    </row>
    <row r="125" spans="2:16" s="477" customFormat="1">
      <c r="B125" s="530"/>
      <c r="C125" s="489"/>
      <c r="D125" s="65"/>
      <c r="E125" s="31"/>
      <c r="F125" s="29"/>
      <c r="G125" s="480"/>
      <c r="H125" s="60"/>
      <c r="I125" s="523"/>
      <c r="J125" s="481"/>
      <c r="K125" s="479" t="str">
        <f t="shared" si="7"/>
        <v/>
      </c>
      <c r="L125" s="479" t="str">
        <f t="shared" si="8"/>
        <v/>
      </c>
      <c r="M125" s="487" t="str">
        <f t="shared" si="9"/>
        <v/>
      </c>
      <c r="N125" s="479" t="str">
        <f t="shared" si="10"/>
        <v/>
      </c>
      <c r="O125" s="479" t="str">
        <f t="shared" si="11"/>
        <v/>
      </c>
      <c r="P125" s="479" t="str">
        <f t="shared" si="12"/>
        <v/>
      </c>
    </row>
    <row r="126" spans="2:16" s="477" customFormat="1">
      <c r="B126" s="530"/>
      <c r="C126" s="489"/>
      <c r="D126" s="65"/>
      <c r="E126" s="31"/>
      <c r="F126" s="29"/>
      <c r="G126" s="480"/>
      <c r="H126" s="60"/>
      <c r="I126" s="523"/>
      <c r="J126" s="481"/>
      <c r="K126" s="479" t="str">
        <f t="shared" si="7"/>
        <v/>
      </c>
      <c r="L126" s="479" t="str">
        <f t="shared" si="8"/>
        <v/>
      </c>
      <c r="M126" s="487" t="str">
        <f t="shared" si="9"/>
        <v/>
      </c>
      <c r="N126" s="479" t="str">
        <f t="shared" si="10"/>
        <v/>
      </c>
      <c r="O126" s="479" t="str">
        <f t="shared" si="11"/>
        <v/>
      </c>
      <c r="P126" s="479" t="str">
        <f t="shared" si="12"/>
        <v/>
      </c>
    </row>
    <row r="127" spans="2:16" s="477" customFormat="1">
      <c r="B127" s="530"/>
      <c r="C127" s="489"/>
      <c r="D127" s="65"/>
      <c r="E127" s="66"/>
      <c r="F127" s="492"/>
      <c r="G127" s="480"/>
      <c r="H127" s="60"/>
      <c r="I127" s="525"/>
      <c r="J127" s="481"/>
      <c r="K127" s="479" t="str">
        <f t="shared" si="7"/>
        <v/>
      </c>
      <c r="L127" s="479" t="str">
        <f t="shared" si="8"/>
        <v/>
      </c>
      <c r="M127" s="487" t="str">
        <f t="shared" si="9"/>
        <v/>
      </c>
      <c r="N127" s="479" t="str">
        <f t="shared" si="10"/>
        <v/>
      </c>
      <c r="O127" s="479" t="str">
        <f t="shared" si="11"/>
        <v/>
      </c>
      <c r="P127" s="479" t="str">
        <f t="shared" si="12"/>
        <v/>
      </c>
    </row>
    <row r="128" spans="2:16" s="477" customFormat="1">
      <c r="B128" s="530">
        <v>10012645</v>
      </c>
      <c r="C128" s="489" t="s">
        <v>10</v>
      </c>
      <c r="D128" s="65" t="s">
        <v>55</v>
      </c>
      <c r="E128" s="31" t="s">
        <v>222</v>
      </c>
      <c r="F128" s="29"/>
      <c r="G128" s="480"/>
      <c r="H128" s="60">
        <f>4180163810.8075+59436948.26</f>
        <v>4239600759.0675001</v>
      </c>
      <c r="I128" s="523"/>
      <c r="J128" s="481"/>
      <c r="K128" s="479" t="str">
        <f t="shared" si="7"/>
        <v/>
      </c>
      <c r="L128" s="479" t="str">
        <f t="shared" si="8"/>
        <v/>
      </c>
      <c r="M128" s="487" t="str">
        <f t="shared" si="9"/>
        <v/>
      </c>
      <c r="N128" s="479" t="str">
        <f t="shared" si="10"/>
        <v/>
      </c>
      <c r="O128" s="479" t="str">
        <f t="shared" si="11"/>
        <v/>
      </c>
      <c r="P128" s="479" t="str">
        <f t="shared" si="12"/>
        <v/>
      </c>
    </row>
    <row r="129" spans="2:16" s="477" customFormat="1">
      <c r="B129" s="530"/>
      <c r="C129" s="489"/>
      <c r="D129" s="65"/>
      <c r="E129" s="31"/>
      <c r="F129" s="29"/>
      <c r="G129" s="480"/>
      <c r="H129" s="60"/>
      <c r="I129" s="523"/>
      <c r="J129" s="481"/>
      <c r="K129" s="479" t="str">
        <f t="shared" si="7"/>
        <v/>
      </c>
      <c r="L129" s="479" t="str">
        <f t="shared" si="8"/>
        <v/>
      </c>
      <c r="M129" s="487" t="str">
        <f t="shared" si="9"/>
        <v/>
      </c>
      <c r="N129" s="479" t="str">
        <f t="shared" si="10"/>
        <v/>
      </c>
      <c r="O129" s="479" t="str">
        <f t="shared" si="11"/>
        <v/>
      </c>
      <c r="P129" s="479" t="str">
        <f t="shared" si="12"/>
        <v/>
      </c>
    </row>
    <row r="130" spans="2:16" s="477" customFormat="1">
      <c r="B130" s="530"/>
      <c r="C130" s="489"/>
      <c r="D130" s="65"/>
      <c r="E130" s="31"/>
      <c r="F130" s="29"/>
      <c r="G130" s="480"/>
      <c r="H130" s="60"/>
      <c r="I130" s="523"/>
      <c r="J130" s="481"/>
      <c r="K130" s="479" t="str">
        <f t="shared" si="7"/>
        <v/>
      </c>
      <c r="L130" s="479" t="str">
        <f t="shared" si="8"/>
        <v/>
      </c>
      <c r="M130" s="487" t="str">
        <f t="shared" si="9"/>
        <v/>
      </c>
      <c r="N130" s="479" t="str">
        <f t="shared" si="10"/>
        <v/>
      </c>
      <c r="O130" s="479" t="str">
        <f t="shared" si="11"/>
        <v/>
      </c>
      <c r="P130" s="479" t="str">
        <f t="shared" si="12"/>
        <v/>
      </c>
    </row>
    <row r="131" spans="2:16" s="477" customFormat="1">
      <c r="B131" s="530"/>
      <c r="C131" s="489"/>
      <c r="D131" s="65"/>
      <c r="E131" s="31"/>
      <c r="F131" s="29"/>
      <c r="G131" s="480"/>
      <c r="H131" s="60"/>
      <c r="I131" s="523"/>
      <c r="J131" s="481"/>
      <c r="K131" s="479" t="str">
        <f t="shared" si="7"/>
        <v/>
      </c>
      <c r="L131" s="479" t="str">
        <f t="shared" si="8"/>
        <v/>
      </c>
      <c r="M131" s="487" t="str">
        <f t="shared" si="9"/>
        <v/>
      </c>
      <c r="N131" s="479" t="str">
        <f t="shared" si="10"/>
        <v/>
      </c>
      <c r="O131" s="479" t="str">
        <f t="shared" si="11"/>
        <v/>
      </c>
      <c r="P131" s="479" t="str">
        <f t="shared" si="12"/>
        <v/>
      </c>
    </row>
    <row r="132" spans="2:16" s="477" customFormat="1">
      <c r="B132" s="530">
        <v>10000577</v>
      </c>
      <c r="C132" s="489" t="s">
        <v>10</v>
      </c>
      <c r="D132" s="65" t="s">
        <v>56</v>
      </c>
      <c r="E132" s="31" t="s">
        <v>136</v>
      </c>
      <c r="F132" s="29"/>
      <c r="G132" s="480"/>
      <c r="H132" s="60">
        <v>298078644.35790837</v>
      </c>
      <c r="I132" s="523"/>
      <c r="J132" s="481"/>
      <c r="K132" s="479" t="str">
        <f t="shared" si="7"/>
        <v/>
      </c>
      <c r="L132" s="479" t="str">
        <f t="shared" si="8"/>
        <v/>
      </c>
      <c r="M132" s="487" t="str">
        <f t="shared" si="9"/>
        <v/>
      </c>
      <c r="N132" s="479" t="str">
        <f t="shared" si="10"/>
        <v/>
      </c>
      <c r="O132" s="479" t="str">
        <f t="shared" si="11"/>
        <v/>
      </c>
      <c r="P132" s="479" t="str">
        <f t="shared" si="12"/>
        <v/>
      </c>
    </row>
    <row r="133" spans="2:16" s="477" customFormat="1">
      <c r="B133" s="530">
        <v>10000577</v>
      </c>
      <c r="C133" s="489" t="s">
        <v>10</v>
      </c>
      <c r="D133" s="65" t="s">
        <v>56</v>
      </c>
      <c r="E133" s="31" t="s">
        <v>191</v>
      </c>
      <c r="F133" s="29" t="s">
        <v>548</v>
      </c>
      <c r="G133" s="480">
        <v>43986</v>
      </c>
      <c r="H133" s="60">
        <v>51614220.491125636</v>
      </c>
      <c r="I133" s="523">
        <v>43949</v>
      </c>
      <c r="J133" s="481">
        <f t="shared" si="13"/>
        <v>422</v>
      </c>
      <c r="K133" s="479" t="str">
        <f t="shared" si="7"/>
        <v/>
      </c>
      <c r="L133" s="479" t="str">
        <f t="shared" si="8"/>
        <v/>
      </c>
      <c r="M133" s="487" t="str">
        <f t="shared" si="9"/>
        <v/>
      </c>
      <c r="N133" s="479" t="str">
        <f t="shared" si="10"/>
        <v/>
      </c>
      <c r="O133" s="479" t="str">
        <f t="shared" si="11"/>
        <v/>
      </c>
      <c r="P133" s="479">
        <f t="shared" si="12"/>
        <v>51614220.491125636</v>
      </c>
    </row>
    <row r="134" spans="2:16" s="477" customFormat="1">
      <c r="B134" s="530">
        <v>10000577</v>
      </c>
      <c r="C134" s="489" t="s">
        <v>10</v>
      </c>
      <c r="D134" s="65" t="s">
        <v>56</v>
      </c>
      <c r="E134" s="31" t="s">
        <v>195</v>
      </c>
      <c r="F134" s="29" t="s">
        <v>550</v>
      </c>
      <c r="G134" s="480" t="s">
        <v>197</v>
      </c>
      <c r="H134" s="60">
        <v>62890673.344502583</v>
      </c>
      <c r="I134" s="523">
        <v>43980</v>
      </c>
      <c r="J134" s="481">
        <f t="shared" si="13"/>
        <v>391</v>
      </c>
      <c r="K134" s="479" t="str">
        <f t="shared" si="7"/>
        <v/>
      </c>
      <c r="L134" s="479" t="str">
        <f t="shared" si="8"/>
        <v/>
      </c>
      <c r="M134" s="487" t="str">
        <f t="shared" si="9"/>
        <v/>
      </c>
      <c r="N134" s="479" t="str">
        <f t="shared" si="10"/>
        <v/>
      </c>
      <c r="O134" s="479" t="str">
        <f t="shared" si="11"/>
        <v/>
      </c>
      <c r="P134" s="479">
        <f t="shared" si="12"/>
        <v>62890673.344502583</v>
      </c>
    </row>
    <row r="135" spans="2:16" s="477" customFormat="1">
      <c r="B135" s="530">
        <v>10000577</v>
      </c>
      <c r="C135" s="489" t="s">
        <v>10</v>
      </c>
      <c r="D135" s="65" t="s">
        <v>56</v>
      </c>
      <c r="E135" s="31" t="s">
        <v>199</v>
      </c>
      <c r="F135" s="29" t="s">
        <v>113</v>
      </c>
      <c r="G135" s="480">
        <v>44049</v>
      </c>
      <c r="H135" s="60">
        <v>88747110.76389271</v>
      </c>
      <c r="I135" s="523">
        <v>44015</v>
      </c>
      <c r="J135" s="481">
        <f t="shared" si="13"/>
        <v>356</v>
      </c>
      <c r="K135" s="479" t="str">
        <f t="shared" ref="K135:K198" si="14">IF(AND(J135&gt;=16,J135&lt;=30),H135,"")</f>
        <v/>
      </c>
      <c r="L135" s="479" t="str">
        <f t="shared" ref="L135:L198" si="15">IF(AND(J135&gt;=31,J135&lt;=60),H135,"")</f>
        <v/>
      </c>
      <c r="M135" s="487" t="str">
        <f t="shared" ref="M135:M198" si="16">IF(AND(J135&gt;=61,J135&lt;=90),H135,"")</f>
        <v/>
      </c>
      <c r="N135" s="479" t="str">
        <f t="shared" ref="N135:N198" si="17">IF(AND(J135&gt;=91,J135&lt;=180),H135,"")</f>
        <v/>
      </c>
      <c r="O135" s="479">
        <f t="shared" ref="O135:O198" si="18">IF(AND(J135&gt;=181,J135&lt;=360),H135,"")</f>
        <v>88747110.76389271</v>
      </c>
      <c r="P135" s="479" t="str">
        <f t="shared" ref="P135:P198" si="19">IF(J135&gt;=360,H135,"")</f>
        <v/>
      </c>
    </row>
    <row r="136" spans="2:16" s="477" customFormat="1">
      <c r="B136" s="530">
        <v>10000577</v>
      </c>
      <c r="C136" s="489" t="s">
        <v>10</v>
      </c>
      <c r="D136" s="65" t="s">
        <v>56</v>
      </c>
      <c r="E136" s="31" t="s">
        <v>201</v>
      </c>
      <c r="F136" s="29" t="s">
        <v>229</v>
      </c>
      <c r="G136" s="480" t="s">
        <v>449</v>
      </c>
      <c r="H136" s="60">
        <v>75234018.932881191</v>
      </c>
      <c r="I136" s="523">
        <v>44047</v>
      </c>
      <c r="J136" s="481">
        <f t="shared" ref="J136:J199" si="20">DATEDIF(I136,$J$4,"D")</f>
        <v>324</v>
      </c>
      <c r="K136" s="479" t="str">
        <f t="shared" si="14"/>
        <v/>
      </c>
      <c r="L136" s="479" t="str">
        <f t="shared" si="15"/>
        <v/>
      </c>
      <c r="M136" s="487" t="str">
        <f t="shared" si="16"/>
        <v/>
      </c>
      <c r="N136" s="479" t="str">
        <f t="shared" si="17"/>
        <v/>
      </c>
      <c r="O136" s="479">
        <f t="shared" si="18"/>
        <v>75234018.932881191</v>
      </c>
      <c r="P136" s="479" t="str">
        <f t="shared" si="19"/>
        <v/>
      </c>
    </row>
    <row r="137" spans="2:16" s="477" customFormat="1">
      <c r="B137" s="530">
        <v>10000577</v>
      </c>
      <c r="C137" s="489" t="s">
        <v>10</v>
      </c>
      <c r="D137" s="65" t="s">
        <v>56</v>
      </c>
      <c r="E137" s="31" t="s">
        <v>203</v>
      </c>
      <c r="F137" s="29" t="s">
        <v>232</v>
      </c>
      <c r="G137" s="480">
        <v>44020</v>
      </c>
      <c r="H137" s="60">
        <v>78236714.302794978</v>
      </c>
      <c r="I137" s="523">
        <v>44065</v>
      </c>
      <c r="J137" s="481">
        <f t="shared" si="20"/>
        <v>306</v>
      </c>
      <c r="K137" s="479" t="str">
        <f t="shared" si="14"/>
        <v/>
      </c>
      <c r="L137" s="479" t="str">
        <f t="shared" si="15"/>
        <v/>
      </c>
      <c r="M137" s="487" t="str">
        <f t="shared" si="16"/>
        <v/>
      </c>
      <c r="N137" s="479" t="str">
        <f t="shared" si="17"/>
        <v/>
      </c>
      <c r="O137" s="479">
        <f t="shared" si="18"/>
        <v>78236714.302794978</v>
      </c>
      <c r="P137" s="479" t="str">
        <f t="shared" si="19"/>
        <v/>
      </c>
    </row>
    <row r="138" spans="2:16" s="477" customFormat="1">
      <c r="B138" s="530">
        <v>10000577</v>
      </c>
      <c r="C138" s="489" t="s">
        <v>10</v>
      </c>
      <c r="D138" s="65" t="s">
        <v>56</v>
      </c>
      <c r="E138" s="31" t="s">
        <v>207</v>
      </c>
      <c r="F138" s="29" t="s">
        <v>235</v>
      </c>
      <c r="G138" s="480" t="s">
        <v>1071</v>
      </c>
      <c r="H138" s="60">
        <v>10987399.690216497</v>
      </c>
      <c r="I138" s="523">
        <v>44106</v>
      </c>
      <c r="J138" s="481">
        <f t="shared" si="20"/>
        <v>265</v>
      </c>
      <c r="K138" s="479" t="str">
        <f t="shared" si="14"/>
        <v/>
      </c>
      <c r="L138" s="479" t="str">
        <f t="shared" si="15"/>
        <v/>
      </c>
      <c r="M138" s="487" t="str">
        <f t="shared" si="16"/>
        <v/>
      </c>
      <c r="N138" s="479" t="str">
        <f t="shared" si="17"/>
        <v/>
      </c>
      <c r="O138" s="479">
        <f t="shared" si="18"/>
        <v>10987399.690216497</v>
      </c>
      <c r="P138" s="479" t="str">
        <f t="shared" si="19"/>
        <v/>
      </c>
    </row>
    <row r="139" spans="2:16" s="477" customFormat="1">
      <c r="B139" s="530">
        <v>10000577</v>
      </c>
      <c r="C139" s="489" t="s">
        <v>10</v>
      </c>
      <c r="D139" s="65" t="s">
        <v>56</v>
      </c>
      <c r="E139" s="31" t="s">
        <v>212</v>
      </c>
      <c r="F139" s="29" t="s">
        <v>237</v>
      </c>
      <c r="G139" s="480">
        <v>44084</v>
      </c>
      <c r="H139" s="60">
        <v>12935132.879111663</v>
      </c>
      <c r="I139" s="523">
        <v>44129</v>
      </c>
      <c r="J139" s="481">
        <f t="shared" si="20"/>
        <v>242</v>
      </c>
      <c r="K139" s="479" t="str">
        <f t="shared" si="14"/>
        <v/>
      </c>
      <c r="L139" s="479" t="str">
        <f t="shared" si="15"/>
        <v/>
      </c>
      <c r="M139" s="487" t="str">
        <f t="shared" si="16"/>
        <v/>
      </c>
      <c r="N139" s="479" t="str">
        <f t="shared" si="17"/>
        <v/>
      </c>
      <c r="O139" s="479">
        <f t="shared" si="18"/>
        <v>12935132.879111663</v>
      </c>
      <c r="P139" s="479" t="str">
        <f t="shared" si="19"/>
        <v/>
      </c>
    </row>
    <row r="140" spans="2:16" s="477" customFormat="1">
      <c r="B140" s="530">
        <v>10000577</v>
      </c>
      <c r="C140" s="489" t="s">
        <v>10</v>
      </c>
      <c r="D140" s="65" t="s">
        <v>56</v>
      </c>
      <c r="E140" s="31" t="s">
        <v>214</v>
      </c>
      <c r="F140" s="29" t="s">
        <v>33</v>
      </c>
      <c r="G140" s="480">
        <v>43962</v>
      </c>
      <c r="H140" s="60">
        <v>77651262.240298569</v>
      </c>
      <c r="I140" s="523">
        <v>44157</v>
      </c>
      <c r="J140" s="481">
        <f t="shared" si="20"/>
        <v>214</v>
      </c>
      <c r="K140" s="479" t="str">
        <f t="shared" si="14"/>
        <v/>
      </c>
      <c r="L140" s="479" t="str">
        <f t="shared" si="15"/>
        <v/>
      </c>
      <c r="M140" s="487" t="str">
        <f t="shared" si="16"/>
        <v/>
      </c>
      <c r="N140" s="479" t="str">
        <f t="shared" si="17"/>
        <v/>
      </c>
      <c r="O140" s="479">
        <f t="shared" si="18"/>
        <v>77651262.240298569</v>
      </c>
      <c r="P140" s="479" t="str">
        <f t="shared" si="19"/>
        <v/>
      </c>
    </row>
    <row r="141" spans="2:16" s="477" customFormat="1">
      <c r="B141" s="530">
        <v>10000577</v>
      </c>
      <c r="C141" s="489" t="s">
        <v>10</v>
      </c>
      <c r="D141" s="65" t="s">
        <v>56</v>
      </c>
      <c r="E141" s="31" t="s">
        <v>218</v>
      </c>
      <c r="F141" s="29" t="s">
        <v>241</v>
      </c>
      <c r="G141" s="480">
        <v>44024</v>
      </c>
      <c r="H141" s="60">
        <v>92045136.83288765</v>
      </c>
      <c r="I141" s="523">
        <v>44208</v>
      </c>
      <c r="J141" s="481">
        <f t="shared" si="20"/>
        <v>163</v>
      </c>
      <c r="K141" s="479" t="str">
        <f t="shared" si="14"/>
        <v/>
      </c>
      <c r="L141" s="479" t="str">
        <f t="shared" si="15"/>
        <v/>
      </c>
      <c r="M141" s="487" t="str">
        <f t="shared" si="16"/>
        <v/>
      </c>
      <c r="N141" s="479">
        <f t="shared" si="17"/>
        <v>92045136.83288765</v>
      </c>
      <c r="O141" s="479" t="str">
        <f t="shared" si="18"/>
        <v/>
      </c>
      <c r="P141" s="479" t="str">
        <f t="shared" si="19"/>
        <v/>
      </c>
    </row>
    <row r="142" spans="2:16" s="477" customFormat="1">
      <c r="B142" s="530">
        <v>10000577</v>
      </c>
      <c r="C142" s="489" t="s">
        <v>10</v>
      </c>
      <c r="D142" s="65" t="s">
        <v>56</v>
      </c>
      <c r="E142" s="31" t="s">
        <v>219</v>
      </c>
      <c r="F142" s="29" t="s">
        <v>244</v>
      </c>
      <c r="G142" s="480">
        <v>44409</v>
      </c>
      <c r="H142" s="60">
        <v>84208114.123748764</v>
      </c>
      <c r="I142" s="523">
        <v>44219</v>
      </c>
      <c r="J142" s="481">
        <f t="shared" si="20"/>
        <v>152</v>
      </c>
      <c r="K142" s="479" t="str">
        <f t="shared" si="14"/>
        <v/>
      </c>
      <c r="L142" s="479" t="str">
        <f t="shared" si="15"/>
        <v/>
      </c>
      <c r="M142" s="487" t="str">
        <f t="shared" si="16"/>
        <v/>
      </c>
      <c r="N142" s="479">
        <f t="shared" si="17"/>
        <v>84208114.123748764</v>
      </c>
      <c r="O142" s="479" t="str">
        <f t="shared" si="18"/>
        <v/>
      </c>
      <c r="P142" s="479" t="str">
        <f t="shared" si="19"/>
        <v/>
      </c>
    </row>
    <row r="143" spans="2:16" s="477" customFormat="1">
      <c r="B143" s="530">
        <v>10000577</v>
      </c>
      <c r="C143" s="489" t="s">
        <v>10</v>
      </c>
      <c r="D143" s="65" t="s">
        <v>56</v>
      </c>
      <c r="E143" s="66" t="s">
        <v>221</v>
      </c>
      <c r="F143" s="492" t="s">
        <v>57</v>
      </c>
      <c r="G143" s="480">
        <v>44441</v>
      </c>
      <c r="H143" s="60">
        <v>11935288.095783204</v>
      </c>
      <c r="I143" s="525">
        <v>44259</v>
      </c>
      <c r="J143" s="481">
        <f t="shared" si="20"/>
        <v>112</v>
      </c>
      <c r="K143" s="479" t="str">
        <f t="shared" si="14"/>
        <v/>
      </c>
      <c r="L143" s="479" t="str">
        <f t="shared" si="15"/>
        <v/>
      </c>
      <c r="M143" s="487" t="str">
        <f t="shared" si="16"/>
        <v/>
      </c>
      <c r="N143" s="479">
        <f t="shared" si="17"/>
        <v>11935288.095783204</v>
      </c>
      <c r="O143" s="479" t="str">
        <f t="shared" si="18"/>
        <v/>
      </c>
      <c r="P143" s="479" t="str">
        <f t="shared" si="19"/>
        <v/>
      </c>
    </row>
    <row r="144" spans="2:16" s="477" customFormat="1">
      <c r="B144" s="530">
        <v>10000577</v>
      </c>
      <c r="C144" s="489" t="s">
        <v>10</v>
      </c>
      <c r="D144" s="65" t="s">
        <v>56</v>
      </c>
      <c r="E144" s="31" t="s">
        <v>222</v>
      </c>
      <c r="F144" s="29" t="s">
        <v>249</v>
      </c>
      <c r="G144" s="480" t="s">
        <v>82</v>
      </c>
      <c r="H144" s="60">
        <v>124544529.65784852</v>
      </c>
      <c r="I144" s="523">
        <v>44288</v>
      </c>
      <c r="J144" s="481">
        <f t="shared" si="20"/>
        <v>83</v>
      </c>
      <c r="K144" s="479" t="str">
        <f t="shared" si="14"/>
        <v/>
      </c>
      <c r="L144" s="479" t="str">
        <f t="shared" si="15"/>
        <v/>
      </c>
      <c r="M144" s="487">
        <f t="shared" si="16"/>
        <v>124544529.65784852</v>
      </c>
      <c r="N144" s="479" t="str">
        <f t="shared" si="17"/>
        <v/>
      </c>
      <c r="O144" s="479" t="str">
        <f t="shared" si="18"/>
        <v/>
      </c>
      <c r="P144" s="479" t="str">
        <f t="shared" si="19"/>
        <v/>
      </c>
    </row>
    <row r="145" spans="2:16" s="477" customFormat="1">
      <c r="B145" s="530"/>
      <c r="C145" s="489"/>
      <c r="D145" s="65"/>
      <c r="E145" s="31"/>
      <c r="F145" s="29"/>
      <c r="G145" s="480"/>
      <c r="H145" s="60"/>
      <c r="I145" s="523"/>
      <c r="J145" s="481"/>
      <c r="K145" s="479" t="str">
        <f t="shared" si="14"/>
        <v/>
      </c>
      <c r="L145" s="479" t="str">
        <f t="shared" si="15"/>
        <v/>
      </c>
      <c r="M145" s="487" t="str">
        <f t="shared" si="16"/>
        <v/>
      </c>
      <c r="N145" s="479" t="str">
        <f t="shared" si="17"/>
        <v/>
      </c>
      <c r="O145" s="479" t="str">
        <f t="shared" si="18"/>
        <v/>
      </c>
      <c r="P145" s="479" t="str">
        <f t="shared" si="19"/>
        <v/>
      </c>
    </row>
    <row r="146" spans="2:16" s="477" customFormat="1">
      <c r="B146" s="530"/>
      <c r="C146" s="489"/>
      <c r="D146" s="65"/>
      <c r="E146" s="66"/>
      <c r="F146" s="492"/>
      <c r="G146" s="480"/>
      <c r="H146" s="60"/>
      <c r="I146" s="525"/>
      <c r="J146" s="481"/>
      <c r="K146" s="479" t="str">
        <f t="shared" si="14"/>
        <v/>
      </c>
      <c r="L146" s="479" t="str">
        <f t="shared" si="15"/>
        <v/>
      </c>
      <c r="M146" s="487" t="str">
        <f t="shared" si="16"/>
        <v/>
      </c>
      <c r="N146" s="479" t="str">
        <f t="shared" si="17"/>
        <v/>
      </c>
      <c r="O146" s="479" t="str">
        <f t="shared" si="18"/>
        <v/>
      </c>
      <c r="P146" s="479" t="str">
        <f t="shared" si="19"/>
        <v/>
      </c>
    </row>
    <row r="147" spans="2:16" s="477" customFormat="1">
      <c r="B147" s="530">
        <v>10013006</v>
      </c>
      <c r="C147" s="489" t="s">
        <v>10</v>
      </c>
      <c r="D147" s="65" t="s">
        <v>59</v>
      </c>
      <c r="E147" s="31" t="s">
        <v>170</v>
      </c>
      <c r="F147" s="29" t="s">
        <v>368</v>
      </c>
      <c r="G147" s="480">
        <v>43506</v>
      </c>
      <c r="H147" s="60">
        <v>5550.1740730330348</v>
      </c>
      <c r="I147" s="523">
        <v>43596</v>
      </c>
      <c r="J147" s="481">
        <f t="shared" si="20"/>
        <v>775</v>
      </c>
      <c r="K147" s="479" t="str">
        <f t="shared" si="14"/>
        <v/>
      </c>
      <c r="L147" s="479" t="str">
        <f t="shared" si="15"/>
        <v/>
      </c>
      <c r="M147" s="487" t="str">
        <f t="shared" si="16"/>
        <v/>
      </c>
      <c r="N147" s="479" t="str">
        <f t="shared" si="17"/>
        <v/>
      </c>
      <c r="O147" s="479" t="str">
        <f t="shared" si="18"/>
        <v/>
      </c>
      <c r="P147" s="479">
        <f t="shared" si="19"/>
        <v>5550.1740730330348</v>
      </c>
    </row>
    <row r="148" spans="2:16" s="477" customFormat="1">
      <c r="B148" s="530">
        <v>10013006</v>
      </c>
      <c r="C148" s="489" t="s">
        <v>10</v>
      </c>
      <c r="D148" s="65" t="s">
        <v>59</v>
      </c>
      <c r="E148" s="31" t="s">
        <v>222</v>
      </c>
      <c r="F148" s="29" t="s">
        <v>39</v>
      </c>
      <c r="G148" s="480">
        <v>44319</v>
      </c>
      <c r="H148" s="60">
        <v>11205943.376498997</v>
      </c>
      <c r="I148" s="523">
        <v>44275</v>
      </c>
      <c r="J148" s="481">
        <f t="shared" si="20"/>
        <v>96</v>
      </c>
      <c r="K148" s="479" t="str">
        <f t="shared" si="14"/>
        <v/>
      </c>
      <c r="L148" s="479" t="str">
        <f t="shared" si="15"/>
        <v/>
      </c>
      <c r="M148" s="487" t="str">
        <f t="shared" si="16"/>
        <v/>
      </c>
      <c r="N148" s="479">
        <f t="shared" si="17"/>
        <v>11205943.376498997</v>
      </c>
      <c r="O148" s="479" t="str">
        <f t="shared" si="18"/>
        <v/>
      </c>
      <c r="P148" s="479" t="str">
        <f t="shared" si="19"/>
        <v/>
      </c>
    </row>
    <row r="149" spans="2:16" s="477" customFormat="1">
      <c r="B149" s="530"/>
      <c r="C149" s="489"/>
      <c r="D149" s="65"/>
      <c r="E149" s="66"/>
      <c r="F149" s="492"/>
      <c r="G149" s="480"/>
      <c r="H149" s="60"/>
      <c r="I149" s="525"/>
      <c r="J149" s="481"/>
      <c r="K149" s="479" t="str">
        <f t="shared" si="14"/>
        <v/>
      </c>
      <c r="L149" s="479" t="str">
        <f t="shared" si="15"/>
        <v/>
      </c>
      <c r="M149" s="487" t="str">
        <f t="shared" si="16"/>
        <v/>
      </c>
      <c r="N149" s="479" t="str">
        <f t="shared" si="17"/>
        <v/>
      </c>
      <c r="O149" s="479" t="str">
        <f t="shared" si="18"/>
        <v/>
      </c>
      <c r="P149" s="479" t="str">
        <f t="shared" si="19"/>
        <v/>
      </c>
    </row>
    <row r="150" spans="2:16" s="477" customFormat="1">
      <c r="B150" s="530"/>
      <c r="C150" s="489"/>
      <c r="D150" s="65"/>
      <c r="E150" s="31"/>
      <c r="F150" s="29"/>
      <c r="G150" s="480"/>
      <c r="H150" s="60"/>
      <c r="I150" s="523"/>
      <c r="J150" s="481"/>
      <c r="K150" s="479" t="str">
        <f t="shared" si="14"/>
        <v/>
      </c>
      <c r="L150" s="479" t="str">
        <f t="shared" si="15"/>
        <v/>
      </c>
      <c r="M150" s="487" t="str">
        <f t="shared" si="16"/>
        <v/>
      </c>
      <c r="N150" s="479" t="str">
        <f t="shared" si="17"/>
        <v/>
      </c>
      <c r="O150" s="479" t="str">
        <f t="shared" si="18"/>
        <v/>
      </c>
      <c r="P150" s="479" t="str">
        <f t="shared" si="19"/>
        <v/>
      </c>
    </row>
    <row r="151" spans="2:16" s="477" customFormat="1">
      <c r="B151" s="530"/>
      <c r="C151" s="489"/>
      <c r="D151" s="65"/>
      <c r="E151" s="31"/>
      <c r="F151" s="29"/>
      <c r="G151" s="480"/>
      <c r="H151" s="60"/>
      <c r="I151" s="523"/>
      <c r="J151" s="481"/>
      <c r="K151" s="479" t="str">
        <f t="shared" si="14"/>
        <v/>
      </c>
      <c r="L151" s="479" t="str">
        <f t="shared" si="15"/>
        <v/>
      </c>
      <c r="M151" s="487" t="str">
        <f t="shared" si="16"/>
        <v/>
      </c>
      <c r="N151" s="479" t="str">
        <f t="shared" si="17"/>
        <v/>
      </c>
      <c r="O151" s="479" t="str">
        <f t="shared" si="18"/>
        <v/>
      </c>
      <c r="P151" s="479" t="str">
        <f t="shared" si="19"/>
        <v/>
      </c>
    </row>
    <row r="152" spans="2:16" s="477" customFormat="1">
      <c r="B152" s="530">
        <v>10011386</v>
      </c>
      <c r="C152" s="489" t="s">
        <v>10</v>
      </c>
      <c r="D152" s="65" t="s">
        <v>60</v>
      </c>
      <c r="E152" s="66" t="s">
        <v>219</v>
      </c>
      <c r="F152" s="492" t="s">
        <v>831</v>
      </c>
      <c r="G152" s="480">
        <v>44409</v>
      </c>
      <c r="H152" s="60">
        <v>100893929.04198025</v>
      </c>
      <c r="I152" s="525">
        <v>44234</v>
      </c>
      <c r="J152" s="481">
        <f t="shared" si="20"/>
        <v>137</v>
      </c>
      <c r="K152" s="479" t="str">
        <f t="shared" si="14"/>
        <v/>
      </c>
      <c r="L152" s="479" t="str">
        <f t="shared" si="15"/>
        <v/>
      </c>
      <c r="M152" s="487" t="str">
        <f t="shared" si="16"/>
        <v/>
      </c>
      <c r="N152" s="479">
        <f t="shared" si="17"/>
        <v>100893929.04198025</v>
      </c>
      <c r="O152" s="479" t="str">
        <f t="shared" si="18"/>
        <v/>
      </c>
      <c r="P152" s="479" t="str">
        <f t="shared" si="19"/>
        <v/>
      </c>
    </row>
    <row r="153" spans="2:16" s="477" customFormat="1">
      <c r="B153" s="530">
        <v>10011386</v>
      </c>
      <c r="C153" s="489" t="s">
        <v>10</v>
      </c>
      <c r="D153" s="65" t="s">
        <v>60</v>
      </c>
      <c r="E153" s="31" t="s">
        <v>221</v>
      </c>
      <c r="F153" s="29" t="s">
        <v>61</v>
      </c>
      <c r="G153" s="480">
        <v>44441</v>
      </c>
      <c r="H153" s="60">
        <v>96522873.333059236</v>
      </c>
      <c r="I153" s="523">
        <v>44259</v>
      </c>
      <c r="J153" s="481">
        <f t="shared" si="20"/>
        <v>112</v>
      </c>
      <c r="K153" s="479" t="str">
        <f t="shared" si="14"/>
        <v/>
      </c>
      <c r="L153" s="479" t="str">
        <f t="shared" si="15"/>
        <v/>
      </c>
      <c r="M153" s="487" t="str">
        <f t="shared" si="16"/>
        <v/>
      </c>
      <c r="N153" s="479">
        <f t="shared" si="17"/>
        <v>96522873.333059236</v>
      </c>
      <c r="O153" s="479" t="str">
        <f t="shared" si="18"/>
        <v/>
      </c>
      <c r="P153" s="479" t="str">
        <f t="shared" si="19"/>
        <v/>
      </c>
    </row>
    <row r="154" spans="2:16" s="477" customFormat="1">
      <c r="B154" s="530">
        <v>10011386</v>
      </c>
      <c r="C154" s="489" t="s">
        <v>10</v>
      </c>
      <c r="D154" s="65" t="s">
        <v>60</v>
      </c>
      <c r="E154" s="31" t="s">
        <v>222</v>
      </c>
      <c r="F154" s="29" t="s">
        <v>835</v>
      </c>
      <c r="G154" s="480">
        <v>44319</v>
      </c>
      <c r="H154" s="60">
        <v>103279184.9511345</v>
      </c>
      <c r="I154" s="523">
        <v>44291</v>
      </c>
      <c r="J154" s="481">
        <f t="shared" si="20"/>
        <v>80</v>
      </c>
      <c r="K154" s="479" t="str">
        <f t="shared" si="14"/>
        <v/>
      </c>
      <c r="L154" s="479" t="str">
        <f t="shared" si="15"/>
        <v/>
      </c>
      <c r="M154" s="487">
        <f t="shared" si="16"/>
        <v>103279184.9511345</v>
      </c>
      <c r="N154" s="479" t="str">
        <f t="shared" si="17"/>
        <v/>
      </c>
      <c r="O154" s="479" t="str">
        <f t="shared" si="18"/>
        <v/>
      </c>
      <c r="P154" s="479" t="str">
        <f t="shared" si="19"/>
        <v/>
      </c>
    </row>
    <row r="155" spans="2:16" s="477" customFormat="1">
      <c r="B155" s="530"/>
      <c r="C155" s="489"/>
      <c r="D155" s="65"/>
      <c r="E155" s="66"/>
      <c r="F155" s="492"/>
      <c r="G155" s="480"/>
      <c r="H155" s="60"/>
      <c r="I155" s="525"/>
      <c r="J155" s="481"/>
      <c r="K155" s="479" t="str">
        <f t="shared" si="14"/>
        <v/>
      </c>
      <c r="L155" s="479" t="str">
        <f t="shared" si="15"/>
        <v/>
      </c>
      <c r="M155" s="487" t="str">
        <f t="shared" si="16"/>
        <v/>
      </c>
      <c r="N155" s="479" t="str">
        <f t="shared" si="17"/>
        <v/>
      </c>
      <c r="O155" s="479" t="str">
        <f t="shared" si="18"/>
        <v/>
      </c>
      <c r="P155" s="479" t="str">
        <f t="shared" si="19"/>
        <v/>
      </c>
    </row>
    <row r="156" spans="2:16" s="477" customFormat="1">
      <c r="B156" s="530"/>
      <c r="C156" s="489"/>
      <c r="D156" s="65"/>
      <c r="E156" s="31"/>
      <c r="F156" s="29"/>
      <c r="G156" s="480"/>
      <c r="H156" s="60"/>
      <c r="I156" s="523"/>
      <c r="J156" s="481"/>
      <c r="K156" s="479" t="str">
        <f t="shared" si="14"/>
        <v/>
      </c>
      <c r="L156" s="479" t="str">
        <f t="shared" si="15"/>
        <v/>
      </c>
      <c r="M156" s="487" t="str">
        <f t="shared" si="16"/>
        <v/>
      </c>
      <c r="N156" s="479" t="str">
        <f t="shared" si="17"/>
        <v/>
      </c>
      <c r="O156" s="479" t="str">
        <f t="shared" si="18"/>
        <v/>
      </c>
      <c r="P156" s="479" t="str">
        <f t="shared" si="19"/>
        <v/>
      </c>
    </row>
    <row r="157" spans="2:16" s="477" customFormat="1">
      <c r="B157" s="530">
        <v>10011386</v>
      </c>
      <c r="C157" s="489" t="s">
        <v>10</v>
      </c>
      <c r="D157" s="65" t="s">
        <v>2218</v>
      </c>
      <c r="E157" s="31" t="s">
        <v>136</v>
      </c>
      <c r="F157" s="29"/>
      <c r="G157" s="480"/>
      <c r="H157" s="60">
        <v>1026011.8861995025</v>
      </c>
      <c r="I157" s="523"/>
      <c r="J157" s="481"/>
      <c r="K157" s="479" t="str">
        <f t="shared" si="14"/>
        <v/>
      </c>
      <c r="L157" s="479" t="str">
        <f t="shared" si="15"/>
        <v/>
      </c>
      <c r="M157" s="487" t="str">
        <f t="shared" si="16"/>
        <v/>
      </c>
      <c r="N157" s="479" t="str">
        <f t="shared" si="17"/>
        <v/>
      </c>
      <c r="O157" s="479" t="str">
        <f t="shared" si="18"/>
        <v/>
      </c>
      <c r="P157" s="479" t="str">
        <f t="shared" si="19"/>
        <v/>
      </c>
    </row>
    <row r="158" spans="2:16" s="477" customFormat="1">
      <c r="B158" s="530">
        <v>10011386</v>
      </c>
      <c r="C158" s="489" t="s">
        <v>10</v>
      </c>
      <c r="D158" s="65" t="s">
        <v>2218</v>
      </c>
      <c r="E158" s="66" t="s">
        <v>178</v>
      </c>
      <c r="F158" s="492" t="s">
        <v>71</v>
      </c>
      <c r="G158" s="480"/>
      <c r="H158" s="60">
        <v>3153980.5963464999</v>
      </c>
      <c r="I158" s="525">
        <v>43831</v>
      </c>
      <c r="J158" s="481">
        <f t="shared" si="20"/>
        <v>540</v>
      </c>
      <c r="K158" s="479" t="str">
        <f t="shared" si="14"/>
        <v/>
      </c>
      <c r="L158" s="479" t="str">
        <f t="shared" si="15"/>
        <v/>
      </c>
      <c r="M158" s="487" t="str">
        <f t="shared" si="16"/>
        <v/>
      </c>
      <c r="N158" s="479" t="str">
        <f t="shared" si="17"/>
        <v/>
      </c>
      <c r="O158" s="479" t="str">
        <f t="shared" si="18"/>
        <v/>
      </c>
      <c r="P158" s="479">
        <f t="shared" si="19"/>
        <v>3153980.5963464999</v>
      </c>
    </row>
    <row r="159" spans="2:16" s="477" customFormat="1">
      <c r="B159" s="530">
        <v>10011386</v>
      </c>
      <c r="C159" s="489" t="s">
        <v>10</v>
      </c>
      <c r="D159" s="65" t="s">
        <v>2218</v>
      </c>
      <c r="E159" s="31" t="s">
        <v>181</v>
      </c>
      <c r="F159" s="29" t="s">
        <v>26</v>
      </c>
      <c r="G159" s="480"/>
      <c r="H159" s="60">
        <v>1976033.1029350003</v>
      </c>
      <c r="I159" s="523">
        <v>43862</v>
      </c>
      <c r="J159" s="481">
        <f t="shared" si="20"/>
        <v>509</v>
      </c>
      <c r="K159" s="479" t="str">
        <f t="shared" si="14"/>
        <v/>
      </c>
      <c r="L159" s="479" t="str">
        <f t="shared" si="15"/>
        <v/>
      </c>
      <c r="M159" s="487" t="str">
        <f t="shared" si="16"/>
        <v/>
      </c>
      <c r="N159" s="479" t="str">
        <f t="shared" si="17"/>
        <v/>
      </c>
      <c r="O159" s="479" t="str">
        <f t="shared" si="18"/>
        <v/>
      </c>
      <c r="P159" s="479">
        <f t="shared" si="19"/>
        <v>1976033.1029350003</v>
      </c>
    </row>
    <row r="160" spans="2:16" s="477" customFormat="1">
      <c r="B160" s="530">
        <v>10011386</v>
      </c>
      <c r="C160" s="489" t="s">
        <v>10</v>
      </c>
      <c r="D160" s="65" t="s">
        <v>2218</v>
      </c>
      <c r="E160" s="31" t="s">
        <v>185</v>
      </c>
      <c r="F160" s="29" t="s">
        <v>223</v>
      </c>
      <c r="G160" s="480"/>
      <c r="H160" s="60">
        <v>2936637.0874779997</v>
      </c>
      <c r="I160" s="523">
        <v>43890</v>
      </c>
      <c r="J160" s="481">
        <f t="shared" si="20"/>
        <v>481</v>
      </c>
      <c r="K160" s="479" t="str">
        <f t="shared" si="14"/>
        <v/>
      </c>
      <c r="L160" s="479" t="str">
        <f t="shared" si="15"/>
        <v/>
      </c>
      <c r="M160" s="487" t="str">
        <f t="shared" si="16"/>
        <v/>
      </c>
      <c r="N160" s="479" t="str">
        <f t="shared" si="17"/>
        <v/>
      </c>
      <c r="O160" s="479" t="str">
        <f t="shared" si="18"/>
        <v/>
      </c>
      <c r="P160" s="479">
        <f t="shared" si="19"/>
        <v>2936637.0874779997</v>
      </c>
    </row>
    <row r="161" spans="2:16" s="477" customFormat="1">
      <c r="B161" s="530">
        <v>10011386</v>
      </c>
      <c r="C161" s="489" t="s">
        <v>10</v>
      </c>
      <c r="D161" s="65" t="s">
        <v>2218</v>
      </c>
      <c r="E161" s="66" t="s">
        <v>189</v>
      </c>
      <c r="F161" s="492" t="s">
        <v>367</v>
      </c>
      <c r="G161" s="480"/>
      <c r="H161" s="60">
        <v>2405350.8615255002</v>
      </c>
      <c r="I161" s="525">
        <v>43915</v>
      </c>
      <c r="J161" s="481">
        <f t="shared" si="20"/>
        <v>456</v>
      </c>
      <c r="K161" s="479" t="str">
        <f t="shared" si="14"/>
        <v/>
      </c>
      <c r="L161" s="479" t="str">
        <f t="shared" si="15"/>
        <v/>
      </c>
      <c r="M161" s="487" t="str">
        <f t="shared" si="16"/>
        <v/>
      </c>
      <c r="N161" s="479" t="str">
        <f t="shared" si="17"/>
        <v/>
      </c>
      <c r="O161" s="479" t="str">
        <f t="shared" si="18"/>
        <v/>
      </c>
      <c r="P161" s="479">
        <f t="shared" si="19"/>
        <v>2405350.8615255002</v>
      </c>
    </row>
    <row r="162" spans="2:16" s="477" customFormat="1">
      <c r="B162" s="530">
        <v>10011386</v>
      </c>
      <c r="C162" s="489" t="s">
        <v>10</v>
      </c>
      <c r="D162" s="65" t="s">
        <v>2218</v>
      </c>
      <c r="E162" s="31" t="s">
        <v>191</v>
      </c>
      <c r="F162" s="29" t="s">
        <v>368</v>
      </c>
      <c r="G162" s="480">
        <v>43986</v>
      </c>
      <c r="H162" s="60">
        <v>591784.03938149998</v>
      </c>
      <c r="I162" s="523">
        <v>43949</v>
      </c>
      <c r="J162" s="481">
        <f t="shared" si="20"/>
        <v>422</v>
      </c>
      <c r="K162" s="479" t="str">
        <f t="shared" si="14"/>
        <v/>
      </c>
      <c r="L162" s="479" t="str">
        <f t="shared" si="15"/>
        <v/>
      </c>
      <c r="M162" s="487" t="str">
        <f t="shared" si="16"/>
        <v/>
      </c>
      <c r="N162" s="479" t="str">
        <f t="shared" si="17"/>
        <v/>
      </c>
      <c r="O162" s="479" t="str">
        <f t="shared" si="18"/>
        <v/>
      </c>
      <c r="P162" s="479">
        <f t="shared" si="19"/>
        <v>591784.03938149998</v>
      </c>
    </row>
    <row r="163" spans="2:16" s="477" customFormat="1">
      <c r="B163" s="530">
        <v>10011386</v>
      </c>
      <c r="C163" s="489" t="s">
        <v>10</v>
      </c>
      <c r="D163" s="65" t="s">
        <v>2218</v>
      </c>
      <c r="E163" s="31" t="s">
        <v>199</v>
      </c>
      <c r="F163" s="29" t="s">
        <v>370</v>
      </c>
      <c r="G163" s="480">
        <v>44049</v>
      </c>
      <c r="H163" s="60">
        <v>1195224.0263418001</v>
      </c>
      <c r="I163" s="523">
        <v>44015</v>
      </c>
      <c r="J163" s="481">
        <f t="shared" si="20"/>
        <v>356</v>
      </c>
      <c r="K163" s="479" t="str">
        <f t="shared" si="14"/>
        <v/>
      </c>
      <c r="L163" s="479" t="str">
        <f t="shared" si="15"/>
        <v/>
      </c>
      <c r="M163" s="487" t="str">
        <f t="shared" si="16"/>
        <v/>
      </c>
      <c r="N163" s="479" t="str">
        <f t="shared" si="17"/>
        <v/>
      </c>
      <c r="O163" s="479">
        <f t="shared" si="18"/>
        <v>1195224.0263418001</v>
      </c>
      <c r="P163" s="479" t="str">
        <f t="shared" si="19"/>
        <v/>
      </c>
    </row>
    <row r="164" spans="2:16" s="477" customFormat="1">
      <c r="B164" s="530">
        <v>10011386</v>
      </c>
      <c r="C164" s="489" t="s">
        <v>10</v>
      </c>
      <c r="D164" s="65" t="s">
        <v>2218</v>
      </c>
      <c r="E164" s="66" t="s">
        <v>201</v>
      </c>
      <c r="F164" s="492" t="s">
        <v>371</v>
      </c>
      <c r="G164" s="480">
        <v>44081</v>
      </c>
      <c r="H164" s="60">
        <v>1150572.1605</v>
      </c>
      <c r="I164" s="525">
        <v>44064</v>
      </c>
      <c r="J164" s="481">
        <f t="shared" si="20"/>
        <v>307</v>
      </c>
      <c r="K164" s="479" t="str">
        <f t="shared" si="14"/>
        <v/>
      </c>
      <c r="L164" s="479" t="str">
        <f t="shared" si="15"/>
        <v/>
      </c>
      <c r="M164" s="487" t="str">
        <f t="shared" si="16"/>
        <v/>
      </c>
      <c r="N164" s="479" t="str">
        <f t="shared" si="17"/>
        <v/>
      </c>
      <c r="O164" s="479">
        <f t="shared" si="18"/>
        <v>1150572.1605</v>
      </c>
      <c r="P164" s="479" t="str">
        <f t="shared" si="19"/>
        <v/>
      </c>
    </row>
    <row r="165" spans="2:16" s="477" customFormat="1">
      <c r="B165" s="530">
        <v>10011386</v>
      </c>
      <c r="C165" s="489" t="s">
        <v>10</v>
      </c>
      <c r="D165" s="65" t="s">
        <v>2218</v>
      </c>
      <c r="E165" s="31" t="s">
        <v>207</v>
      </c>
      <c r="F165" s="29" t="s">
        <v>372</v>
      </c>
      <c r="G165" s="480" t="s">
        <v>209</v>
      </c>
      <c r="H165" s="60">
        <v>1192637.2263999998</v>
      </c>
      <c r="I165" s="523">
        <v>44098</v>
      </c>
      <c r="J165" s="481">
        <f t="shared" si="20"/>
        <v>273</v>
      </c>
      <c r="K165" s="479" t="str">
        <f t="shared" si="14"/>
        <v/>
      </c>
      <c r="L165" s="479" t="str">
        <f t="shared" si="15"/>
        <v/>
      </c>
      <c r="M165" s="487" t="str">
        <f t="shared" si="16"/>
        <v/>
      </c>
      <c r="N165" s="479" t="str">
        <f t="shared" si="17"/>
        <v/>
      </c>
      <c r="O165" s="479">
        <f t="shared" si="18"/>
        <v>1192637.2263999998</v>
      </c>
      <c r="P165" s="479" t="str">
        <f t="shared" si="19"/>
        <v/>
      </c>
    </row>
    <row r="166" spans="2:16" s="477" customFormat="1">
      <c r="B166" s="530">
        <v>10011386</v>
      </c>
      <c r="C166" s="489" t="s">
        <v>10</v>
      </c>
      <c r="D166" s="65" t="s">
        <v>2218</v>
      </c>
      <c r="E166" s="31" t="s">
        <v>212</v>
      </c>
      <c r="F166" s="29" t="s">
        <v>373</v>
      </c>
      <c r="G166" s="480">
        <v>44084</v>
      </c>
      <c r="H166" s="60">
        <v>943940.52518024994</v>
      </c>
      <c r="I166" s="523">
        <v>44129</v>
      </c>
      <c r="J166" s="481">
        <f t="shared" si="20"/>
        <v>242</v>
      </c>
      <c r="K166" s="479" t="str">
        <f t="shared" si="14"/>
        <v/>
      </c>
      <c r="L166" s="479" t="str">
        <f t="shared" si="15"/>
        <v/>
      </c>
      <c r="M166" s="487" t="str">
        <f t="shared" si="16"/>
        <v/>
      </c>
      <c r="N166" s="479" t="str">
        <f t="shared" si="17"/>
        <v/>
      </c>
      <c r="O166" s="479">
        <f t="shared" si="18"/>
        <v>943940.52518024994</v>
      </c>
      <c r="P166" s="479" t="str">
        <f t="shared" si="19"/>
        <v/>
      </c>
    </row>
    <row r="167" spans="2:16" s="477" customFormat="1">
      <c r="B167" s="530">
        <v>10011386</v>
      </c>
      <c r="C167" s="489" t="s">
        <v>10</v>
      </c>
      <c r="D167" s="65" t="s">
        <v>2218</v>
      </c>
      <c r="E167" s="66" t="s">
        <v>214</v>
      </c>
      <c r="F167" s="492" t="s">
        <v>92</v>
      </c>
      <c r="G167" s="480">
        <v>43962</v>
      </c>
      <c r="H167" s="60">
        <v>247852.94663424997</v>
      </c>
      <c r="I167" s="525">
        <v>44157</v>
      </c>
      <c r="J167" s="481">
        <f t="shared" si="20"/>
        <v>214</v>
      </c>
      <c r="K167" s="479" t="str">
        <f t="shared" si="14"/>
        <v/>
      </c>
      <c r="L167" s="479" t="str">
        <f t="shared" si="15"/>
        <v/>
      </c>
      <c r="M167" s="487" t="str">
        <f t="shared" si="16"/>
        <v/>
      </c>
      <c r="N167" s="479" t="str">
        <f t="shared" si="17"/>
        <v/>
      </c>
      <c r="O167" s="479">
        <f t="shared" si="18"/>
        <v>247852.94663424997</v>
      </c>
      <c r="P167" s="479" t="str">
        <f t="shared" si="19"/>
        <v/>
      </c>
    </row>
    <row r="168" spans="2:16" s="477" customFormat="1">
      <c r="B168" s="530">
        <v>10011386</v>
      </c>
      <c r="C168" s="489" t="s">
        <v>10</v>
      </c>
      <c r="D168" s="65" t="s">
        <v>2218</v>
      </c>
      <c r="E168" s="31" t="s">
        <v>218</v>
      </c>
      <c r="F168" s="29" t="s">
        <v>63</v>
      </c>
      <c r="G168" s="480">
        <v>44024</v>
      </c>
      <c r="H168" s="60">
        <v>12387.6960865</v>
      </c>
      <c r="I168" s="523">
        <v>44208</v>
      </c>
      <c r="J168" s="481">
        <f t="shared" si="20"/>
        <v>163</v>
      </c>
      <c r="K168" s="479" t="str">
        <f t="shared" si="14"/>
        <v/>
      </c>
      <c r="L168" s="479" t="str">
        <f t="shared" si="15"/>
        <v/>
      </c>
      <c r="M168" s="487" t="str">
        <f t="shared" si="16"/>
        <v/>
      </c>
      <c r="N168" s="479">
        <f t="shared" si="17"/>
        <v>12387.6960865</v>
      </c>
      <c r="O168" s="479" t="str">
        <f t="shared" si="18"/>
        <v/>
      </c>
      <c r="P168" s="479" t="str">
        <f t="shared" si="19"/>
        <v/>
      </c>
    </row>
    <row r="169" spans="2:16" s="477" customFormat="1">
      <c r="B169" s="530"/>
      <c r="C169" s="489"/>
      <c r="D169" s="65"/>
      <c r="E169" s="31"/>
      <c r="F169" s="29"/>
      <c r="G169" s="480"/>
      <c r="H169" s="60"/>
      <c r="I169" s="523"/>
      <c r="J169" s="481"/>
      <c r="K169" s="479" t="str">
        <f t="shared" si="14"/>
        <v/>
      </c>
      <c r="L169" s="479" t="str">
        <f t="shared" si="15"/>
        <v/>
      </c>
      <c r="M169" s="487" t="str">
        <f t="shared" si="16"/>
        <v/>
      </c>
      <c r="N169" s="479" t="str">
        <f t="shared" si="17"/>
        <v/>
      </c>
      <c r="O169" s="479" t="str">
        <f t="shared" si="18"/>
        <v/>
      </c>
      <c r="P169" s="479" t="str">
        <f t="shared" si="19"/>
        <v/>
      </c>
    </row>
    <row r="170" spans="2:16" s="477" customFormat="1">
      <c r="B170" s="530"/>
      <c r="C170" s="489"/>
      <c r="D170" s="65"/>
      <c r="E170" s="66"/>
      <c r="F170" s="492"/>
      <c r="G170" s="480"/>
      <c r="H170" s="60"/>
      <c r="I170" s="525"/>
      <c r="J170" s="481"/>
      <c r="K170" s="479" t="str">
        <f t="shared" si="14"/>
        <v/>
      </c>
      <c r="L170" s="479" t="str">
        <f t="shared" si="15"/>
        <v/>
      </c>
      <c r="M170" s="487" t="str">
        <f t="shared" si="16"/>
        <v/>
      </c>
      <c r="N170" s="479" t="str">
        <f t="shared" si="17"/>
        <v/>
      </c>
      <c r="O170" s="479" t="str">
        <f t="shared" si="18"/>
        <v/>
      </c>
      <c r="P170" s="479" t="str">
        <f t="shared" si="19"/>
        <v/>
      </c>
    </row>
    <row r="171" spans="2:16" s="477" customFormat="1">
      <c r="B171" s="530"/>
      <c r="C171" s="489"/>
      <c r="D171" s="65"/>
      <c r="E171" s="31"/>
      <c r="F171" s="29"/>
      <c r="G171" s="480"/>
      <c r="H171" s="60"/>
      <c r="I171" s="523"/>
      <c r="J171" s="481"/>
      <c r="K171" s="479" t="str">
        <f t="shared" si="14"/>
        <v/>
      </c>
      <c r="L171" s="479" t="str">
        <f t="shared" si="15"/>
        <v/>
      </c>
      <c r="M171" s="487" t="str">
        <f t="shared" si="16"/>
        <v/>
      </c>
      <c r="N171" s="479" t="str">
        <f t="shared" si="17"/>
        <v/>
      </c>
      <c r="O171" s="479" t="str">
        <f t="shared" si="18"/>
        <v/>
      </c>
      <c r="P171" s="479" t="str">
        <f t="shared" si="19"/>
        <v/>
      </c>
    </row>
    <row r="172" spans="2:16" s="477" customFormat="1">
      <c r="B172" s="530"/>
      <c r="C172" s="489"/>
      <c r="D172" s="65"/>
      <c r="E172" s="31"/>
      <c r="F172" s="29"/>
      <c r="G172" s="480"/>
      <c r="H172" s="60"/>
      <c r="I172" s="523"/>
      <c r="J172" s="481"/>
      <c r="K172" s="479" t="str">
        <f t="shared" si="14"/>
        <v/>
      </c>
      <c r="L172" s="479" t="str">
        <f t="shared" si="15"/>
        <v/>
      </c>
      <c r="M172" s="487" t="str">
        <f t="shared" si="16"/>
        <v/>
      </c>
      <c r="N172" s="479" t="str">
        <f t="shared" si="17"/>
        <v/>
      </c>
      <c r="O172" s="479" t="str">
        <f t="shared" si="18"/>
        <v/>
      </c>
      <c r="P172" s="479" t="str">
        <f t="shared" si="19"/>
        <v/>
      </c>
    </row>
    <row r="173" spans="2:16" s="477" customFormat="1">
      <c r="B173" s="530">
        <v>10010862</v>
      </c>
      <c r="C173" s="489" t="s">
        <v>10</v>
      </c>
      <c r="D173" s="65" t="s">
        <v>64</v>
      </c>
      <c r="E173" s="66" t="s">
        <v>199</v>
      </c>
      <c r="F173" s="492" t="s">
        <v>196</v>
      </c>
      <c r="G173" s="480">
        <v>44049</v>
      </c>
      <c r="H173" s="60">
        <v>15604515.90511987</v>
      </c>
      <c r="I173" s="525">
        <v>44015</v>
      </c>
      <c r="J173" s="481">
        <f t="shared" si="20"/>
        <v>356</v>
      </c>
      <c r="K173" s="479" t="str">
        <f t="shared" si="14"/>
        <v/>
      </c>
      <c r="L173" s="479" t="str">
        <f t="shared" si="15"/>
        <v/>
      </c>
      <c r="M173" s="487" t="str">
        <f t="shared" si="16"/>
        <v/>
      </c>
      <c r="N173" s="479" t="str">
        <f t="shared" si="17"/>
        <v/>
      </c>
      <c r="O173" s="479">
        <f t="shared" si="18"/>
        <v>15604515.90511987</v>
      </c>
      <c r="P173" s="479" t="str">
        <f t="shared" si="19"/>
        <v/>
      </c>
    </row>
    <row r="174" spans="2:16" s="477" customFormat="1">
      <c r="B174" s="530">
        <v>10010862</v>
      </c>
      <c r="C174" s="489" t="s">
        <v>10</v>
      </c>
      <c r="D174" s="65" t="s">
        <v>64</v>
      </c>
      <c r="E174" s="31" t="s">
        <v>201</v>
      </c>
      <c r="F174" s="29" t="s">
        <v>41</v>
      </c>
      <c r="G174" s="480">
        <v>44081</v>
      </c>
      <c r="H174" s="60">
        <v>11666797.421052901</v>
      </c>
      <c r="I174" s="523">
        <v>44020</v>
      </c>
      <c r="J174" s="481">
        <f t="shared" si="20"/>
        <v>351</v>
      </c>
      <c r="K174" s="479" t="str">
        <f t="shared" si="14"/>
        <v/>
      </c>
      <c r="L174" s="479" t="str">
        <f t="shared" si="15"/>
        <v/>
      </c>
      <c r="M174" s="487" t="str">
        <f t="shared" si="16"/>
        <v/>
      </c>
      <c r="N174" s="479" t="str">
        <f t="shared" si="17"/>
        <v/>
      </c>
      <c r="O174" s="479">
        <f t="shared" si="18"/>
        <v>11666797.421052901</v>
      </c>
      <c r="P174" s="479" t="str">
        <f t="shared" si="19"/>
        <v/>
      </c>
    </row>
    <row r="175" spans="2:16" s="477" customFormat="1">
      <c r="B175" s="530">
        <v>10010862</v>
      </c>
      <c r="C175" s="489" t="s">
        <v>10</v>
      </c>
      <c r="D175" s="65" t="s">
        <v>64</v>
      </c>
      <c r="E175" s="31" t="s">
        <v>203</v>
      </c>
      <c r="F175" s="29" t="s">
        <v>359</v>
      </c>
      <c r="G175" s="480">
        <v>43990</v>
      </c>
      <c r="H175" s="60">
        <v>11999999.998501038</v>
      </c>
      <c r="I175" s="523">
        <v>44067</v>
      </c>
      <c r="J175" s="481">
        <f t="shared" si="20"/>
        <v>304</v>
      </c>
      <c r="K175" s="479" t="str">
        <f t="shared" si="14"/>
        <v/>
      </c>
      <c r="L175" s="479" t="str">
        <f t="shared" si="15"/>
        <v/>
      </c>
      <c r="M175" s="487" t="str">
        <f t="shared" si="16"/>
        <v/>
      </c>
      <c r="N175" s="479" t="str">
        <f t="shared" si="17"/>
        <v/>
      </c>
      <c r="O175" s="479">
        <f t="shared" si="18"/>
        <v>11999999.998501038</v>
      </c>
      <c r="P175" s="479" t="str">
        <f t="shared" si="19"/>
        <v/>
      </c>
    </row>
    <row r="176" spans="2:16" s="477" customFormat="1">
      <c r="B176" s="530">
        <v>10010862</v>
      </c>
      <c r="C176" s="489" t="s">
        <v>10</v>
      </c>
      <c r="D176" s="65" t="s">
        <v>64</v>
      </c>
      <c r="E176" s="66" t="s">
        <v>207</v>
      </c>
      <c r="F176" s="492" t="s">
        <v>202</v>
      </c>
      <c r="G176" s="480" t="s">
        <v>209</v>
      </c>
      <c r="H176" s="60">
        <v>26573025.743991699</v>
      </c>
      <c r="I176" s="525">
        <v>44098</v>
      </c>
      <c r="J176" s="481">
        <f t="shared" si="20"/>
        <v>273</v>
      </c>
      <c r="K176" s="479" t="str">
        <f t="shared" si="14"/>
        <v/>
      </c>
      <c r="L176" s="479" t="str">
        <f t="shared" si="15"/>
        <v/>
      </c>
      <c r="M176" s="487" t="str">
        <f t="shared" si="16"/>
        <v/>
      </c>
      <c r="N176" s="479" t="str">
        <f t="shared" si="17"/>
        <v/>
      </c>
      <c r="O176" s="479">
        <f t="shared" si="18"/>
        <v>26573025.743991699</v>
      </c>
      <c r="P176" s="479" t="str">
        <f t="shared" si="19"/>
        <v/>
      </c>
    </row>
    <row r="177" spans="2:16" s="477" customFormat="1">
      <c r="B177" s="530">
        <v>10010862</v>
      </c>
      <c r="C177" s="489" t="s">
        <v>10</v>
      </c>
      <c r="D177" s="65" t="s">
        <v>64</v>
      </c>
      <c r="E177" s="31" t="s">
        <v>218</v>
      </c>
      <c r="F177" s="29" t="s">
        <v>52</v>
      </c>
      <c r="G177" s="480">
        <v>44024</v>
      </c>
      <c r="H177" s="60">
        <v>34313819.038870193</v>
      </c>
      <c r="I177" s="523">
        <v>44208</v>
      </c>
      <c r="J177" s="481">
        <f t="shared" si="20"/>
        <v>163</v>
      </c>
      <c r="K177" s="479" t="str">
        <f t="shared" si="14"/>
        <v/>
      </c>
      <c r="L177" s="479" t="str">
        <f t="shared" si="15"/>
        <v/>
      </c>
      <c r="M177" s="487" t="str">
        <f t="shared" si="16"/>
        <v/>
      </c>
      <c r="N177" s="479">
        <f t="shared" si="17"/>
        <v>34313819.038870193</v>
      </c>
      <c r="O177" s="479" t="str">
        <f t="shared" si="18"/>
        <v/>
      </c>
      <c r="P177" s="479" t="str">
        <f t="shared" si="19"/>
        <v/>
      </c>
    </row>
    <row r="178" spans="2:16" s="477" customFormat="1">
      <c r="B178" s="530">
        <v>10010862</v>
      </c>
      <c r="C178" s="489" t="s">
        <v>10</v>
      </c>
      <c r="D178" s="65" t="s">
        <v>64</v>
      </c>
      <c r="E178" s="31" t="s">
        <v>221</v>
      </c>
      <c r="F178" s="29" t="s">
        <v>65</v>
      </c>
      <c r="G178" s="480">
        <v>44441</v>
      </c>
      <c r="H178" s="60">
        <v>34410804.112245329</v>
      </c>
      <c r="I178" s="523">
        <v>44259</v>
      </c>
      <c r="J178" s="481">
        <f t="shared" si="20"/>
        <v>112</v>
      </c>
      <c r="K178" s="479" t="str">
        <f t="shared" si="14"/>
        <v/>
      </c>
      <c r="L178" s="479" t="str">
        <f t="shared" si="15"/>
        <v/>
      </c>
      <c r="M178" s="487" t="str">
        <f t="shared" si="16"/>
        <v/>
      </c>
      <c r="N178" s="479">
        <f t="shared" si="17"/>
        <v>34410804.112245329</v>
      </c>
      <c r="O178" s="479" t="str">
        <f t="shared" si="18"/>
        <v/>
      </c>
      <c r="P178" s="479" t="str">
        <f t="shared" si="19"/>
        <v/>
      </c>
    </row>
    <row r="179" spans="2:16" s="477" customFormat="1">
      <c r="B179" s="530">
        <v>10010862</v>
      </c>
      <c r="C179" s="489" t="s">
        <v>10</v>
      </c>
      <c r="D179" s="65" t="s">
        <v>64</v>
      </c>
      <c r="E179" s="66" t="s">
        <v>222</v>
      </c>
      <c r="F179" s="492" t="s">
        <v>71</v>
      </c>
      <c r="G179" s="480">
        <v>44411</v>
      </c>
      <c r="H179" s="60">
        <v>29075403.856590629</v>
      </c>
      <c r="I179" s="525">
        <v>44278</v>
      </c>
      <c r="J179" s="481">
        <f t="shared" si="20"/>
        <v>93</v>
      </c>
      <c r="K179" s="479" t="str">
        <f t="shared" si="14"/>
        <v/>
      </c>
      <c r="L179" s="479" t="str">
        <f t="shared" si="15"/>
        <v/>
      </c>
      <c r="M179" s="487" t="str">
        <f t="shared" si="16"/>
        <v/>
      </c>
      <c r="N179" s="479">
        <f t="shared" si="17"/>
        <v>29075403.856590629</v>
      </c>
      <c r="O179" s="479" t="str">
        <f t="shared" si="18"/>
        <v/>
      </c>
      <c r="P179" s="479" t="str">
        <f t="shared" si="19"/>
        <v/>
      </c>
    </row>
    <row r="180" spans="2:16" s="477" customFormat="1">
      <c r="B180" s="530"/>
      <c r="C180" s="489"/>
      <c r="D180" s="65"/>
      <c r="E180" s="31"/>
      <c r="F180" s="29"/>
      <c r="G180" s="480"/>
      <c r="H180" s="60"/>
      <c r="I180" s="523"/>
      <c r="J180" s="481">
        <f t="shared" si="20"/>
        <v>44371</v>
      </c>
      <c r="K180" s="479" t="str">
        <f t="shared" si="14"/>
        <v/>
      </c>
      <c r="L180" s="479" t="str">
        <f t="shared" si="15"/>
        <v/>
      </c>
      <c r="M180" s="487" t="str">
        <f t="shared" si="16"/>
        <v/>
      </c>
      <c r="N180" s="479" t="str">
        <f t="shared" si="17"/>
        <v/>
      </c>
      <c r="O180" s="479" t="str">
        <f t="shared" si="18"/>
        <v/>
      </c>
      <c r="P180" s="479">
        <f t="shared" si="19"/>
        <v>0</v>
      </c>
    </row>
    <row r="181" spans="2:16" s="477" customFormat="1">
      <c r="B181" s="530"/>
      <c r="C181" s="489"/>
      <c r="D181" s="65"/>
      <c r="E181" s="31"/>
      <c r="F181" s="29"/>
      <c r="G181" s="480"/>
      <c r="H181" s="60"/>
      <c r="I181" s="523"/>
      <c r="J181" s="481">
        <f t="shared" si="20"/>
        <v>44371</v>
      </c>
      <c r="K181" s="479" t="str">
        <f t="shared" si="14"/>
        <v/>
      </c>
      <c r="L181" s="479" t="str">
        <f t="shared" si="15"/>
        <v/>
      </c>
      <c r="M181" s="487" t="str">
        <f t="shared" si="16"/>
        <v/>
      </c>
      <c r="N181" s="479" t="str">
        <f t="shared" si="17"/>
        <v/>
      </c>
      <c r="O181" s="479" t="str">
        <f t="shared" si="18"/>
        <v/>
      </c>
      <c r="P181" s="479">
        <f t="shared" si="19"/>
        <v>0</v>
      </c>
    </row>
    <row r="182" spans="2:16" s="477" customFormat="1">
      <c r="B182" s="530"/>
      <c r="C182" s="489"/>
      <c r="D182" s="65"/>
      <c r="E182" s="66"/>
      <c r="F182" s="492"/>
      <c r="G182" s="480"/>
      <c r="H182" s="60"/>
      <c r="I182" s="525"/>
      <c r="J182" s="481">
        <f t="shared" si="20"/>
        <v>44371</v>
      </c>
      <c r="K182" s="479" t="str">
        <f t="shared" si="14"/>
        <v/>
      </c>
      <c r="L182" s="479" t="str">
        <f t="shared" si="15"/>
        <v/>
      </c>
      <c r="M182" s="487" t="str">
        <f t="shared" si="16"/>
        <v/>
      </c>
      <c r="N182" s="479" t="str">
        <f t="shared" si="17"/>
        <v/>
      </c>
      <c r="O182" s="479" t="str">
        <f t="shared" si="18"/>
        <v/>
      </c>
      <c r="P182" s="479">
        <f t="shared" si="19"/>
        <v>0</v>
      </c>
    </row>
    <row r="183" spans="2:16" s="477" customFormat="1">
      <c r="B183" s="530"/>
      <c r="C183" s="489"/>
      <c r="D183" s="65"/>
      <c r="E183" s="31"/>
      <c r="F183" s="29"/>
      <c r="G183" s="480"/>
      <c r="H183" s="60"/>
      <c r="I183" s="523"/>
      <c r="J183" s="481">
        <f t="shared" si="20"/>
        <v>44371</v>
      </c>
      <c r="K183" s="479" t="str">
        <f t="shared" si="14"/>
        <v/>
      </c>
      <c r="L183" s="479" t="str">
        <f t="shared" si="15"/>
        <v/>
      </c>
      <c r="M183" s="487" t="str">
        <f t="shared" si="16"/>
        <v/>
      </c>
      <c r="N183" s="479" t="str">
        <f t="shared" si="17"/>
        <v/>
      </c>
      <c r="O183" s="479" t="str">
        <f t="shared" si="18"/>
        <v/>
      </c>
      <c r="P183" s="479">
        <f t="shared" si="19"/>
        <v>0</v>
      </c>
    </row>
    <row r="184" spans="2:16" s="477" customFormat="1">
      <c r="B184" s="530">
        <v>10014028</v>
      </c>
      <c r="C184" s="489" t="s">
        <v>10</v>
      </c>
      <c r="D184" s="65" t="s">
        <v>69</v>
      </c>
      <c r="E184" s="31" t="s">
        <v>222</v>
      </c>
      <c r="F184" s="29" t="s">
        <v>385</v>
      </c>
      <c r="G184" s="480">
        <v>44319</v>
      </c>
      <c r="H184" s="60">
        <v>22733646.156317249</v>
      </c>
      <c r="I184" s="523">
        <v>44275</v>
      </c>
      <c r="J184" s="481">
        <f t="shared" si="20"/>
        <v>96</v>
      </c>
      <c r="K184" s="479" t="str">
        <f t="shared" si="14"/>
        <v/>
      </c>
      <c r="L184" s="479" t="str">
        <f t="shared" si="15"/>
        <v/>
      </c>
      <c r="M184" s="487" t="str">
        <f t="shared" si="16"/>
        <v/>
      </c>
      <c r="N184" s="479">
        <f t="shared" si="17"/>
        <v>22733646.156317249</v>
      </c>
      <c r="O184" s="479" t="str">
        <f t="shared" si="18"/>
        <v/>
      </c>
      <c r="P184" s="479" t="str">
        <f t="shared" si="19"/>
        <v/>
      </c>
    </row>
    <row r="185" spans="2:16" s="477" customFormat="1">
      <c r="B185" s="530"/>
      <c r="C185" s="489"/>
      <c r="D185" s="65"/>
      <c r="E185" s="66"/>
      <c r="F185" s="492"/>
      <c r="G185" s="480"/>
      <c r="H185" s="60"/>
      <c r="I185" s="525"/>
      <c r="J185" s="481"/>
      <c r="K185" s="479" t="str">
        <f t="shared" si="14"/>
        <v/>
      </c>
      <c r="L185" s="479" t="str">
        <f t="shared" si="15"/>
        <v/>
      </c>
      <c r="M185" s="487" t="str">
        <f t="shared" si="16"/>
        <v/>
      </c>
      <c r="N185" s="479" t="str">
        <f t="shared" si="17"/>
        <v/>
      </c>
      <c r="O185" s="479" t="str">
        <f t="shared" si="18"/>
        <v/>
      </c>
      <c r="P185" s="479" t="str">
        <f t="shared" si="19"/>
        <v/>
      </c>
    </row>
    <row r="186" spans="2:16" s="477" customFormat="1">
      <c r="B186" s="530"/>
      <c r="C186" s="489"/>
      <c r="D186" s="65"/>
      <c r="E186" s="31"/>
      <c r="F186" s="29"/>
      <c r="G186" s="480"/>
      <c r="H186" s="60"/>
      <c r="I186" s="523"/>
      <c r="J186" s="481"/>
      <c r="K186" s="479" t="str">
        <f t="shared" si="14"/>
        <v/>
      </c>
      <c r="L186" s="479" t="str">
        <f t="shared" si="15"/>
        <v/>
      </c>
      <c r="M186" s="487" t="str">
        <f t="shared" si="16"/>
        <v/>
      </c>
      <c r="N186" s="479" t="str">
        <f t="shared" si="17"/>
        <v/>
      </c>
      <c r="O186" s="479" t="str">
        <f t="shared" si="18"/>
        <v/>
      </c>
      <c r="P186" s="479" t="str">
        <f t="shared" si="19"/>
        <v/>
      </c>
    </row>
    <row r="187" spans="2:16" s="477" customFormat="1">
      <c r="B187" s="530">
        <v>10000576</v>
      </c>
      <c r="C187" s="489" t="s">
        <v>10</v>
      </c>
      <c r="D187" s="65" t="s">
        <v>73</v>
      </c>
      <c r="E187" s="31" t="s">
        <v>136</v>
      </c>
      <c r="F187" s="29"/>
      <c r="G187" s="480"/>
      <c r="H187" s="60">
        <v>406079594.86476362</v>
      </c>
      <c r="I187" s="523"/>
      <c r="J187" s="481"/>
      <c r="K187" s="479" t="str">
        <f t="shared" si="14"/>
        <v/>
      </c>
      <c r="L187" s="479" t="str">
        <f t="shared" si="15"/>
        <v/>
      </c>
      <c r="M187" s="487" t="str">
        <f t="shared" si="16"/>
        <v/>
      </c>
      <c r="N187" s="479" t="str">
        <f t="shared" si="17"/>
        <v/>
      </c>
      <c r="O187" s="479" t="str">
        <f t="shared" si="18"/>
        <v/>
      </c>
      <c r="P187" s="479" t="str">
        <f t="shared" si="19"/>
        <v/>
      </c>
    </row>
    <row r="188" spans="2:16" s="477" customFormat="1">
      <c r="B188" s="530">
        <v>10000576</v>
      </c>
      <c r="C188" s="489" t="s">
        <v>10</v>
      </c>
      <c r="D188" s="65" t="s">
        <v>73</v>
      </c>
      <c r="E188" s="66" t="s">
        <v>181</v>
      </c>
      <c r="F188" s="492" t="s">
        <v>268</v>
      </c>
      <c r="G188" s="480">
        <v>43952</v>
      </c>
      <c r="H188" s="60">
        <v>29421056.059527487</v>
      </c>
      <c r="I188" s="525" t="s">
        <v>183</v>
      </c>
      <c r="J188" s="481">
        <f t="shared" si="20"/>
        <v>539</v>
      </c>
      <c r="K188" s="479" t="str">
        <f t="shared" si="14"/>
        <v/>
      </c>
      <c r="L188" s="479" t="str">
        <f t="shared" si="15"/>
        <v/>
      </c>
      <c r="M188" s="487" t="str">
        <f t="shared" si="16"/>
        <v/>
      </c>
      <c r="N188" s="479" t="str">
        <f t="shared" si="17"/>
        <v/>
      </c>
      <c r="O188" s="479" t="str">
        <f t="shared" si="18"/>
        <v/>
      </c>
      <c r="P188" s="479">
        <f t="shared" si="19"/>
        <v>29421056.059527487</v>
      </c>
    </row>
    <row r="189" spans="2:16" s="477" customFormat="1">
      <c r="B189" s="530">
        <v>10000576</v>
      </c>
      <c r="C189" s="489" t="s">
        <v>10</v>
      </c>
      <c r="D189" s="65" t="s">
        <v>73</v>
      </c>
      <c r="E189" s="31" t="s">
        <v>185</v>
      </c>
      <c r="F189" s="29" t="s">
        <v>271</v>
      </c>
      <c r="G189" s="480">
        <v>44076</v>
      </c>
      <c r="H189" s="60">
        <v>25103701.684102088</v>
      </c>
      <c r="I189" s="523">
        <v>43890</v>
      </c>
      <c r="J189" s="481">
        <f t="shared" si="20"/>
        <v>481</v>
      </c>
      <c r="K189" s="479" t="str">
        <f t="shared" si="14"/>
        <v/>
      </c>
      <c r="L189" s="479" t="str">
        <f t="shared" si="15"/>
        <v/>
      </c>
      <c r="M189" s="487" t="str">
        <f t="shared" si="16"/>
        <v/>
      </c>
      <c r="N189" s="479" t="str">
        <f t="shared" si="17"/>
        <v/>
      </c>
      <c r="O189" s="479" t="str">
        <f t="shared" si="18"/>
        <v/>
      </c>
      <c r="P189" s="479">
        <f t="shared" si="19"/>
        <v>25103701.684102088</v>
      </c>
    </row>
    <row r="190" spans="2:16" s="477" customFormat="1">
      <c r="B190" s="530">
        <v>10000576</v>
      </c>
      <c r="C190" s="489" t="s">
        <v>10</v>
      </c>
      <c r="D190" s="65" t="s">
        <v>73</v>
      </c>
      <c r="E190" s="31" t="s">
        <v>189</v>
      </c>
      <c r="F190" s="29" t="s">
        <v>273</v>
      </c>
      <c r="G190" s="480">
        <v>43985</v>
      </c>
      <c r="H190" s="60">
        <v>34493107.971255213</v>
      </c>
      <c r="I190" s="523">
        <v>43916</v>
      </c>
      <c r="J190" s="481">
        <f t="shared" si="20"/>
        <v>455</v>
      </c>
      <c r="K190" s="479" t="str">
        <f t="shared" si="14"/>
        <v/>
      </c>
      <c r="L190" s="479" t="str">
        <f t="shared" si="15"/>
        <v/>
      </c>
      <c r="M190" s="487" t="str">
        <f t="shared" si="16"/>
        <v/>
      </c>
      <c r="N190" s="479" t="str">
        <f t="shared" si="17"/>
        <v/>
      </c>
      <c r="O190" s="479" t="str">
        <f t="shared" si="18"/>
        <v/>
      </c>
      <c r="P190" s="479">
        <f t="shared" si="19"/>
        <v>34493107.971255213</v>
      </c>
    </row>
    <row r="191" spans="2:16" s="477" customFormat="1">
      <c r="B191" s="530">
        <v>10000576</v>
      </c>
      <c r="C191" s="489" t="s">
        <v>10</v>
      </c>
      <c r="D191" s="65" t="s">
        <v>73</v>
      </c>
      <c r="E191" s="66" t="s">
        <v>191</v>
      </c>
      <c r="F191" s="492" t="s">
        <v>275</v>
      </c>
      <c r="G191" s="480">
        <v>43986</v>
      </c>
      <c r="H191" s="60">
        <v>67034837.071549743</v>
      </c>
      <c r="I191" s="525">
        <v>43949</v>
      </c>
      <c r="J191" s="481">
        <f t="shared" si="20"/>
        <v>422</v>
      </c>
      <c r="K191" s="479" t="str">
        <f t="shared" si="14"/>
        <v/>
      </c>
      <c r="L191" s="479" t="str">
        <f t="shared" si="15"/>
        <v/>
      </c>
      <c r="M191" s="487" t="str">
        <f t="shared" si="16"/>
        <v/>
      </c>
      <c r="N191" s="479" t="str">
        <f t="shared" si="17"/>
        <v/>
      </c>
      <c r="O191" s="479" t="str">
        <f t="shared" si="18"/>
        <v/>
      </c>
      <c r="P191" s="479">
        <f t="shared" si="19"/>
        <v>67034837.071549743</v>
      </c>
    </row>
    <row r="192" spans="2:16" s="477" customFormat="1">
      <c r="B192" s="530">
        <v>10000576</v>
      </c>
      <c r="C192" s="489" t="s">
        <v>10</v>
      </c>
      <c r="D192" s="65" t="s">
        <v>73</v>
      </c>
      <c r="E192" s="31" t="s">
        <v>195</v>
      </c>
      <c r="F192" s="29" t="s">
        <v>277</v>
      </c>
      <c r="G192" s="480" t="s">
        <v>197</v>
      </c>
      <c r="H192" s="60">
        <v>26839420.092300624</v>
      </c>
      <c r="I192" s="523">
        <v>43980</v>
      </c>
      <c r="J192" s="481">
        <f t="shared" si="20"/>
        <v>391</v>
      </c>
      <c r="K192" s="479" t="str">
        <f t="shared" si="14"/>
        <v/>
      </c>
      <c r="L192" s="479" t="str">
        <f t="shared" si="15"/>
        <v/>
      </c>
      <c r="M192" s="487" t="str">
        <f t="shared" si="16"/>
        <v/>
      </c>
      <c r="N192" s="479" t="str">
        <f t="shared" si="17"/>
        <v/>
      </c>
      <c r="O192" s="479" t="str">
        <f t="shared" si="18"/>
        <v/>
      </c>
      <c r="P192" s="479">
        <f t="shared" si="19"/>
        <v>26839420.092300624</v>
      </c>
    </row>
    <row r="193" spans="2:16" s="477" customFormat="1">
      <c r="B193" s="530">
        <v>10000576</v>
      </c>
      <c r="C193" s="489" t="s">
        <v>10</v>
      </c>
      <c r="D193" s="65" t="s">
        <v>73</v>
      </c>
      <c r="E193" s="31" t="s">
        <v>199</v>
      </c>
      <c r="F193" s="29" t="s">
        <v>279</v>
      </c>
      <c r="G193" s="480">
        <v>44049</v>
      </c>
      <c r="H193" s="60">
        <v>23394790.368719459</v>
      </c>
      <c r="I193" s="523">
        <v>44015</v>
      </c>
      <c r="J193" s="481">
        <f t="shared" si="20"/>
        <v>356</v>
      </c>
      <c r="K193" s="479" t="str">
        <f t="shared" si="14"/>
        <v/>
      </c>
      <c r="L193" s="479" t="str">
        <f t="shared" si="15"/>
        <v/>
      </c>
      <c r="M193" s="487" t="str">
        <f t="shared" si="16"/>
        <v/>
      </c>
      <c r="N193" s="479" t="str">
        <f t="shared" si="17"/>
        <v/>
      </c>
      <c r="O193" s="479">
        <f t="shared" si="18"/>
        <v>23394790.368719459</v>
      </c>
      <c r="P193" s="479" t="str">
        <f t="shared" si="19"/>
        <v/>
      </c>
    </row>
    <row r="194" spans="2:16" s="477" customFormat="1">
      <c r="B194" s="530">
        <v>10000576</v>
      </c>
      <c r="C194" s="489" t="s">
        <v>10</v>
      </c>
      <c r="D194" s="65" t="s">
        <v>73</v>
      </c>
      <c r="E194" s="66" t="s">
        <v>201</v>
      </c>
      <c r="F194" s="492" t="s">
        <v>281</v>
      </c>
      <c r="G194" s="480" t="s">
        <v>449</v>
      </c>
      <c r="H194" s="60">
        <v>21503895.364004403</v>
      </c>
      <c r="I194" s="525">
        <v>44020</v>
      </c>
      <c r="J194" s="481">
        <f t="shared" si="20"/>
        <v>351</v>
      </c>
      <c r="K194" s="479" t="str">
        <f t="shared" si="14"/>
        <v/>
      </c>
      <c r="L194" s="479" t="str">
        <f t="shared" si="15"/>
        <v/>
      </c>
      <c r="M194" s="487" t="str">
        <f t="shared" si="16"/>
        <v/>
      </c>
      <c r="N194" s="479" t="str">
        <f t="shared" si="17"/>
        <v/>
      </c>
      <c r="O194" s="479">
        <f t="shared" si="18"/>
        <v>21503895.364004403</v>
      </c>
      <c r="P194" s="479" t="str">
        <f t="shared" si="19"/>
        <v/>
      </c>
    </row>
    <row r="195" spans="2:16" s="477" customFormat="1">
      <c r="B195" s="530">
        <v>10000576</v>
      </c>
      <c r="C195" s="489" t="s">
        <v>10</v>
      </c>
      <c r="D195" s="65" t="s">
        <v>73</v>
      </c>
      <c r="E195" s="31" t="s">
        <v>203</v>
      </c>
      <c r="F195" s="29" t="s">
        <v>283</v>
      </c>
      <c r="G195" s="480">
        <v>44020</v>
      </c>
      <c r="H195" s="60">
        <v>14860039.666961938</v>
      </c>
      <c r="I195" s="523">
        <v>44065</v>
      </c>
      <c r="J195" s="481">
        <f t="shared" si="20"/>
        <v>306</v>
      </c>
      <c r="K195" s="479" t="str">
        <f t="shared" si="14"/>
        <v/>
      </c>
      <c r="L195" s="479" t="str">
        <f t="shared" si="15"/>
        <v/>
      </c>
      <c r="M195" s="487" t="str">
        <f t="shared" si="16"/>
        <v/>
      </c>
      <c r="N195" s="479" t="str">
        <f t="shared" si="17"/>
        <v/>
      </c>
      <c r="O195" s="479">
        <f t="shared" si="18"/>
        <v>14860039.666961938</v>
      </c>
      <c r="P195" s="479" t="str">
        <f t="shared" si="19"/>
        <v/>
      </c>
    </row>
    <row r="196" spans="2:16" s="477" customFormat="1">
      <c r="B196" s="530">
        <v>10000576</v>
      </c>
      <c r="C196" s="489" t="s">
        <v>10</v>
      </c>
      <c r="D196" s="65" t="s">
        <v>73</v>
      </c>
      <c r="E196" s="31" t="s">
        <v>207</v>
      </c>
      <c r="F196" s="29" t="s">
        <v>84</v>
      </c>
      <c r="G196" s="480" t="s">
        <v>209</v>
      </c>
      <c r="H196" s="60">
        <v>24727394.741709828</v>
      </c>
      <c r="I196" s="523">
        <v>44098</v>
      </c>
      <c r="J196" s="481">
        <f t="shared" si="20"/>
        <v>273</v>
      </c>
      <c r="K196" s="479" t="str">
        <f t="shared" si="14"/>
        <v/>
      </c>
      <c r="L196" s="479" t="str">
        <f t="shared" si="15"/>
        <v/>
      </c>
      <c r="M196" s="487" t="str">
        <f t="shared" si="16"/>
        <v/>
      </c>
      <c r="N196" s="479" t="str">
        <f t="shared" si="17"/>
        <v/>
      </c>
      <c r="O196" s="479">
        <f t="shared" si="18"/>
        <v>24727394.741709828</v>
      </c>
      <c r="P196" s="479" t="str">
        <f t="shared" si="19"/>
        <v/>
      </c>
    </row>
    <row r="197" spans="2:16" s="477" customFormat="1">
      <c r="B197" s="530">
        <v>10000576</v>
      </c>
      <c r="C197" s="489" t="s">
        <v>10</v>
      </c>
      <c r="D197" s="65" t="s">
        <v>73</v>
      </c>
      <c r="E197" s="66" t="s">
        <v>212</v>
      </c>
      <c r="F197" s="492" t="s">
        <v>286</v>
      </c>
      <c r="G197" s="480">
        <v>44084</v>
      </c>
      <c r="H197" s="60">
        <v>28414953.358708858</v>
      </c>
      <c r="I197" s="525">
        <v>44129</v>
      </c>
      <c r="J197" s="481">
        <f t="shared" si="20"/>
        <v>242</v>
      </c>
      <c r="K197" s="479" t="str">
        <f t="shared" si="14"/>
        <v/>
      </c>
      <c r="L197" s="479" t="str">
        <f t="shared" si="15"/>
        <v/>
      </c>
      <c r="M197" s="487" t="str">
        <f t="shared" si="16"/>
        <v/>
      </c>
      <c r="N197" s="479" t="str">
        <f t="shared" si="17"/>
        <v/>
      </c>
      <c r="O197" s="479">
        <f t="shared" si="18"/>
        <v>28414953.358708858</v>
      </c>
      <c r="P197" s="479" t="str">
        <f t="shared" si="19"/>
        <v/>
      </c>
    </row>
    <row r="198" spans="2:16" s="477" customFormat="1">
      <c r="B198" s="530">
        <v>10000576</v>
      </c>
      <c r="C198" s="489" t="s">
        <v>10</v>
      </c>
      <c r="D198" s="65" t="s">
        <v>73</v>
      </c>
      <c r="E198" s="31" t="s">
        <v>214</v>
      </c>
      <c r="F198" s="29" t="s">
        <v>775</v>
      </c>
      <c r="G198" s="480">
        <v>43962</v>
      </c>
      <c r="H198" s="60">
        <v>215212548.81589016</v>
      </c>
      <c r="I198" s="523">
        <v>44157</v>
      </c>
      <c r="J198" s="481">
        <f t="shared" si="20"/>
        <v>214</v>
      </c>
      <c r="K198" s="479" t="str">
        <f t="shared" si="14"/>
        <v/>
      </c>
      <c r="L198" s="479" t="str">
        <f t="shared" si="15"/>
        <v/>
      </c>
      <c r="M198" s="487" t="str">
        <f t="shared" si="16"/>
        <v/>
      </c>
      <c r="N198" s="479" t="str">
        <f t="shared" si="17"/>
        <v/>
      </c>
      <c r="O198" s="479">
        <f t="shared" si="18"/>
        <v>215212548.81589016</v>
      </c>
      <c r="P198" s="479" t="str">
        <f t="shared" si="19"/>
        <v/>
      </c>
    </row>
    <row r="199" spans="2:16" s="477" customFormat="1">
      <c r="B199" s="530">
        <v>10000576</v>
      </c>
      <c r="C199" s="489" t="s">
        <v>10</v>
      </c>
      <c r="D199" s="65" t="s">
        <v>73</v>
      </c>
      <c r="E199" s="31" t="s">
        <v>218</v>
      </c>
      <c r="F199" s="29" t="s">
        <v>289</v>
      </c>
      <c r="G199" s="480">
        <v>44024</v>
      </c>
      <c r="H199" s="60">
        <v>318417874.56501925</v>
      </c>
      <c r="I199" s="523">
        <v>44208</v>
      </c>
      <c r="J199" s="481">
        <f t="shared" si="20"/>
        <v>163</v>
      </c>
      <c r="K199" s="479" t="str">
        <f t="shared" ref="K199:K262" si="21">IF(AND(J199&gt;=16,J199&lt;=30),H199,"")</f>
        <v/>
      </c>
      <c r="L199" s="479" t="str">
        <f t="shared" ref="L199:L262" si="22">IF(AND(J199&gt;=31,J199&lt;=60),H199,"")</f>
        <v/>
      </c>
      <c r="M199" s="487" t="str">
        <f t="shared" ref="M199:M262" si="23">IF(AND(J199&gt;=61,J199&lt;=90),H199,"")</f>
        <v/>
      </c>
      <c r="N199" s="479">
        <f t="shared" ref="N199:N262" si="24">IF(AND(J199&gt;=91,J199&lt;=180),H199,"")</f>
        <v>318417874.56501925</v>
      </c>
      <c r="O199" s="479" t="str">
        <f t="shared" ref="O199:O262" si="25">IF(AND(J199&gt;=181,J199&lt;=360),H199,"")</f>
        <v/>
      </c>
      <c r="P199" s="479" t="str">
        <f t="shared" ref="P199:P262" si="26">IF(J199&gt;=360,H199,"")</f>
        <v/>
      </c>
    </row>
    <row r="200" spans="2:16" s="477" customFormat="1">
      <c r="B200" s="530">
        <v>10000576</v>
      </c>
      <c r="C200" s="489" t="s">
        <v>10</v>
      </c>
      <c r="D200" s="65" t="s">
        <v>73</v>
      </c>
      <c r="E200" s="66" t="s">
        <v>219</v>
      </c>
      <c r="F200" s="492" t="s">
        <v>777</v>
      </c>
      <c r="G200" s="480">
        <v>44531</v>
      </c>
      <c r="H200" s="60">
        <v>292102710.28262019</v>
      </c>
      <c r="I200" s="525">
        <v>44223</v>
      </c>
      <c r="J200" s="481">
        <f t="shared" ref="J200:J263" si="27">DATEDIF(I200,$J$4,"D")</f>
        <v>148</v>
      </c>
      <c r="K200" s="479" t="str">
        <f t="shared" si="21"/>
        <v/>
      </c>
      <c r="L200" s="479" t="str">
        <f t="shared" si="22"/>
        <v/>
      </c>
      <c r="M200" s="487" t="str">
        <f t="shared" si="23"/>
        <v/>
      </c>
      <c r="N200" s="479">
        <f t="shared" si="24"/>
        <v>292102710.28262019</v>
      </c>
      <c r="O200" s="479" t="str">
        <f t="shared" si="25"/>
        <v/>
      </c>
      <c r="P200" s="479" t="str">
        <f t="shared" si="26"/>
        <v/>
      </c>
    </row>
    <row r="201" spans="2:16" s="477" customFormat="1">
      <c r="B201" s="530">
        <v>10000576</v>
      </c>
      <c r="C201" s="489" t="s">
        <v>10</v>
      </c>
      <c r="D201" s="65" t="s">
        <v>73</v>
      </c>
      <c r="E201" s="31" t="s">
        <v>221</v>
      </c>
      <c r="F201" s="29" t="s">
        <v>74</v>
      </c>
      <c r="G201" s="480">
        <v>44471</v>
      </c>
      <c r="H201" s="60">
        <v>335935163.8164286</v>
      </c>
      <c r="I201" s="523">
        <v>44259</v>
      </c>
      <c r="J201" s="481">
        <f t="shared" si="27"/>
        <v>112</v>
      </c>
      <c r="K201" s="479" t="str">
        <f t="shared" si="21"/>
        <v/>
      </c>
      <c r="L201" s="479" t="str">
        <f t="shared" si="22"/>
        <v/>
      </c>
      <c r="M201" s="487" t="str">
        <f t="shared" si="23"/>
        <v/>
      </c>
      <c r="N201" s="479">
        <f t="shared" si="24"/>
        <v>335935163.8164286</v>
      </c>
      <c r="O201" s="479" t="str">
        <f t="shared" si="25"/>
        <v/>
      </c>
      <c r="P201" s="479" t="str">
        <f t="shared" si="26"/>
        <v/>
      </c>
    </row>
    <row r="202" spans="2:16" s="477" customFormat="1">
      <c r="B202" s="530">
        <v>10000576</v>
      </c>
      <c r="C202" s="489" t="s">
        <v>10</v>
      </c>
      <c r="D202" s="65" t="s">
        <v>73</v>
      </c>
      <c r="E202" s="31" t="s">
        <v>222</v>
      </c>
      <c r="F202" s="29" t="s">
        <v>296</v>
      </c>
      <c r="G202" s="480">
        <v>44319</v>
      </c>
      <c r="H202" s="60">
        <v>407485660.25241506</v>
      </c>
      <c r="I202" s="523">
        <v>44275</v>
      </c>
      <c r="J202" s="481">
        <f t="shared" si="27"/>
        <v>96</v>
      </c>
      <c r="K202" s="479" t="str">
        <f t="shared" si="21"/>
        <v/>
      </c>
      <c r="L202" s="479" t="str">
        <f t="shared" si="22"/>
        <v/>
      </c>
      <c r="M202" s="487" t="str">
        <f t="shared" si="23"/>
        <v/>
      </c>
      <c r="N202" s="479">
        <f t="shared" si="24"/>
        <v>407485660.25241506</v>
      </c>
      <c r="O202" s="479" t="str">
        <f t="shared" si="25"/>
        <v/>
      </c>
      <c r="P202" s="479" t="str">
        <f t="shared" si="26"/>
        <v/>
      </c>
    </row>
    <row r="203" spans="2:16" s="477" customFormat="1">
      <c r="B203" s="530"/>
      <c r="C203" s="489"/>
      <c r="D203" s="65"/>
      <c r="E203" s="66"/>
      <c r="F203" s="492"/>
      <c r="G203" s="480"/>
      <c r="H203" s="60"/>
      <c r="I203" s="525"/>
      <c r="J203" s="481"/>
      <c r="K203" s="479" t="str">
        <f t="shared" si="21"/>
        <v/>
      </c>
      <c r="L203" s="479" t="str">
        <f t="shared" si="22"/>
        <v/>
      </c>
      <c r="M203" s="487" t="str">
        <f t="shared" si="23"/>
        <v/>
      </c>
      <c r="N203" s="479" t="str">
        <f t="shared" si="24"/>
        <v/>
      </c>
      <c r="O203" s="479" t="str">
        <f t="shared" si="25"/>
        <v/>
      </c>
      <c r="P203" s="479" t="str">
        <f t="shared" si="26"/>
        <v/>
      </c>
    </row>
    <row r="204" spans="2:16" s="477" customFormat="1">
      <c r="B204" s="530"/>
      <c r="C204" s="489"/>
      <c r="D204" s="65"/>
      <c r="E204" s="31"/>
      <c r="F204" s="29"/>
      <c r="G204" s="480"/>
      <c r="H204" s="60"/>
      <c r="I204" s="523"/>
      <c r="J204" s="481"/>
      <c r="K204" s="479" t="str">
        <f t="shared" si="21"/>
        <v/>
      </c>
      <c r="L204" s="479" t="str">
        <f t="shared" si="22"/>
        <v/>
      </c>
      <c r="M204" s="487" t="str">
        <f t="shared" si="23"/>
        <v/>
      </c>
      <c r="N204" s="479" t="str">
        <f t="shared" si="24"/>
        <v/>
      </c>
      <c r="O204" s="479" t="str">
        <f t="shared" si="25"/>
        <v/>
      </c>
      <c r="P204" s="479" t="str">
        <f t="shared" si="26"/>
        <v/>
      </c>
    </row>
    <row r="205" spans="2:16" s="477" customFormat="1">
      <c r="B205" s="530"/>
      <c r="C205" s="489"/>
      <c r="D205" s="65"/>
      <c r="E205" s="31"/>
      <c r="F205" s="29"/>
      <c r="G205" s="480"/>
      <c r="H205" s="60"/>
      <c r="I205" s="523"/>
      <c r="J205" s="481"/>
      <c r="K205" s="479" t="str">
        <f t="shared" si="21"/>
        <v/>
      </c>
      <c r="L205" s="479" t="str">
        <f t="shared" si="22"/>
        <v/>
      </c>
      <c r="M205" s="487" t="str">
        <f t="shared" si="23"/>
        <v/>
      </c>
      <c r="N205" s="479" t="str">
        <f t="shared" si="24"/>
        <v/>
      </c>
      <c r="O205" s="479" t="str">
        <f t="shared" si="25"/>
        <v/>
      </c>
      <c r="P205" s="479" t="str">
        <f t="shared" si="26"/>
        <v/>
      </c>
    </row>
    <row r="206" spans="2:16" s="477" customFormat="1">
      <c r="B206" s="530">
        <v>10000585</v>
      </c>
      <c r="C206" s="489" t="s">
        <v>10</v>
      </c>
      <c r="D206" s="65" t="s">
        <v>75</v>
      </c>
      <c r="E206" s="66" t="s">
        <v>1269</v>
      </c>
      <c r="F206" s="492" t="s">
        <v>550</v>
      </c>
      <c r="G206" s="480">
        <v>41436</v>
      </c>
      <c r="H206" s="60">
        <v>100058835.78999999</v>
      </c>
      <c r="I206" s="525">
        <v>41619</v>
      </c>
      <c r="J206" s="481">
        <f t="shared" si="27"/>
        <v>2752</v>
      </c>
      <c r="K206" s="479" t="str">
        <f t="shared" si="21"/>
        <v/>
      </c>
      <c r="L206" s="479" t="str">
        <f t="shared" si="22"/>
        <v/>
      </c>
      <c r="M206" s="487" t="str">
        <f t="shared" si="23"/>
        <v/>
      </c>
      <c r="N206" s="479" t="str">
        <f t="shared" si="24"/>
        <v/>
      </c>
      <c r="O206" s="479" t="str">
        <f t="shared" si="25"/>
        <v/>
      </c>
      <c r="P206" s="479">
        <f t="shared" si="26"/>
        <v>100058835.78999999</v>
      </c>
    </row>
    <row r="207" spans="2:16" s="477" customFormat="1">
      <c r="B207" s="530">
        <v>10000585</v>
      </c>
      <c r="C207" s="489" t="s">
        <v>10</v>
      </c>
      <c r="D207" s="65" t="s">
        <v>75</v>
      </c>
      <c r="E207" s="31" t="s">
        <v>1270</v>
      </c>
      <c r="F207" s="29" t="s">
        <v>113</v>
      </c>
      <c r="G207" s="480">
        <v>41620</v>
      </c>
      <c r="H207" s="60">
        <v>104419963.16999999</v>
      </c>
      <c r="I207" s="523">
        <v>41654</v>
      </c>
      <c r="J207" s="481">
        <f t="shared" si="27"/>
        <v>2717</v>
      </c>
      <c r="K207" s="479" t="str">
        <f t="shared" si="21"/>
        <v/>
      </c>
      <c r="L207" s="479" t="str">
        <f t="shared" si="22"/>
        <v/>
      </c>
      <c r="M207" s="487" t="str">
        <f t="shared" si="23"/>
        <v/>
      </c>
      <c r="N207" s="479" t="str">
        <f t="shared" si="24"/>
        <v/>
      </c>
      <c r="O207" s="479" t="str">
        <f t="shared" si="25"/>
        <v/>
      </c>
      <c r="P207" s="479">
        <f t="shared" si="26"/>
        <v>104419963.16999999</v>
      </c>
    </row>
    <row r="208" spans="2:16" s="477" customFormat="1">
      <c r="B208" s="530">
        <v>10000585</v>
      </c>
      <c r="C208" s="489" t="s">
        <v>10</v>
      </c>
      <c r="D208" s="65" t="s">
        <v>75</v>
      </c>
      <c r="E208" s="31" t="s">
        <v>1273</v>
      </c>
      <c r="F208" s="29" t="s">
        <v>229</v>
      </c>
      <c r="G208" s="480">
        <v>41821</v>
      </c>
      <c r="H208" s="60">
        <v>185750491.53</v>
      </c>
      <c r="I208" s="523">
        <v>41687</v>
      </c>
      <c r="J208" s="481">
        <f t="shared" si="27"/>
        <v>2684</v>
      </c>
      <c r="K208" s="479" t="str">
        <f t="shared" si="21"/>
        <v/>
      </c>
      <c r="L208" s="479" t="str">
        <f t="shared" si="22"/>
        <v/>
      </c>
      <c r="M208" s="487" t="str">
        <f t="shared" si="23"/>
        <v/>
      </c>
      <c r="N208" s="479" t="str">
        <f t="shared" si="24"/>
        <v/>
      </c>
      <c r="O208" s="479" t="str">
        <f t="shared" si="25"/>
        <v/>
      </c>
      <c r="P208" s="479">
        <f t="shared" si="26"/>
        <v>185750491.53</v>
      </c>
    </row>
    <row r="209" spans="2:16" s="477" customFormat="1">
      <c r="B209" s="530">
        <v>10000585</v>
      </c>
      <c r="C209" s="489" t="s">
        <v>10</v>
      </c>
      <c r="D209" s="65" t="s">
        <v>75</v>
      </c>
      <c r="E209" s="66" t="s">
        <v>1276</v>
      </c>
      <c r="F209" s="492" t="s">
        <v>33</v>
      </c>
      <c r="G209" s="480">
        <v>41856</v>
      </c>
      <c r="H209" s="60">
        <v>99988367.909999996</v>
      </c>
      <c r="I209" s="525">
        <v>41806</v>
      </c>
      <c r="J209" s="481">
        <f t="shared" si="27"/>
        <v>2565</v>
      </c>
      <c r="K209" s="479" t="str">
        <f t="shared" si="21"/>
        <v/>
      </c>
      <c r="L209" s="479" t="str">
        <f t="shared" si="22"/>
        <v/>
      </c>
      <c r="M209" s="487" t="str">
        <f t="shared" si="23"/>
        <v/>
      </c>
      <c r="N209" s="479" t="str">
        <f t="shared" si="24"/>
        <v/>
      </c>
      <c r="O209" s="479" t="str">
        <f t="shared" si="25"/>
        <v/>
      </c>
      <c r="P209" s="479">
        <f t="shared" si="26"/>
        <v>99988367.909999996</v>
      </c>
    </row>
    <row r="210" spans="2:16" s="477" customFormat="1">
      <c r="B210" s="530">
        <v>10000585</v>
      </c>
      <c r="C210" s="489" t="s">
        <v>10</v>
      </c>
      <c r="D210" s="65" t="s">
        <v>75</v>
      </c>
      <c r="E210" s="31" t="s">
        <v>1279</v>
      </c>
      <c r="F210" s="29" t="s">
        <v>241</v>
      </c>
      <c r="G210" s="480">
        <v>41949</v>
      </c>
      <c r="H210" s="60">
        <v>98163955.280000001</v>
      </c>
      <c r="I210" s="523">
        <v>41842</v>
      </c>
      <c r="J210" s="481">
        <f t="shared" si="27"/>
        <v>2529</v>
      </c>
      <c r="K210" s="479" t="str">
        <f t="shared" si="21"/>
        <v/>
      </c>
      <c r="L210" s="479" t="str">
        <f t="shared" si="22"/>
        <v/>
      </c>
      <c r="M210" s="487" t="str">
        <f t="shared" si="23"/>
        <v/>
      </c>
      <c r="N210" s="479" t="str">
        <f t="shared" si="24"/>
        <v/>
      </c>
      <c r="O210" s="479" t="str">
        <f t="shared" si="25"/>
        <v/>
      </c>
      <c r="P210" s="479">
        <f t="shared" si="26"/>
        <v>98163955.280000001</v>
      </c>
    </row>
    <row r="211" spans="2:16" s="477" customFormat="1">
      <c r="B211" s="530">
        <v>10000585</v>
      </c>
      <c r="C211" s="489" t="s">
        <v>10</v>
      </c>
      <c r="D211" s="65" t="s">
        <v>75</v>
      </c>
      <c r="E211" s="31" t="s">
        <v>1282</v>
      </c>
      <c r="F211" s="29" t="s">
        <v>244</v>
      </c>
      <c r="G211" s="480">
        <v>41889</v>
      </c>
      <c r="H211" s="60">
        <v>175123770.77000001</v>
      </c>
      <c r="I211" s="523">
        <v>41866</v>
      </c>
      <c r="J211" s="481">
        <f t="shared" si="27"/>
        <v>2505</v>
      </c>
      <c r="K211" s="479" t="str">
        <f t="shared" si="21"/>
        <v/>
      </c>
      <c r="L211" s="479" t="str">
        <f t="shared" si="22"/>
        <v/>
      </c>
      <c r="M211" s="487" t="str">
        <f t="shared" si="23"/>
        <v/>
      </c>
      <c r="N211" s="479" t="str">
        <f t="shared" si="24"/>
        <v/>
      </c>
      <c r="O211" s="479" t="str">
        <f t="shared" si="25"/>
        <v/>
      </c>
      <c r="P211" s="479">
        <f t="shared" si="26"/>
        <v>175123770.77000001</v>
      </c>
    </row>
    <row r="212" spans="2:16" s="477" customFormat="1">
      <c r="B212" s="530">
        <v>10000585</v>
      </c>
      <c r="C212" s="489" t="s">
        <v>10</v>
      </c>
      <c r="D212" s="65" t="s">
        <v>75</v>
      </c>
      <c r="E212" s="66" t="s">
        <v>1285</v>
      </c>
      <c r="F212" s="492" t="s">
        <v>57</v>
      </c>
      <c r="G212" s="480" t="s">
        <v>2219</v>
      </c>
      <c r="H212" s="60">
        <v>23354766.840000004</v>
      </c>
      <c r="I212" s="525">
        <v>41894</v>
      </c>
      <c r="J212" s="481">
        <f t="shared" si="27"/>
        <v>2477</v>
      </c>
      <c r="K212" s="479" t="str">
        <f t="shared" si="21"/>
        <v/>
      </c>
      <c r="L212" s="479" t="str">
        <f t="shared" si="22"/>
        <v/>
      </c>
      <c r="M212" s="487" t="str">
        <f t="shared" si="23"/>
        <v/>
      </c>
      <c r="N212" s="479" t="str">
        <f t="shared" si="24"/>
        <v/>
      </c>
      <c r="O212" s="479" t="str">
        <f t="shared" si="25"/>
        <v/>
      </c>
      <c r="P212" s="479">
        <f t="shared" si="26"/>
        <v>23354766.840000004</v>
      </c>
    </row>
    <row r="213" spans="2:16" s="477" customFormat="1">
      <c r="B213" s="530">
        <v>10000585</v>
      </c>
      <c r="C213" s="489" t="s">
        <v>10</v>
      </c>
      <c r="D213" s="65" t="s">
        <v>75</v>
      </c>
      <c r="E213" s="31" t="s">
        <v>1287</v>
      </c>
      <c r="F213" s="29" t="s">
        <v>249</v>
      </c>
      <c r="G213" s="480">
        <v>41921</v>
      </c>
      <c r="H213" s="60">
        <v>145566874.25999999</v>
      </c>
      <c r="I213" s="523">
        <v>41923</v>
      </c>
      <c r="J213" s="481">
        <f t="shared" si="27"/>
        <v>2448</v>
      </c>
      <c r="K213" s="479" t="str">
        <f t="shared" si="21"/>
        <v/>
      </c>
      <c r="L213" s="479" t="str">
        <f t="shared" si="22"/>
        <v/>
      </c>
      <c r="M213" s="487" t="str">
        <f t="shared" si="23"/>
        <v/>
      </c>
      <c r="N213" s="479" t="str">
        <f t="shared" si="24"/>
        <v/>
      </c>
      <c r="O213" s="479" t="str">
        <f t="shared" si="25"/>
        <v/>
      </c>
      <c r="P213" s="479">
        <f t="shared" si="26"/>
        <v>145566874.25999999</v>
      </c>
    </row>
    <row r="214" spans="2:16" s="477" customFormat="1">
      <c r="B214" s="530"/>
      <c r="C214" s="489"/>
      <c r="D214" s="65"/>
      <c r="E214" s="31"/>
      <c r="F214" s="29"/>
      <c r="G214" s="480"/>
      <c r="H214" s="60"/>
      <c r="I214" s="523"/>
      <c r="J214" s="481"/>
      <c r="K214" s="479" t="str">
        <f t="shared" si="21"/>
        <v/>
      </c>
      <c r="L214" s="479" t="str">
        <f t="shared" si="22"/>
        <v/>
      </c>
      <c r="M214" s="487" t="str">
        <f t="shared" si="23"/>
        <v/>
      </c>
      <c r="N214" s="479" t="str">
        <f t="shared" si="24"/>
        <v/>
      </c>
      <c r="O214" s="479" t="str">
        <f t="shared" si="25"/>
        <v/>
      </c>
      <c r="P214" s="479" t="str">
        <f t="shared" si="26"/>
        <v/>
      </c>
    </row>
    <row r="215" spans="2:16" s="477" customFormat="1">
      <c r="B215" s="530"/>
      <c r="C215" s="489"/>
      <c r="D215" s="65"/>
      <c r="E215" s="66"/>
      <c r="F215" s="492"/>
      <c r="G215" s="480"/>
      <c r="H215" s="60"/>
      <c r="I215" s="525"/>
      <c r="J215" s="481"/>
      <c r="K215" s="479" t="str">
        <f t="shared" si="21"/>
        <v/>
      </c>
      <c r="L215" s="479" t="str">
        <f t="shared" si="22"/>
        <v/>
      </c>
      <c r="M215" s="487" t="str">
        <f t="shared" si="23"/>
        <v/>
      </c>
      <c r="N215" s="479" t="str">
        <f t="shared" si="24"/>
        <v/>
      </c>
      <c r="O215" s="479" t="str">
        <f t="shared" si="25"/>
        <v/>
      </c>
      <c r="P215" s="479" t="str">
        <f t="shared" si="26"/>
        <v/>
      </c>
    </row>
    <row r="216" spans="2:16" s="477" customFormat="1">
      <c r="B216" s="530"/>
      <c r="C216" s="489"/>
      <c r="D216" s="65"/>
      <c r="E216" s="31"/>
      <c r="F216" s="29"/>
      <c r="G216" s="480"/>
      <c r="H216" s="60"/>
      <c r="I216" s="523"/>
      <c r="J216" s="481"/>
      <c r="K216" s="479" t="str">
        <f t="shared" si="21"/>
        <v/>
      </c>
      <c r="L216" s="479" t="str">
        <f t="shared" si="22"/>
        <v/>
      </c>
      <c r="M216" s="487" t="str">
        <f t="shared" si="23"/>
        <v/>
      </c>
      <c r="N216" s="479" t="str">
        <f t="shared" si="24"/>
        <v/>
      </c>
      <c r="O216" s="479" t="str">
        <f t="shared" si="25"/>
        <v/>
      </c>
      <c r="P216" s="479" t="str">
        <f t="shared" si="26"/>
        <v/>
      </c>
    </row>
    <row r="217" spans="2:16" s="477" customFormat="1">
      <c r="B217" s="530">
        <v>10013009</v>
      </c>
      <c r="C217" s="489" t="s">
        <v>10</v>
      </c>
      <c r="D217" s="65" t="s">
        <v>76</v>
      </c>
      <c r="E217" s="31"/>
      <c r="F217" s="29"/>
      <c r="G217" s="480"/>
      <c r="H217" s="60"/>
      <c r="I217" s="523"/>
      <c r="J217" s="481"/>
      <c r="K217" s="479" t="str">
        <f t="shared" si="21"/>
        <v/>
      </c>
      <c r="L217" s="479" t="str">
        <f t="shared" si="22"/>
        <v/>
      </c>
      <c r="M217" s="487" t="str">
        <f t="shared" si="23"/>
        <v/>
      </c>
      <c r="N217" s="479" t="str">
        <f t="shared" si="24"/>
        <v/>
      </c>
      <c r="O217" s="479" t="str">
        <f t="shared" si="25"/>
        <v/>
      </c>
      <c r="P217" s="479" t="str">
        <f t="shared" si="26"/>
        <v/>
      </c>
    </row>
    <row r="218" spans="2:16" s="477" customFormat="1">
      <c r="B218" s="530">
        <v>10013009</v>
      </c>
      <c r="C218" s="489" t="s">
        <v>10</v>
      </c>
      <c r="D218" s="65" t="s">
        <v>76</v>
      </c>
      <c r="E218" s="66" t="s">
        <v>136</v>
      </c>
      <c r="F218" s="492"/>
      <c r="G218" s="480"/>
      <c r="H218" s="60">
        <v>1630332456.6400003</v>
      </c>
      <c r="I218" s="525"/>
      <c r="J218" s="481"/>
      <c r="K218" s="479" t="str">
        <f t="shared" si="21"/>
        <v/>
      </c>
      <c r="L218" s="479" t="str">
        <f t="shared" si="22"/>
        <v/>
      </c>
      <c r="M218" s="487" t="str">
        <f t="shared" si="23"/>
        <v/>
      </c>
      <c r="N218" s="479" t="str">
        <f t="shared" si="24"/>
        <v/>
      </c>
      <c r="O218" s="479" t="str">
        <f t="shared" si="25"/>
        <v/>
      </c>
      <c r="P218" s="479" t="str">
        <f t="shared" si="26"/>
        <v/>
      </c>
    </row>
    <row r="219" spans="2:16" s="477" customFormat="1">
      <c r="B219" s="530">
        <v>10013009</v>
      </c>
      <c r="C219" s="489" t="s">
        <v>10</v>
      </c>
      <c r="D219" s="65" t="s">
        <v>76</v>
      </c>
      <c r="E219" s="31" t="s">
        <v>500</v>
      </c>
      <c r="F219" s="29" t="s">
        <v>1299</v>
      </c>
      <c r="G219" s="480">
        <v>42958</v>
      </c>
      <c r="H219" s="60">
        <v>457368361.08999991</v>
      </c>
      <c r="I219" s="523">
        <f>G219+30</f>
        <v>42988</v>
      </c>
      <c r="J219" s="481">
        <f t="shared" si="27"/>
        <v>1383</v>
      </c>
      <c r="K219" s="479" t="str">
        <f t="shared" si="21"/>
        <v/>
      </c>
      <c r="L219" s="479" t="str">
        <f t="shared" si="22"/>
        <v/>
      </c>
      <c r="M219" s="487" t="str">
        <f t="shared" si="23"/>
        <v/>
      </c>
      <c r="N219" s="479" t="str">
        <f t="shared" si="24"/>
        <v/>
      </c>
      <c r="O219" s="479" t="str">
        <f t="shared" si="25"/>
        <v/>
      </c>
      <c r="P219" s="479">
        <f t="shared" si="26"/>
        <v>457368361.08999991</v>
      </c>
    </row>
    <row r="220" spans="2:16" s="477" customFormat="1">
      <c r="B220" s="530">
        <v>10013009</v>
      </c>
      <c r="C220" s="489" t="s">
        <v>10</v>
      </c>
      <c r="D220" s="65" t="s">
        <v>76</v>
      </c>
      <c r="E220" s="31" t="s">
        <v>231</v>
      </c>
      <c r="F220" s="29" t="s">
        <v>1305</v>
      </c>
      <c r="G220" s="480">
        <v>43377</v>
      </c>
      <c r="H220" s="60">
        <v>533152330.85618758</v>
      </c>
      <c r="I220" s="523">
        <f>G220+30</f>
        <v>43407</v>
      </c>
      <c r="J220" s="481">
        <f t="shared" si="27"/>
        <v>964</v>
      </c>
      <c r="K220" s="479" t="str">
        <f t="shared" si="21"/>
        <v/>
      </c>
      <c r="L220" s="479" t="str">
        <f t="shared" si="22"/>
        <v/>
      </c>
      <c r="M220" s="487" t="str">
        <f t="shared" si="23"/>
        <v/>
      </c>
      <c r="N220" s="479" t="str">
        <f t="shared" si="24"/>
        <v/>
      </c>
      <c r="O220" s="479" t="str">
        <f t="shared" si="25"/>
        <v/>
      </c>
      <c r="P220" s="479">
        <f t="shared" si="26"/>
        <v>533152330.85618758</v>
      </c>
    </row>
    <row r="221" spans="2:16" s="477" customFormat="1">
      <c r="B221" s="530">
        <v>10013009</v>
      </c>
      <c r="C221" s="489" t="s">
        <v>10</v>
      </c>
      <c r="D221" s="65" t="s">
        <v>76</v>
      </c>
      <c r="E221" s="66" t="s">
        <v>246</v>
      </c>
      <c r="F221" s="492" t="s">
        <v>1311</v>
      </c>
      <c r="G221" s="480">
        <v>43353</v>
      </c>
      <c r="H221" s="60">
        <v>29595053.228115559</v>
      </c>
      <c r="I221" s="525">
        <v>43418</v>
      </c>
      <c r="J221" s="481">
        <f t="shared" si="27"/>
        <v>953</v>
      </c>
      <c r="K221" s="479" t="str">
        <f t="shared" si="21"/>
        <v/>
      </c>
      <c r="L221" s="479" t="str">
        <f t="shared" si="22"/>
        <v/>
      </c>
      <c r="M221" s="487" t="str">
        <f t="shared" si="23"/>
        <v/>
      </c>
      <c r="N221" s="479" t="str">
        <f t="shared" si="24"/>
        <v/>
      </c>
      <c r="O221" s="479" t="str">
        <f t="shared" si="25"/>
        <v/>
      </c>
      <c r="P221" s="479">
        <f t="shared" si="26"/>
        <v>29595053.228115559</v>
      </c>
    </row>
    <row r="222" spans="2:16" s="477" customFormat="1">
      <c r="B222" s="530">
        <v>10013009</v>
      </c>
      <c r="C222" s="489" t="s">
        <v>10</v>
      </c>
      <c r="D222" s="65" t="s">
        <v>76</v>
      </c>
      <c r="E222" s="31" t="s">
        <v>191</v>
      </c>
      <c r="F222" s="29" t="s">
        <v>860</v>
      </c>
      <c r="G222" s="480">
        <v>43986</v>
      </c>
      <c r="H222" s="60">
        <v>186073044.64438415</v>
      </c>
      <c r="I222" s="523">
        <v>44140</v>
      </c>
      <c r="J222" s="481">
        <f t="shared" si="27"/>
        <v>231</v>
      </c>
      <c r="K222" s="479" t="str">
        <f t="shared" si="21"/>
        <v/>
      </c>
      <c r="L222" s="479" t="str">
        <f t="shared" si="22"/>
        <v/>
      </c>
      <c r="M222" s="487" t="str">
        <f t="shared" si="23"/>
        <v/>
      </c>
      <c r="N222" s="479" t="str">
        <f t="shared" si="24"/>
        <v/>
      </c>
      <c r="O222" s="479">
        <f t="shared" si="25"/>
        <v>186073044.64438415</v>
      </c>
      <c r="P222" s="479" t="str">
        <f t="shared" si="26"/>
        <v/>
      </c>
    </row>
    <row r="223" spans="2:16" s="477" customFormat="1">
      <c r="B223" s="530"/>
      <c r="C223" s="489"/>
      <c r="D223" s="65"/>
      <c r="E223" s="31"/>
      <c r="F223" s="29"/>
      <c r="G223" s="480"/>
      <c r="H223" s="60"/>
      <c r="I223" s="523"/>
      <c r="J223" s="481"/>
      <c r="K223" s="479" t="str">
        <f t="shared" si="21"/>
        <v/>
      </c>
      <c r="L223" s="479" t="str">
        <f t="shared" si="22"/>
        <v/>
      </c>
      <c r="M223" s="487" t="str">
        <f t="shared" si="23"/>
        <v/>
      </c>
      <c r="N223" s="479" t="str">
        <f t="shared" si="24"/>
        <v/>
      </c>
      <c r="O223" s="479" t="str">
        <f t="shared" si="25"/>
        <v/>
      </c>
      <c r="P223" s="479" t="str">
        <f t="shared" si="26"/>
        <v/>
      </c>
    </row>
    <row r="224" spans="2:16" s="477" customFormat="1">
      <c r="B224" s="530"/>
      <c r="C224" s="489"/>
      <c r="D224" s="65"/>
      <c r="E224" s="66"/>
      <c r="F224" s="492"/>
      <c r="G224" s="480"/>
      <c r="H224" s="60"/>
      <c r="I224" s="525"/>
      <c r="J224" s="481"/>
      <c r="K224" s="479" t="str">
        <f t="shared" si="21"/>
        <v/>
      </c>
      <c r="L224" s="479" t="str">
        <f t="shared" si="22"/>
        <v/>
      </c>
      <c r="M224" s="487" t="str">
        <f t="shared" si="23"/>
        <v/>
      </c>
      <c r="N224" s="479" t="str">
        <f t="shared" si="24"/>
        <v/>
      </c>
      <c r="O224" s="479" t="str">
        <f t="shared" si="25"/>
        <v/>
      </c>
      <c r="P224" s="479" t="str">
        <f t="shared" si="26"/>
        <v/>
      </c>
    </row>
    <row r="225" spans="2:16" s="477" customFormat="1">
      <c r="B225" s="530"/>
      <c r="C225" s="489"/>
      <c r="D225" s="65"/>
      <c r="E225" s="31"/>
      <c r="F225" s="29"/>
      <c r="G225" s="480"/>
      <c r="H225" s="60"/>
      <c r="I225" s="523"/>
      <c r="J225" s="481"/>
      <c r="K225" s="479" t="str">
        <f t="shared" si="21"/>
        <v/>
      </c>
      <c r="L225" s="479" t="str">
        <f t="shared" si="22"/>
        <v/>
      </c>
      <c r="M225" s="487" t="str">
        <f t="shared" si="23"/>
        <v/>
      </c>
      <c r="N225" s="479" t="str">
        <f t="shared" si="24"/>
        <v/>
      </c>
      <c r="O225" s="479" t="str">
        <f t="shared" si="25"/>
        <v/>
      </c>
      <c r="P225" s="479" t="str">
        <f t="shared" si="26"/>
        <v/>
      </c>
    </row>
    <row r="226" spans="2:16" s="477" customFormat="1">
      <c r="B226" s="530">
        <v>10010189</v>
      </c>
      <c r="C226" s="489" t="s">
        <v>10</v>
      </c>
      <c r="D226" s="65" t="s">
        <v>78</v>
      </c>
      <c r="E226" s="31" t="s">
        <v>136</v>
      </c>
      <c r="F226" s="29"/>
      <c r="G226" s="480"/>
      <c r="H226" s="60">
        <v>638689606.69073105</v>
      </c>
      <c r="I226" s="523"/>
      <c r="J226" s="481"/>
      <c r="K226" s="479" t="str">
        <f t="shared" si="21"/>
        <v/>
      </c>
      <c r="L226" s="479" t="str">
        <f t="shared" si="22"/>
        <v/>
      </c>
      <c r="M226" s="487" t="str">
        <f t="shared" si="23"/>
        <v/>
      </c>
      <c r="N226" s="479" t="str">
        <f t="shared" si="24"/>
        <v/>
      </c>
      <c r="O226" s="479" t="str">
        <f t="shared" si="25"/>
        <v/>
      </c>
      <c r="P226" s="479" t="str">
        <f t="shared" si="26"/>
        <v/>
      </c>
    </row>
    <row r="227" spans="2:16" s="477" customFormat="1">
      <c r="B227" s="530"/>
      <c r="C227" s="489"/>
      <c r="D227" s="65"/>
      <c r="E227" s="66"/>
      <c r="F227" s="492"/>
      <c r="G227" s="480"/>
      <c r="H227" s="60"/>
      <c r="I227" s="525"/>
      <c r="J227" s="481"/>
      <c r="K227" s="479" t="str">
        <f t="shared" si="21"/>
        <v/>
      </c>
      <c r="L227" s="479" t="str">
        <f t="shared" si="22"/>
        <v/>
      </c>
      <c r="M227" s="487" t="str">
        <f t="shared" si="23"/>
        <v/>
      </c>
      <c r="N227" s="479" t="str">
        <f t="shared" si="24"/>
        <v/>
      </c>
      <c r="O227" s="479" t="str">
        <f t="shared" si="25"/>
        <v/>
      </c>
      <c r="P227" s="479" t="str">
        <f t="shared" si="26"/>
        <v/>
      </c>
    </row>
    <row r="228" spans="2:16" s="477" customFormat="1">
      <c r="B228" s="530"/>
      <c r="C228" s="489"/>
      <c r="D228" s="65"/>
      <c r="E228" s="31"/>
      <c r="F228" s="29"/>
      <c r="G228" s="480"/>
      <c r="H228" s="60"/>
      <c r="I228" s="523"/>
      <c r="J228" s="481"/>
      <c r="K228" s="479" t="str">
        <f t="shared" si="21"/>
        <v/>
      </c>
      <c r="L228" s="479" t="str">
        <f t="shared" si="22"/>
        <v/>
      </c>
      <c r="M228" s="487" t="str">
        <f t="shared" si="23"/>
        <v/>
      </c>
      <c r="N228" s="479" t="str">
        <f t="shared" si="24"/>
        <v/>
      </c>
      <c r="O228" s="479" t="str">
        <f t="shared" si="25"/>
        <v/>
      </c>
      <c r="P228" s="479" t="str">
        <f t="shared" si="26"/>
        <v/>
      </c>
    </row>
    <row r="229" spans="2:16" s="477" customFormat="1">
      <c r="B229" s="530">
        <v>10015067</v>
      </c>
      <c r="C229" s="489" t="s">
        <v>10</v>
      </c>
      <c r="D229" s="65" t="s">
        <v>79</v>
      </c>
      <c r="E229" s="31" t="s">
        <v>214</v>
      </c>
      <c r="F229" s="29" t="s">
        <v>140</v>
      </c>
      <c r="G229" s="480">
        <v>43933</v>
      </c>
      <c r="H229" s="60">
        <v>9404096.9006234258</v>
      </c>
      <c r="I229" s="523">
        <v>43834</v>
      </c>
      <c r="J229" s="481">
        <f t="shared" si="27"/>
        <v>537</v>
      </c>
      <c r="K229" s="479" t="str">
        <f t="shared" si="21"/>
        <v/>
      </c>
      <c r="L229" s="479" t="str">
        <f t="shared" si="22"/>
        <v/>
      </c>
      <c r="M229" s="487" t="str">
        <f t="shared" si="23"/>
        <v/>
      </c>
      <c r="N229" s="479" t="str">
        <f t="shared" si="24"/>
        <v/>
      </c>
      <c r="O229" s="479" t="str">
        <f t="shared" si="25"/>
        <v/>
      </c>
      <c r="P229" s="479">
        <f t="shared" si="26"/>
        <v>9404096.9006234258</v>
      </c>
    </row>
    <row r="230" spans="2:16" s="477" customFormat="1">
      <c r="B230" s="530">
        <v>10015067</v>
      </c>
      <c r="C230" s="489" t="s">
        <v>10</v>
      </c>
      <c r="D230" s="65" t="s">
        <v>79</v>
      </c>
      <c r="E230" s="66" t="s">
        <v>218</v>
      </c>
      <c r="F230" s="492" t="s">
        <v>120</v>
      </c>
      <c r="G230" s="480" t="s">
        <v>387</v>
      </c>
      <c r="H230" s="60">
        <v>7890912.890004375</v>
      </c>
      <c r="I230" s="525">
        <v>43847</v>
      </c>
      <c r="J230" s="481">
        <f t="shared" si="27"/>
        <v>524</v>
      </c>
      <c r="K230" s="479" t="str">
        <f t="shared" si="21"/>
        <v/>
      </c>
      <c r="L230" s="479" t="str">
        <f t="shared" si="22"/>
        <v/>
      </c>
      <c r="M230" s="487" t="str">
        <f t="shared" si="23"/>
        <v/>
      </c>
      <c r="N230" s="479" t="str">
        <f t="shared" si="24"/>
        <v/>
      </c>
      <c r="O230" s="479" t="str">
        <f t="shared" si="25"/>
        <v/>
      </c>
      <c r="P230" s="479">
        <f t="shared" si="26"/>
        <v>7890912.890004375</v>
      </c>
    </row>
    <row r="231" spans="2:16" s="477" customFormat="1">
      <c r="B231" s="530">
        <v>10015067</v>
      </c>
      <c r="C231" s="489" t="s">
        <v>10</v>
      </c>
      <c r="D231" s="65" t="s">
        <v>79</v>
      </c>
      <c r="E231" s="31" t="s">
        <v>219</v>
      </c>
      <c r="F231" s="29" t="s">
        <v>146</v>
      </c>
      <c r="G231" s="480">
        <v>44531</v>
      </c>
      <c r="H231" s="60">
        <v>10608162.742138499</v>
      </c>
      <c r="I231" s="523">
        <v>44251</v>
      </c>
      <c r="J231" s="481">
        <f t="shared" si="27"/>
        <v>120</v>
      </c>
      <c r="K231" s="479" t="str">
        <f t="shared" si="21"/>
        <v/>
      </c>
      <c r="L231" s="479" t="str">
        <f t="shared" si="22"/>
        <v/>
      </c>
      <c r="M231" s="487" t="str">
        <f t="shared" si="23"/>
        <v/>
      </c>
      <c r="N231" s="479">
        <f t="shared" si="24"/>
        <v>10608162.742138499</v>
      </c>
      <c r="O231" s="479" t="str">
        <f t="shared" si="25"/>
        <v/>
      </c>
      <c r="P231" s="479" t="str">
        <f t="shared" si="26"/>
        <v/>
      </c>
    </row>
    <row r="232" spans="2:16" s="477" customFormat="1">
      <c r="B232" s="530">
        <v>10015067</v>
      </c>
      <c r="C232" s="489" t="s">
        <v>10</v>
      </c>
      <c r="D232" s="65" t="s">
        <v>79</v>
      </c>
      <c r="E232" s="31" t="s">
        <v>221</v>
      </c>
      <c r="F232" s="29" t="s">
        <v>80</v>
      </c>
      <c r="G232" s="480" t="s">
        <v>81</v>
      </c>
      <c r="H232" s="60">
        <v>12351615.330804748</v>
      </c>
      <c r="I232" s="523">
        <v>44271</v>
      </c>
      <c r="J232" s="481">
        <f t="shared" si="27"/>
        <v>100</v>
      </c>
      <c r="K232" s="479" t="str">
        <f t="shared" si="21"/>
        <v/>
      </c>
      <c r="L232" s="479" t="str">
        <f t="shared" si="22"/>
        <v/>
      </c>
      <c r="M232" s="487" t="str">
        <f t="shared" si="23"/>
        <v/>
      </c>
      <c r="N232" s="479">
        <f t="shared" si="24"/>
        <v>12351615.330804748</v>
      </c>
      <c r="O232" s="479" t="str">
        <f t="shared" si="25"/>
        <v/>
      </c>
      <c r="P232" s="479" t="str">
        <f t="shared" si="26"/>
        <v/>
      </c>
    </row>
    <row r="233" spans="2:16" s="477" customFormat="1">
      <c r="B233" s="530">
        <v>10015067</v>
      </c>
      <c r="C233" s="489" t="s">
        <v>10</v>
      </c>
      <c r="D233" s="65" t="s">
        <v>79</v>
      </c>
      <c r="E233" s="66" t="s">
        <v>222</v>
      </c>
      <c r="F233" s="492" t="s">
        <v>124</v>
      </c>
      <c r="G233" s="480">
        <v>44472</v>
      </c>
      <c r="H233" s="60">
        <v>21704103.754554376</v>
      </c>
      <c r="I233" s="525">
        <v>44296</v>
      </c>
      <c r="J233" s="481">
        <f t="shared" si="27"/>
        <v>75</v>
      </c>
      <c r="K233" s="479" t="str">
        <f t="shared" si="21"/>
        <v/>
      </c>
      <c r="L233" s="479" t="str">
        <f t="shared" si="22"/>
        <v/>
      </c>
      <c r="M233" s="487">
        <f t="shared" si="23"/>
        <v>21704103.754554376</v>
      </c>
      <c r="N233" s="479" t="str">
        <f t="shared" si="24"/>
        <v/>
      </c>
      <c r="O233" s="479" t="str">
        <f t="shared" si="25"/>
        <v/>
      </c>
      <c r="P233" s="479" t="str">
        <f t="shared" si="26"/>
        <v/>
      </c>
    </row>
    <row r="234" spans="2:16" s="477" customFormat="1">
      <c r="B234" s="530"/>
      <c r="C234" s="489"/>
      <c r="D234" s="65"/>
      <c r="E234" s="31"/>
      <c r="F234" s="29"/>
      <c r="G234" s="480"/>
      <c r="H234" s="60"/>
      <c r="I234" s="523"/>
      <c r="J234" s="481"/>
      <c r="K234" s="479" t="str">
        <f t="shared" si="21"/>
        <v/>
      </c>
      <c r="L234" s="479" t="str">
        <f t="shared" si="22"/>
        <v/>
      </c>
      <c r="M234" s="487" t="str">
        <f t="shared" si="23"/>
        <v/>
      </c>
      <c r="N234" s="479" t="str">
        <f t="shared" si="24"/>
        <v/>
      </c>
      <c r="O234" s="479" t="str">
        <f t="shared" si="25"/>
        <v/>
      </c>
      <c r="P234" s="479" t="str">
        <f t="shared" si="26"/>
        <v/>
      </c>
    </row>
    <row r="235" spans="2:16" s="477" customFormat="1">
      <c r="B235" s="530"/>
      <c r="C235" s="489"/>
      <c r="D235" s="65"/>
      <c r="E235" s="31"/>
      <c r="F235" s="29"/>
      <c r="G235" s="480"/>
      <c r="H235" s="60"/>
      <c r="I235" s="523"/>
      <c r="J235" s="481"/>
      <c r="K235" s="479" t="str">
        <f t="shared" si="21"/>
        <v/>
      </c>
      <c r="L235" s="479" t="str">
        <f t="shared" si="22"/>
        <v/>
      </c>
      <c r="M235" s="487" t="str">
        <f t="shared" si="23"/>
        <v/>
      </c>
      <c r="N235" s="479" t="str">
        <f t="shared" si="24"/>
        <v/>
      </c>
      <c r="O235" s="479" t="str">
        <f t="shared" si="25"/>
        <v/>
      </c>
      <c r="P235" s="479" t="str">
        <f t="shared" si="26"/>
        <v/>
      </c>
    </row>
    <row r="236" spans="2:16" s="477" customFormat="1">
      <c r="B236" s="530"/>
      <c r="C236" s="489"/>
      <c r="D236" s="65"/>
      <c r="E236" s="66"/>
      <c r="F236" s="492"/>
      <c r="G236" s="480"/>
      <c r="H236" s="60"/>
      <c r="I236" s="525"/>
      <c r="J236" s="481"/>
      <c r="K236" s="479" t="str">
        <f t="shared" si="21"/>
        <v/>
      </c>
      <c r="L236" s="479" t="str">
        <f t="shared" si="22"/>
        <v/>
      </c>
      <c r="M236" s="487" t="str">
        <f t="shared" si="23"/>
        <v/>
      </c>
      <c r="N236" s="479" t="str">
        <f t="shared" si="24"/>
        <v/>
      </c>
      <c r="O236" s="479" t="str">
        <f t="shared" si="25"/>
        <v/>
      </c>
      <c r="P236" s="479" t="str">
        <f t="shared" si="26"/>
        <v/>
      </c>
    </row>
    <row r="237" spans="2:16" s="477" customFormat="1">
      <c r="B237" s="530">
        <v>10008692</v>
      </c>
      <c r="C237" s="489" t="s">
        <v>10</v>
      </c>
      <c r="D237" s="65" t="s">
        <v>83</v>
      </c>
      <c r="E237" s="31" t="s">
        <v>221</v>
      </c>
      <c r="F237" s="29" t="s">
        <v>84</v>
      </c>
      <c r="G237" s="480">
        <v>44410</v>
      </c>
      <c r="H237" s="60">
        <v>96654493.463966817</v>
      </c>
      <c r="I237" s="523">
        <v>44278</v>
      </c>
      <c r="J237" s="481">
        <f t="shared" si="27"/>
        <v>93</v>
      </c>
      <c r="K237" s="479" t="str">
        <f t="shared" si="21"/>
        <v/>
      </c>
      <c r="L237" s="479" t="str">
        <f t="shared" si="22"/>
        <v/>
      </c>
      <c r="M237" s="487" t="str">
        <f t="shared" si="23"/>
        <v/>
      </c>
      <c r="N237" s="479">
        <f t="shared" si="24"/>
        <v>96654493.463966817</v>
      </c>
      <c r="O237" s="479" t="str">
        <f t="shared" si="25"/>
        <v/>
      </c>
      <c r="P237" s="479" t="str">
        <f t="shared" si="26"/>
        <v/>
      </c>
    </row>
    <row r="238" spans="2:16" s="477" customFormat="1">
      <c r="B238" s="530">
        <v>10008692</v>
      </c>
      <c r="C238" s="489" t="s">
        <v>10</v>
      </c>
      <c r="D238" s="65" t="s">
        <v>83</v>
      </c>
      <c r="E238" s="31" t="s">
        <v>222</v>
      </c>
      <c r="F238" s="29" t="s">
        <v>286</v>
      </c>
      <c r="G238" s="480">
        <v>44319</v>
      </c>
      <c r="H238" s="60">
        <v>126297866.72227722</v>
      </c>
      <c r="I238" s="523">
        <v>44285</v>
      </c>
      <c r="J238" s="481">
        <f t="shared" si="27"/>
        <v>86</v>
      </c>
      <c r="K238" s="479" t="str">
        <f t="shared" si="21"/>
        <v/>
      </c>
      <c r="L238" s="479" t="str">
        <f t="shared" si="22"/>
        <v/>
      </c>
      <c r="M238" s="487">
        <f t="shared" si="23"/>
        <v>126297866.72227722</v>
      </c>
      <c r="N238" s="479" t="str">
        <f t="shared" si="24"/>
        <v/>
      </c>
      <c r="O238" s="479" t="str">
        <f t="shared" si="25"/>
        <v/>
      </c>
      <c r="P238" s="479" t="str">
        <f t="shared" si="26"/>
        <v/>
      </c>
    </row>
    <row r="239" spans="2:16" s="477" customFormat="1">
      <c r="B239" s="530"/>
      <c r="C239" s="489"/>
      <c r="D239" s="65"/>
      <c r="E239" s="66"/>
      <c r="F239" s="492"/>
      <c r="G239" s="480"/>
      <c r="H239" s="60"/>
      <c r="I239" s="525"/>
      <c r="J239" s="481"/>
      <c r="K239" s="479" t="str">
        <f t="shared" si="21"/>
        <v/>
      </c>
      <c r="L239" s="479" t="str">
        <f t="shared" si="22"/>
        <v/>
      </c>
      <c r="M239" s="487" t="str">
        <f t="shared" si="23"/>
        <v/>
      </c>
      <c r="N239" s="479" t="str">
        <f t="shared" si="24"/>
        <v/>
      </c>
      <c r="O239" s="479" t="str">
        <f t="shared" si="25"/>
        <v/>
      </c>
      <c r="P239" s="479" t="str">
        <f t="shared" si="26"/>
        <v/>
      </c>
    </row>
    <row r="240" spans="2:16" s="477" customFormat="1">
      <c r="B240" s="530"/>
      <c r="C240" s="489"/>
      <c r="D240" s="65"/>
      <c r="E240" s="31"/>
      <c r="F240" s="29"/>
      <c r="G240" s="480"/>
      <c r="H240" s="60"/>
      <c r="I240" s="523"/>
      <c r="J240" s="481"/>
      <c r="K240" s="479" t="str">
        <f t="shared" si="21"/>
        <v/>
      </c>
      <c r="L240" s="479" t="str">
        <f t="shared" si="22"/>
        <v/>
      </c>
      <c r="M240" s="487" t="str">
        <f t="shared" si="23"/>
        <v/>
      </c>
      <c r="N240" s="479" t="str">
        <f t="shared" si="24"/>
        <v/>
      </c>
      <c r="O240" s="479" t="str">
        <f t="shared" si="25"/>
        <v/>
      </c>
      <c r="P240" s="479" t="str">
        <f t="shared" si="26"/>
        <v/>
      </c>
    </row>
    <row r="241" spans="2:16" s="477" customFormat="1">
      <c r="B241" s="530">
        <v>10012836</v>
      </c>
      <c r="C241" s="489" t="s">
        <v>10</v>
      </c>
      <c r="D241" s="65" t="s">
        <v>86</v>
      </c>
      <c r="E241" s="31" t="s">
        <v>221</v>
      </c>
      <c r="F241" s="29" t="s">
        <v>43</v>
      </c>
      <c r="G241" s="480">
        <v>44441</v>
      </c>
      <c r="H241" s="60">
        <v>82735008.602665588</v>
      </c>
      <c r="I241" s="523">
        <v>44250</v>
      </c>
      <c r="J241" s="481">
        <f t="shared" si="27"/>
        <v>121</v>
      </c>
      <c r="K241" s="479" t="str">
        <f t="shared" si="21"/>
        <v/>
      </c>
      <c r="L241" s="479" t="str">
        <f t="shared" si="22"/>
        <v/>
      </c>
      <c r="M241" s="487" t="str">
        <f t="shared" si="23"/>
        <v/>
      </c>
      <c r="N241" s="479">
        <f t="shared" si="24"/>
        <v>82735008.602665588</v>
      </c>
      <c r="O241" s="479" t="str">
        <f t="shared" si="25"/>
        <v/>
      </c>
      <c r="P241" s="479" t="str">
        <f t="shared" si="26"/>
        <v/>
      </c>
    </row>
    <row r="242" spans="2:16" s="477" customFormat="1">
      <c r="B242" s="530">
        <v>10012836</v>
      </c>
      <c r="C242" s="489" t="s">
        <v>10</v>
      </c>
      <c r="D242" s="65" t="s">
        <v>86</v>
      </c>
      <c r="E242" s="66" t="s">
        <v>222</v>
      </c>
      <c r="F242" s="492" t="s">
        <v>540</v>
      </c>
      <c r="G242" s="480">
        <v>44472</v>
      </c>
      <c r="H242" s="60">
        <v>177139631.51225549</v>
      </c>
      <c r="I242" s="525">
        <v>44280</v>
      </c>
      <c r="J242" s="481">
        <f t="shared" si="27"/>
        <v>91</v>
      </c>
      <c r="K242" s="479" t="str">
        <f t="shared" si="21"/>
        <v/>
      </c>
      <c r="L242" s="479" t="str">
        <f t="shared" si="22"/>
        <v/>
      </c>
      <c r="M242" s="487" t="str">
        <f t="shared" si="23"/>
        <v/>
      </c>
      <c r="N242" s="479">
        <f t="shared" si="24"/>
        <v>177139631.51225549</v>
      </c>
      <c r="O242" s="479" t="str">
        <f t="shared" si="25"/>
        <v/>
      </c>
      <c r="P242" s="479" t="str">
        <f t="shared" si="26"/>
        <v/>
      </c>
    </row>
    <row r="243" spans="2:16" s="477" customFormat="1">
      <c r="B243" s="530"/>
      <c r="C243" s="489"/>
      <c r="D243" s="65"/>
      <c r="E243" s="31"/>
      <c r="F243" s="29"/>
      <c r="G243" s="480"/>
      <c r="H243" s="60"/>
      <c r="I243" s="523"/>
      <c r="J243" s="481"/>
      <c r="K243" s="479" t="str">
        <f t="shared" si="21"/>
        <v/>
      </c>
      <c r="L243" s="479" t="str">
        <f t="shared" si="22"/>
        <v/>
      </c>
      <c r="M243" s="487" t="str">
        <f t="shared" si="23"/>
        <v/>
      </c>
      <c r="N243" s="479" t="str">
        <f t="shared" si="24"/>
        <v/>
      </c>
      <c r="O243" s="479" t="str">
        <f t="shared" si="25"/>
        <v/>
      </c>
      <c r="P243" s="479" t="str">
        <f t="shared" si="26"/>
        <v/>
      </c>
    </row>
    <row r="244" spans="2:16" s="477" customFormat="1">
      <c r="B244" s="530"/>
      <c r="C244" s="489"/>
      <c r="D244" s="65"/>
      <c r="E244" s="31"/>
      <c r="F244" s="29"/>
      <c r="G244" s="480"/>
      <c r="H244" s="60"/>
      <c r="I244" s="523"/>
      <c r="J244" s="481"/>
      <c r="K244" s="479" t="str">
        <f t="shared" si="21"/>
        <v/>
      </c>
      <c r="L244" s="479" t="str">
        <f t="shared" si="22"/>
        <v/>
      </c>
      <c r="M244" s="487" t="str">
        <f t="shared" si="23"/>
        <v/>
      </c>
      <c r="N244" s="479" t="str">
        <f t="shared" si="24"/>
        <v/>
      </c>
      <c r="O244" s="479" t="str">
        <f t="shared" si="25"/>
        <v/>
      </c>
      <c r="P244" s="479" t="str">
        <f t="shared" si="26"/>
        <v/>
      </c>
    </row>
    <row r="245" spans="2:16" s="477" customFormat="1">
      <c r="B245" s="530"/>
      <c r="C245" s="489"/>
      <c r="D245" s="65"/>
      <c r="E245" s="66"/>
      <c r="F245" s="492"/>
      <c r="G245" s="480"/>
      <c r="H245" s="60"/>
      <c r="I245" s="525"/>
      <c r="J245" s="481"/>
      <c r="K245" s="479" t="str">
        <f t="shared" si="21"/>
        <v/>
      </c>
      <c r="L245" s="479" t="str">
        <f t="shared" si="22"/>
        <v/>
      </c>
      <c r="M245" s="487" t="str">
        <f t="shared" si="23"/>
        <v/>
      </c>
      <c r="N245" s="479" t="str">
        <f t="shared" si="24"/>
        <v/>
      </c>
      <c r="O245" s="479" t="str">
        <f t="shared" si="25"/>
        <v/>
      </c>
      <c r="P245" s="479" t="str">
        <f t="shared" si="26"/>
        <v/>
      </c>
    </row>
    <row r="246" spans="2:16" s="477" customFormat="1">
      <c r="B246" s="530">
        <v>10000257</v>
      </c>
      <c r="C246" s="489" t="s">
        <v>10</v>
      </c>
      <c r="D246" s="65" t="s">
        <v>87</v>
      </c>
      <c r="E246" s="490" t="s">
        <v>1188</v>
      </c>
      <c r="F246" s="29"/>
      <c r="G246" s="480"/>
      <c r="H246" s="60">
        <v>61326183.672524564</v>
      </c>
      <c r="I246" s="523"/>
      <c r="J246" s="481"/>
      <c r="K246" s="479" t="str">
        <f t="shared" si="21"/>
        <v/>
      </c>
      <c r="L246" s="479" t="str">
        <f t="shared" si="22"/>
        <v/>
      </c>
      <c r="M246" s="487" t="str">
        <f t="shared" si="23"/>
        <v/>
      </c>
      <c r="N246" s="479" t="str">
        <f t="shared" si="24"/>
        <v/>
      </c>
      <c r="O246" s="479" t="str">
        <f t="shared" si="25"/>
        <v/>
      </c>
      <c r="P246" s="479" t="str">
        <f t="shared" si="26"/>
        <v/>
      </c>
    </row>
    <row r="247" spans="2:16" s="477" customFormat="1">
      <c r="B247" s="530"/>
      <c r="C247" s="489"/>
      <c r="D247" s="65"/>
      <c r="E247" s="31"/>
      <c r="F247" s="29"/>
      <c r="G247" s="480"/>
      <c r="H247" s="60"/>
      <c r="I247" s="523"/>
      <c r="J247" s="481"/>
      <c r="K247" s="479" t="str">
        <f t="shared" si="21"/>
        <v/>
      </c>
      <c r="L247" s="479" t="str">
        <f t="shared" si="22"/>
        <v/>
      </c>
      <c r="M247" s="487" t="str">
        <f t="shared" si="23"/>
        <v/>
      </c>
      <c r="N247" s="479" t="str">
        <f t="shared" si="24"/>
        <v/>
      </c>
      <c r="O247" s="479" t="str">
        <f t="shared" si="25"/>
        <v/>
      </c>
      <c r="P247" s="479" t="str">
        <f t="shared" si="26"/>
        <v/>
      </c>
    </row>
    <row r="248" spans="2:16" s="477" customFormat="1">
      <c r="B248" s="530"/>
      <c r="C248" s="489"/>
      <c r="D248" s="65"/>
      <c r="E248" s="66"/>
      <c r="F248" s="492"/>
      <c r="G248" s="480"/>
      <c r="H248" s="60"/>
      <c r="I248" s="525"/>
      <c r="J248" s="481"/>
      <c r="K248" s="479" t="str">
        <f t="shared" si="21"/>
        <v/>
      </c>
      <c r="L248" s="479" t="str">
        <f t="shared" si="22"/>
        <v/>
      </c>
      <c r="M248" s="487" t="str">
        <f t="shared" si="23"/>
        <v/>
      </c>
      <c r="N248" s="479" t="str">
        <f t="shared" si="24"/>
        <v/>
      </c>
      <c r="O248" s="479" t="str">
        <f t="shared" si="25"/>
        <v/>
      </c>
      <c r="P248" s="479" t="str">
        <f t="shared" si="26"/>
        <v/>
      </c>
    </row>
    <row r="249" spans="2:16" s="477" customFormat="1">
      <c r="B249" s="530"/>
      <c r="C249" s="489"/>
      <c r="D249" s="65"/>
      <c r="E249" s="31"/>
      <c r="F249" s="29"/>
      <c r="G249" s="480"/>
      <c r="H249" s="60"/>
      <c r="I249" s="523"/>
      <c r="J249" s="481"/>
      <c r="K249" s="479" t="str">
        <f t="shared" si="21"/>
        <v/>
      </c>
      <c r="L249" s="479" t="str">
        <f t="shared" si="22"/>
        <v/>
      </c>
      <c r="M249" s="487" t="str">
        <f t="shared" si="23"/>
        <v/>
      </c>
      <c r="N249" s="479" t="str">
        <f t="shared" si="24"/>
        <v/>
      </c>
      <c r="O249" s="479" t="str">
        <f t="shared" si="25"/>
        <v/>
      </c>
      <c r="P249" s="479" t="str">
        <f t="shared" si="26"/>
        <v/>
      </c>
    </row>
    <row r="250" spans="2:16" s="477" customFormat="1">
      <c r="B250" s="530">
        <v>40000021</v>
      </c>
      <c r="C250" s="489" t="s">
        <v>10</v>
      </c>
      <c r="D250" s="65" t="s">
        <v>88</v>
      </c>
      <c r="E250" s="31" t="s">
        <v>142</v>
      </c>
      <c r="F250" s="29" t="s">
        <v>1444</v>
      </c>
      <c r="G250" s="480">
        <v>43528</v>
      </c>
      <c r="H250" s="60">
        <v>29812594.284376677</v>
      </c>
      <c r="I250" s="525">
        <f>G250+30</f>
        <v>43558</v>
      </c>
      <c r="J250" s="481">
        <f t="shared" si="27"/>
        <v>813</v>
      </c>
      <c r="K250" s="479" t="str">
        <f t="shared" si="21"/>
        <v/>
      </c>
      <c r="L250" s="479" t="str">
        <f t="shared" si="22"/>
        <v/>
      </c>
      <c r="M250" s="487" t="str">
        <f t="shared" si="23"/>
        <v/>
      </c>
      <c r="N250" s="479" t="str">
        <f t="shared" si="24"/>
        <v/>
      </c>
      <c r="O250" s="479" t="str">
        <f t="shared" si="25"/>
        <v/>
      </c>
      <c r="P250" s="479">
        <f t="shared" si="26"/>
        <v>29812594.284376677</v>
      </c>
    </row>
    <row r="251" spans="2:16" s="477" customFormat="1">
      <c r="B251" s="530">
        <v>40000021</v>
      </c>
      <c r="C251" s="489" t="s">
        <v>10</v>
      </c>
      <c r="D251" s="65" t="s">
        <v>88</v>
      </c>
      <c r="E251" s="66" t="s">
        <v>145</v>
      </c>
      <c r="F251" s="492" t="s">
        <v>1445</v>
      </c>
      <c r="G251" s="480">
        <v>43544</v>
      </c>
      <c r="H251" s="60">
        <f>44956831.8327188-1969105.46</f>
        <v>42987726.372718796</v>
      </c>
      <c r="I251" s="525">
        <v>43574</v>
      </c>
      <c r="J251" s="481">
        <f t="shared" si="27"/>
        <v>797</v>
      </c>
      <c r="K251" s="479" t="str">
        <f t="shared" si="21"/>
        <v/>
      </c>
      <c r="L251" s="479" t="str">
        <f t="shared" si="22"/>
        <v/>
      </c>
      <c r="M251" s="487" t="str">
        <f t="shared" si="23"/>
        <v/>
      </c>
      <c r="N251" s="479" t="str">
        <f t="shared" si="24"/>
        <v/>
      </c>
      <c r="O251" s="479" t="str">
        <f t="shared" si="25"/>
        <v/>
      </c>
      <c r="P251" s="479">
        <f t="shared" si="26"/>
        <v>42987726.372718796</v>
      </c>
    </row>
    <row r="252" spans="2:16" s="477" customFormat="1">
      <c r="B252" s="530"/>
      <c r="C252" s="489"/>
      <c r="D252" s="65"/>
      <c r="E252" s="31"/>
      <c r="F252" s="29"/>
      <c r="G252" s="480"/>
      <c r="H252" s="60"/>
      <c r="I252" s="523"/>
      <c r="J252" s="481"/>
      <c r="K252" s="479" t="str">
        <f t="shared" si="21"/>
        <v/>
      </c>
      <c r="L252" s="479" t="str">
        <f t="shared" si="22"/>
        <v/>
      </c>
      <c r="M252" s="487" t="str">
        <f t="shared" si="23"/>
        <v/>
      </c>
      <c r="N252" s="479" t="str">
        <f t="shared" si="24"/>
        <v/>
      </c>
      <c r="O252" s="479" t="str">
        <f t="shared" si="25"/>
        <v/>
      </c>
      <c r="P252" s="479" t="str">
        <f t="shared" si="26"/>
        <v/>
      </c>
    </row>
    <row r="253" spans="2:16" s="477" customFormat="1">
      <c r="B253" s="530"/>
      <c r="C253" s="489"/>
      <c r="D253" s="65"/>
      <c r="E253" s="31"/>
      <c r="F253" s="29"/>
      <c r="G253" s="480"/>
      <c r="H253" s="60"/>
      <c r="I253" s="523"/>
      <c r="J253" s="481"/>
      <c r="K253" s="479" t="str">
        <f t="shared" si="21"/>
        <v/>
      </c>
      <c r="L253" s="479" t="str">
        <f t="shared" si="22"/>
        <v/>
      </c>
      <c r="M253" s="487" t="str">
        <f t="shared" si="23"/>
        <v/>
      </c>
      <c r="N253" s="479" t="str">
        <f t="shared" si="24"/>
        <v/>
      </c>
      <c r="O253" s="479" t="str">
        <f t="shared" si="25"/>
        <v/>
      </c>
      <c r="P253" s="479" t="str">
        <f t="shared" si="26"/>
        <v/>
      </c>
    </row>
    <row r="254" spans="2:16" s="477" customFormat="1">
      <c r="B254" s="530"/>
      <c r="C254" s="489"/>
      <c r="D254" s="65"/>
      <c r="E254" s="66"/>
      <c r="F254" s="492"/>
      <c r="G254" s="480"/>
      <c r="H254" s="60"/>
      <c r="I254" s="525"/>
      <c r="J254" s="481"/>
      <c r="K254" s="479" t="str">
        <f t="shared" si="21"/>
        <v/>
      </c>
      <c r="L254" s="479" t="str">
        <f t="shared" si="22"/>
        <v/>
      </c>
      <c r="M254" s="487" t="str">
        <f t="shared" si="23"/>
        <v/>
      </c>
      <c r="N254" s="479" t="str">
        <f t="shared" si="24"/>
        <v/>
      </c>
      <c r="O254" s="479" t="str">
        <f t="shared" si="25"/>
        <v/>
      </c>
      <c r="P254" s="479" t="str">
        <f t="shared" si="26"/>
        <v/>
      </c>
    </row>
    <row r="255" spans="2:16" s="477" customFormat="1">
      <c r="B255" s="530">
        <v>10010863</v>
      </c>
      <c r="C255" s="489" t="s">
        <v>10</v>
      </c>
      <c r="D255" s="65" t="s">
        <v>89</v>
      </c>
      <c r="E255" s="31" t="s">
        <v>609</v>
      </c>
      <c r="F255" s="29" t="s">
        <v>359</v>
      </c>
      <c r="G255" s="480">
        <v>42718</v>
      </c>
      <c r="H255" s="60">
        <v>17216306.119999994</v>
      </c>
      <c r="I255" s="523">
        <f>G255+30</f>
        <v>42748</v>
      </c>
      <c r="J255" s="481">
        <f t="shared" si="27"/>
        <v>1623</v>
      </c>
      <c r="K255" s="479" t="str">
        <f t="shared" si="21"/>
        <v/>
      </c>
      <c r="L255" s="479" t="str">
        <f t="shared" si="22"/>
        <v/>
      </c>
      <c r="M255" s="487" t="str">
        <f t="shared" si="23"/>
        <v/>
      </c>
      <c r="N255" s="479" t="str">
        <f t="shared" si="24"/>
        <v/>
      </c>
      <c r="O255" s="479" t="str">
        <f t="shared" si="25"/>
        <v/>
      </c>
      <c r="P255" s="479">
        <f t="shared" si="26"/>
        <v>17216306.119999994</v>
      </c>
    </row>
    <row r="256" spans="2:16" s="477" customFormat="1">
      <c r="B256" s="530">
        <v>10010863</v>
      </c>
      <c r="C256" s="489" t="s">
        <v>10</v>
      </c>
      <c r="D256" s="65" t="s">
        <v>89</v>
      </c>
      <c r="E256" s="31" t="s">
        <v>611</v>
      </c>
      <c r="F256" s="29" t="s">
        <v>202</v>
      </c>
      <c r="G256" s="480">
        <v>42780</v>
      </c>
      <c r="H256" s="60">
        <v>27643435.170000002</v>
      </c>
      <c r="I256" s="523">
        <f t="shared" ref="I256:I268" si="28">G256+30</f>
        <v>42810</v>
      </c>
      <c r="J256" s="481">
        <f t="shared" si="27"/>
        <v>1561</v>
      </c>
      <c r="K256" s="479" t="str">
        <f t="shared" si="21"/>
        <v/>
      </c>
      <c r="L256" s="479" t="str">
        <f t="shared" si="22"/>
        <v/>
      </c>
      <c r="M256" s="487" t="str">
        <f t="shared" si="23"/>
        <v/>
      </c>
      <c r="N256" s="479" t="str">
        <f t="shared" si="24"/>
        <v/>
      </c>
      <c r="O256" s="479" t="str">
        <f t="shared" si="25"/>
        <v/>
      </c>
      <c r="P256" s="479">
        <f t="shared" si="26"/>
        <v>27643435.170000002</v>
      </c>
    </row>
    <row r="257" spans="2:16" s="477" customFormat="1">
      <c r="B257" s="530">
        <v>10010863</v>
      </c>
      <c r="C257" s="489" t="s">
        <v>10</v>
      </c>
      <c r="D257" s="65" t="s">
        <v>89</v>
      </c>
      <c r="E257" s="66" t="s">
        <v>614</v>
      </c>
      <c r="F257" s="492" t="s">
        <v>204</v>
      </c>
      <c r="G257" s="480">
        <v>42781</v>
      </c>
      <c r="H257" s="60">
        <v>27905697.280000001</v>
      </c>
      <c r="I257" s="523">
        <f t="shared" si="28"/>
        <v>42811</v>
      </c>
      <c r="J257" s="481">
        <f t="shared" si="27"/>
        <v>1560</v>
      </c>
      <c r="K257" s="479" t="str">
        <f t="shared" si="21"/>
        <v/>
      </c>
      <c r="L257" s="479" t="str">
        <f t="shared" si="22"/>
        <v/>
      </c>
      <c r="M257" s="487" t="str">
        <f t="shared" si="23"/>
        <v/>
      </c>
      <c r="N257" s="479" t="str">
        <f t="shared" si="24"/>
        <v/>
      </c>
      <c r="O257" s="479" t="str">
        <f t="shared" si="25"/>
        <v/>
      </c>
      <c r="P257" s="479">
        <f t="shared" si="26"/>
        <v>27905697.280000001</v>
      </c>
    </row>
    <row r="258" spans="2:16" s="477" customFormat="1">
      <c r="B258" s="530">
        <v>10010863</v>
      </c>
      <c r="C258" s="489" t="s">
        <v>10</v>
      </c>
      <c r="D258" s="65" t="s">
        <v>89</v>
      </c>
      <c r="E258" s="31" t="s">
        <v>489</v>
      </c>
      <c r="F258" s="29" t="s">
        <v>208</v>
      </c>
      <c r="G258" s="480">
        <v>42817</v>
      </c>
      <c r="H258" s="60">
        <v>18452637.690000001</v>
      </c>
      <c r="I258" s="523">
        <f t="shared" si="28"/>
        <v>42847</v>
      </c>
      <c r="J258" s="481">
        <f t="shared" si="27"/>
        <v>1524</v>
      </c>
      <c r="K258" s="479" t="str">
        <f t="shared" si="21"/>
        <v/>
      </c>
      <c r="L258" s="479" t="str">
        <f t="shared" si="22"/>
        <v/>
      </c>
      <c r="M258" s="487" t="str">
        <f t="shared" si="23"/>
        <v/>
      </c>
      <c r="N258" s="479" t="str">
        <f t="shared" si="24"/>
        <v/>
      </c>
      <c r="O258" s="479" t="str">
        <f t="shared" si="25"/>
        <v/>
      </c>
      <c r="P258" s="479">
        <f t="shared" si="26"/>
        <v>18452637.690000001</v>
      </c>
    </row>
    <row r="259" spans="2:16" s="477" customFormat="1">
      <c r="B259" s="530">
        <v>10010863</v>
      </c>
      <c r="C259" s="489" t="s">
        <v>10</v>
      </c>
      <c r="D259" s="65" t="s">
        <v>89</v>
      </c>
      <c r="E259" s="31" t="s">
        <v>618</v>
      </c>
      <c r="F259" s="29" t="s">
        <v>52</v>
      </c>
      <c r="G259" s="480">
        <v>42851</v>
      </c>
      <c r="H259" s="60">
        <v>19602601.920000002</v>
      </c>
      <c r="I259" s="523">
        <f t="shared" si="28"/>
        <v>42881</v>
      </c>
      <c r="J259" s="481">
        <f t="shared" si="27"/>
        <v>1490</v>
      </c>
      <c r="K259" s="479" t="str">
        <f t="shared" si="21"/>
        <v/>
      </c>
      <c r="L259" s="479" t="str">
        <f t="shared" si="22"/>
        <v/>
      </c>
      <c r="M259" s="487" t="str">
        <f t="shared" si="23"/>
        <v/>
      </c>
      <c r="N259" s="479" t="str">
        <f t="shared" si="24"/>
        <v/>
      </c>
      <c r="O259" s="479" t="str">
        <f t="shared" si="25"/>
        <v/>
      </c>
      <c r="P259" s="479">
        <f t="shared" si="26"/>
        <v>19602601.920000002</v>
      </c>
    </row>
    <row r="260" spans="2:16" s="477" customFormat="1">
      <c r="B260" s="530">
        <v>10010863</v>
      </c>
      <c r="C260" s="489" t="s">
        <v>10</v>
      </c>
      <c r="D260" s="65" t="s">
        <v>89</v>
      </c>
      <c r="E260" s="66" t="s">
        <v>560</v>
      </c>
      <c r="F260" s="492" t="s">
        <v>215</v>
      </c>
      <c r="G260" s="480">
        <v>42874</v>
      </c>
      <c r="H260" s="60">
        <v>18385127.219999999</v>
      </c>
      <c r="I260" s="523">
        <f t="shared" si="28"/>
        <v>42904</v>
      </c>
      <c r="J260" s="481">
        <f t="shared" si="27"/>
        <v>1467</v>
      </c>
      <c r="K260" s="479" t="str">
        <f t="shared" si="21"/>
        <v/>
      </c>
      <c r="L260" s="479" t="str">
        <f t="shared" si="22"/>
        <v/>
      </c>
      <c r="M260" s="487" t="str">
        <f t="shared" si="23"/>
        <v/>
      </c>
      <c r="N260" s="479" t="str">
        <f t="shared" si="24"/>
        <v/>
      </c>
      <c r="O260" s="479" t="str">
        <f t="shared" si="25"/>
        <v/>
      </c>
      <c r="P260" s="479">
        <f t="shared" si="26"/>
        <v>18385127.219999999</v>
      </c>
    </row>
    <row r="261" spans="2:16" s="477" customFormat="1">
      <c r="B261" s="530">
        <v>10010863</v>
      </c>
      <c r="C261" s="489" t="s">
        <v>10</v>
      </c>
      <c r="D261" s="65" t="s">
        <v>89</v>
      </c>
      <c r="E261" s="31" t="s">
        <v>562</v>
      </c>
      <c r="F261" s="29" t="s">
        <v>65</v>
      </c>
      <c r="G261" s="480">
        <v>42899</v>
      </c>
      <c r="H261" s="60">
        <v>19297788.420000002</v>
      </c>
      <c r="I261" s="523">
        <f t="shared" si="28"/>
        <v>42929</v>
      </c>
      <c r="J261" s="481">
        <f t="shared" si="27"/>
        <v>1442</v>
      </c>
      <c r="K261" s="479" t="str">
        <f t="shared" si="21"/>
        <v/>
      </c>
      <c r="L261" s="479" t="str">
        <f t="shared" si="22"/>
        <v/>
      </c>
      <c r="M261" s="487" t="str">
        <f t="shared" si="23"/>
        <v/>
      </c>
      <c r="N261" s="479" t="str">
        <f t="shared" si="24"/>
        <v/>
      </c>
      <c r="O261" s="479" t="str">
        <f t="shared" si="25"/>
        <v/>
      </c>
      <c r="P261" s="479">
        <f t="shared" si="26"/>
        <v>19297788.420000002</v>
      </c>
    </row>
    <row r="262" spans="2:16" s="477" customFormat="1">
      <c r="B262" s="530">
        <v>10010863</v>
      </c>
      <c r="C262" s="489" t="s">
        <v>10</v>
      </c>
      <c r="D262" s="65" t="s">
        <v>89</v>
      </c>
      <c r="E262" s="31" t="s">
        <v>494</v>
      </c>
      <c r="F262" s="29" t="s">
        <v>71</v>
      </c>
      <c r="G262" s="480">
        <v>42957</v>
      </c>
      <c r="H262" s="60">
        <v>17460155.609999999</v>
      </c>
      <c r="I262" s="523">
        <f t="shared" si="28"/>
        <v>42987</v>
      </c>
      <c r="J262" s="481">
        <f t="shared" si="27"/>
        <v>1384</v>
      </c>
      <c r="K262" s="479" t="str">
        <f t="shared" si="21"/>
        <v/>
      </c>
      <c r="L262" s="479" t="str">
        <f t="shared" si="22"/>
        <v/>
      </c>
      <c r="M262" s="487" t="str">
        <f t="shared" si="23"/>
        <v/>
      </c>
      <c r="N262" s="479" t="str">
        <f t="shared" si="24"/>
        <v/>
      </c>
      <c r="O262" s="479" t="str">
        <f t="shared" si="25"/>
        <v/>
      </c>
      <c r="P262" s="479">
        <f t="shared" si="26"/>
        <v>17460155.609999999</v>
      </c>
    </row>
    <row r="263" spans="2:16" s="477" customFormat="1">
      <c r="B263" s="530">
        <v>10010863</v>
      </c>
      <c r="C263" s="489" t="s">
        <v>10</v>
      </c>
      <c r="D263" s="65" t="s">
        <v>89</v>
      </c>
      <c r="E263" s="66" t="s">
        <v>1157</v>
      </c>
      <c r="F263" s="492" t="s">
        <v>26</v>
      </c>
      <c r="G263" s="480">
        <v>42982</v>
      </c>
      <c r="H263" s="60">
        <v>13632088.800000001</v>
      </c>
      <c r="I263" s="523">
        <f t="shared" si="28"/>
        <v>43012</v>
      </c>
      <c r="J263" s="481">
        <f t="shared" si="27"/>
        <v>1359</v>
      </c>
      <c r="K263" s="479" t="str">
        <f t="shared" ref="K263:K326" si="29">IF(AND(J263&gt;=16,J263&lt;=30),H263,"")</f>
        <v/>
      </c>
      <c r="L263" s="479" t="str">
        <f t="shared" ref="L263:L326" si="30">IF(AND(J263&gt;=31,J263&lt;=60),H263,"")</f>
        <v/>
      </c>
      <c r="M263" s="487" t="str">
        <f t="shared" ref="M263:M326" si="31">IF(AND(J263&gt;=61,J263&lt;=90),H263,"")</f>
        <v/>
      </c>
      <c r="N263" s="479" t="str">
        <f t="shared" ref="N263:N326" si="32">IF(AND(J263&gt;=91,J263&lt;=180),H263,"")</f>
        <v/>
      </c>
      <c r="O263" s="479" t="str">
        <f t="shared" ref="O263:O326" si="33">IF(AND(J263&gt;=181,J263&lt;=360),H263,"")</f>
        <v/>
      </c>
      <c r="P263" s="479">
        <f t="shared" ref="P263:P326" si="34">IF(J263&gt;=360,H263,"")</f>
        <v>13632088.800000001</v>
      </c>
    </row>
    <row r="264" spans="2:16" s="477" customFormat="1">
      <c r="B264" s="530">
        <v>10010863</v>
      </c>
      <c r="C264" s="489" t="s">
        <v>10</v>
      </c>
      <c r="D264" s="65" t="s">
        <v>89</v>
      </c>
      <c r="E264" s="31" t="s">
        <v>1209</v>
      </c>
      <c r="F264" s="29" t="s">
        <v>223</v>
      </c>
      <c r="G264" s="480">
        <v>42983</v>
      </c>
      <c r="H264" s="60">
        <v>15725523.26</v>
      </c>
      <c r="I264" s="523">
        <f t="shared" si="28"/>
        <v>43013</v>
      </c>
      <c r="J264" s="481">
        <f t="shared" ref="J264:J327" si="35">DATEDIF(I264,$J$4,"D")</f>
        <v>1358</v>
      </c>
      <c r="K264" s="479" t="str">
        <f t="shared" si="29"/>
        <v/>
      </c>
      <c r="L264" s="479" t="str">
        <f t="shared" si="30"/>
        <v/>
      </c>
      <c r="M264" s="487" t="str">
        <f t="shared" si="31"/>
        <v/>
      </c>
      <c r="N264" s="479" t="str">
        <f t="shared" si="32"/>
        <v/>
      </c>
      <c r="O264" s="479" t="str">
        <f t="shared" si="33"/>
        <v/>
      </c>
      <c r="P264" s="479">
        <f t="shared" si="34"/>
        <v>15725523.26</v>
      </c>
    </row>
    <row r="265" spans="2:16" s="477" customFormat="1">
      <c r="B265" s="530">
        <v>10010863</v>
      </c>
      <c r="C265" s="489" t="s">
        <v>10</v>
      </c>
      <c r="D265" s="65" t="s">
        <v>89</v>
      </c>
      <c r="E265" s="31" t="s">
        <v>1347</v>
      </c>
      <c r="F265" s="29" t="s">
        <v>367</v>
      </c>
      <c r="G265" s="480">
        <v>43032</v>
      </c>
      <c r="H265" s="60">
        <v>10497978.1</v>
      </c>
      <c r="I265" s="523">
        <f t="shared" si="28"/>
        <v>43062</v>
      </c>
      <c r="J265" s="481">
        <f t="shared" si="35"/>
        <v>1309</v>
      </c>
      <c r="K265" s="479" t="str">
        <f t="shared" si="29"/>
        <v/>
      </c>
      <c r="L265" s="479" t="str">
        <f t="shared" si="30"/>
        <v/>
      </c>
      <c r="M265" s="487" t="str">
        <f t="shared" si="31"/>
        <v/>
      </c>
      <c r="N265" s="479" t="str">
        <f t="shared" si="32"/>
        <v/>
      </c>
      <c r="O265" s="479" t="str">
        <f t="shared" si="33"/>
        <v/>
      </c>
      <c r="P265" s="479">
        <f t="shared" si="34"/>
        <v>10497978.1</v>
      </c>
    </row>
    <row r="266" spans="2:16" s="477" customFormat="1">
      <c r="B266" s="530">
        <v>10010863</v>
      </c>
      <c r="C266" s="489" t="s">
        <v>10</v>
      </c>
      <c r="D266" s="65" t="s">
        <v>89</v>
      </c>
      <c r="E266" s="66" t="s">
        <v>500</v>
      </c>
      <c r="F266" s="492" t="s">
        <v>368</v>
      </c>
      <c r="G266" s="480">
        <v>43059</v>
      </c>
      <c r="H266" s="60">
        <v>11604313.09</v>
      </c>
      <c r="I266" s="523">
        <f t="shared" si="28"/>
        <v>43089</v>
      </c>
      <c r="J266" s="481">
        <f t="shared" si="35"/>
        <v>1282</v>
      </c>
      <c r="K266" s="479" t="str">
        <f t="shared" si="29"/>
        <v/>
      </c>
      <c r="L266" s="479" t="str">
        <f t="shared" si="30"/>
        <v/>
      </c>
      <c r="M266" s="487" t="str">
        <f t="shared" si="31"/>
        <v/>
      </c>
      <c r="N266" s="479" t="str">
        <f t="shared" si="32"/>
        <v/>
      </c>
      <c r="O266" s="479" t="str">
        <f t="shared" si="33"/>
        <v/>
      </c>
      <c r="P266" s="479">
        <f t="shared" si="34"/>
        <v>11604313.09</v>
      </c>
    </row>
    <row r="267" spans="2:16" s="477" customFormat="1">
      <c r="B267" s="530">
        <v>10010863</v>
      </c>
      <c r="C267" s="489" t="s">
        <v>10</v>
      </c>
      <c r="D267" s="65" t="s">
        <v>89</v>
      </c>
      <c r="E267" s="31" t="s">
        <v>501</v>
      </c>
      <c r="F267" s="29" t="s">
        <v>370</v>
      </c>
      <c r="G267" s="480">
        <v>43098</v>
      </c>
      <c r="H267" s="60">
        <v>10163243.18</v>
      </c>
      <c r="I267" s="523">
        <f t="shared" si="28"/>
        <v>43128</v>
      </c>
      <c r="J267" s="481">
        <f t="shared" si="35"/>
        <v>1243</v>
      </c>
      <c r="K267" s="479" t="str">
        <f t="shared" si="29"/>
        <v/>
      </c>
      <c r="L267" s="479" t="str">
        <f t="shared" si="30"/>
        <v/>
      </c>
      <c r="M267" s="487" t="str">
        <f t="shared" si="31"/>
        <v/>
      </c>
      <c r="N267" s="479" t="str">
        <f t="shared" si="32"/>
        <v/>
      </c>
      <c r="O267" s="479" t="str">
        <f t="shared" si="33"/>
        <v/>
      </c>
      <c r="P267" s="479">
        <f t="shared" si="34"/>
        <v>10163243.18</v>
      </c>
    </row>
    <row r="268" spans="2:16" s="477" customFormat="1">
      <c r="B268" s="530">
        <v>10010863</v>
      </c>
      <c r="C268" s="489" t="s">
        <v>10</v>
      </c>
      <c r="D268" s="65" t="s">
        <v>89</v>
      </c>
      <c r="E268" s="31" t="s">
        <v>504</v>
      </c>
      <c r="F268" s="29" t="s">
        <v>371</v>
      </c>
      <c r="G268" s="480">
        <v>43130</v>
      </c>
      <c r="H268" s="60">
        <v>1994671.38</v>
      </c>
      <c r="I268" s="523">
        <f t="shared" si="28"/>
        <v>43160</v>
      </c>
      <c r="J268" s="481">
        <f t="shared" si="35"/>
        <v>1211</v>
      </c>
      <c r="K268" s="479" t="str">
        <f t="shared" si="29"/>
        <v/>
      </c>
      <c r="L268" s="479" t="str">
        <f t="shared" si="30"/>
        <v/>
      </c>
      <c r="M268" s="487" t="str">
        <f t="shared" si="31"/>
        <v/>
      </c>
      <c r="N268" s="479" t="str">
        <f t="shared" si="32"/>
        <v/>
      </c>
      <c r="O268" s="479" t="str">
        <f t="shared" si="33"/>
        <v/>
      </c>
      <c r="P268" s="479">
        <f t="shared" si="34"/>
        <v>1994671.38</v>
      </c>
    </row>
    <row r="269" spans="2:16" s="477" customFormat="1">
      <c r="B269" s="530"/>
      <c r="C269" s="489"/>
      <c r="D269" s="65"/>
      <c r="E269" s="66"/>
      <c r="F269" s="492"/>
      <c r="G269" s="480"/>
      <c r="H269" s="60"/>
      <c r="I269" s="525"/>
      <c r="J269" s="481"/>
      <c r="K269" s="479" t="str">
        <f t="shared" si="29"/>
        <v/>
      </c>
      <c r="L269" s="479" t="str">
        <f t="shared" si="30"/>
        <v/>
      </c>
      <c r="M269" s="487" t="str">
        <f t="shared" si="31"/>
        <v/>
      </c>
      <c r="N269" s="479" t="str">
        <f t="shared" si="32"/>
        <v/>
      </c>
      <c r="O269" s="479" t="str">
        <f t="shared" si="33"/>
        <v/>
      </c>
      <c r="P269" s="479" t="str">
        <f t="shared" si="34"/>
        <v/>
      </c>
    </row>
    <row r="270" spans="2:16" s="477" customFormat="1">
      <c r="B270" s="530"/>
      <c r="C270" s="489"/>
      <c r="D270" s="65"/>
      <c r="E270" s="31"/>
      <c r="F270" s="29"/>
      <c r="G270" s="480"/>
      <c r="H270" s="60"/>
      <c r="I270" s="526"/>
      <c r="J270" s="481"/>
      <c r="K270" s="479" t="str">
        <f t="shared" si="29"/>
        <v/>
      </c>
      <c r="L270" s="479" t="str">
        <f t="shared" si="30"/>
        <v/>
      </c>
      <c r="M270" s="487" t="str">
        <f t="shared" si="31"/>
        <v/>
      </c>
      <c r="N270" s="479" t="str">
        <f t="shared" si="32"/>
        <v/>
      </c>
      <c r="O270" s="479" t="str">
        <f t="shared" si="33"/>
        <v/>
      </c>
      <c r="P270" s="479" t="str">
        <f t="shared" si="34"/>
        <v/>
      </c>
    </row>
    <row r="271" spans="2:16" s="477" customFormat="1">
      <c r="B271" s="530"/>
      <c r="C271" s="489"/>
      <c r="D271" s="65"/>
      <c r="E271" s="31"/>
      <c r="F271" s="29"/>
      <c r="G271" s="480"/>
      <c r="H271" s="60"/>
      <c r="I271" s="523"/>
      <c r="J271" s="481"/>
      <c r="K271" s="479" t="str">
        <f t="shared" si="29"/>
        <v/>
      </c>
      <c r="L271" s="479" t="str">
        <f t="shared" si="30"/>
        <v/>
      </c>
      <c r="M271" s="487" t="str">
        <f t="shared" si="31"/>
        <v/>
      </c>
      <c r="N271" s="479" t="str">
        <f t="shared" si="32"/>
        <v/>
      </c>
      <c r="O271" s="479" t="str">
        <f t="shared" si="33"/>
        <v/>
      </c>
      <c r="P271" s="479" t="str">
        <f t="shared" si="34"/>
        <v/>
      </c>
    </row>
    <row r="272" spans="2:16" s="477" customFormat="1">
      <c r="B272" s="530">
        <v>10013008</v>
      </c>
      <c r="C272" s="489" t="s">
        <v>10</v>
      </c>
      <c r="D272" s="65" t="s">
        <v>91</v>
      </c>
      <c r="E272" s="3" t="s">
        <v>136</v>
      </c>
      <c r="F272" s="3"/>
      <c r="G272" s="491"/>
      <c r="H272" s="60">
        <v>18654729.218630828</v>
      </c>
      <c r="I272" s="522"/>
      <c r="J272" s="481"/>
      <c r="K272" s="479" t="str">
        <f t="shared" si="29"/>
        <v/>
      </c>
      <c r="L272" s="479" t="str">
        <f t="shared" si="30"/>
        <v/>
      </c>
      <c r="M272" s="487" t="str">
        <f t="shared" si="31"/>
        <v/>
      </c>
      <c r="N272" s="479" t="str">
        <f t="shared" si="32"/>
        <v/>
      </c>
      <c r="O272" s="479" t="str">
        <f t="shared" si="33"/>
        <v/>
      </c>
      <c r="P272" s="479" t="str">
        <f t="shared" si="34"/>
        <v/>
      </c>
    </row>
    <row r="273" spans="2:16" s="477" customFormat="1">
      <c r="B273" s="530">
        <v>10013008</v>
      </c>
      <c r="C273" s="489" t="s">
        <v>10</v>
      </c>
      <c r="D273" s="65" t="s">
        <v>91</v>
      </c>
      <c r="E273" s="66" t="s">
        <v>221</v>
      </c>
      <c r="F273" s="492" t="s">
        <v>92</v>
      </c>
      <c r="G273" s="480">
        <v>44410</v>
      </c>
      <c r="H273" s="60">
        <v>29328120.166406497</v>
      </c>
      <c r="I273" s="525">
        <v>44250</v>
      </c>
      <c r="J273" s="481">
        <f t="shared" si="35"/>
        <v>121</v>
      </c>
      <c r="K273" s="479" t="str">
        <f t="shared" si="29"/>
        <v/>
      </c>
      <c r="L273" s="479" t="str">
        <f t="shared" si="30"/>
        <v/>
      </c>
      <c r="M273" s="487" t="str">
        <f t="shared" si="31"/>
        <v/>
      </c>
      <c r="N273" s="479">
        <f t="shared" si="32"/>
        <v>29328120.166406497</v>
      </c>
      <c r="O273" s="479" t="str">
        <f t="shared" si="33"/>
        <v/>
      </c>
      <c r="P273" s="479" t="str">
        <f t="shared" si="34"/>
        <v/>
      </c>
    </row>
    <row r="274" spans="2:16" s="477" customFormat="1">
      <c r="B274" s="530">
        <v>10013008</v>
      </c>
      <c r="C274" s="489" t="s">
        <v>10</v>
      </c>
      <c r="D274" s="65" t="s">
        <v>91</v>
      </c>
      <c r="E274" s="31" t="s">
        <v>222</v>
      </c>
      <c r="F274" s="29" t="s">
        <v>63</v>
      </c>
      <c r="G274" s="480">
        <v>44319</v>
      </c>
      <c r="H274" s="60">
        <v>23544229.901308998</v>
      </c>
      <c r="I274" s="523">
        <v>44275</v>
      </c>
      <c r="J274" s="481">
        <f t="shared" si="35"/>
        <v>96</v>
      </c>
      <c r="K274" s="479" t="str">
        <f t="shared" si="29"/>
        <v/>
      </c>
      <c r="L274" s="479" t="str">
        <f t="shared" si="30"/>
        <v/>
      </c>
      <c r="M274" s="487" t="str">
        <f t="shared" si="31"/>
        <v/>
      </c>
      <c r="N274" s="479">
        <f t="shared" si="32"/>
        <v>23544229.901308998</v>
      </c>
      <c r="O274" s="479" t="str">
        <f t="shared" si="33"/>
        <v/>
      </c>
      <c r="P274" s="479" t="str">
        <f t="shared" si="34"/>
        <v/>
      </c>
    </row>
    <row r="275" spans="2:16" s="477" customFormat="1">
      <c r="B275" s="530"/>
      <c r="C275" s="489"/>
      <c r="D275" s="65"/>
      <c r="E275" s="66"/>
      <c r="F275" s="492"/>
      <c r="G275" s="480"/>
      <c r="H275" s="60"/>
      <c r="I275" s="525"/>
      <c r="J275" s="481"/>
      <c r="K275" s="479" t="str">
        <f t="shared" si="29"/>
        <v/>
      </c>
      <c r="L275" s="479" t="str">
        <f t="shared" si="30"/>
        <v/>
      </c>
      <c r="M275" s="487" t="str">
        <f t="shared" si="31"/>
        <v/>
      </c>
      <c r="N275" s="479" t="str">
        <f t="shared" si="32"/>
        <v/>
      </c>
      <c r="O275" s="479" t="str">
        <f t="shared" si="33"/>
        <v/>
      </c>
      <c r="P275" s="479" t="str">
        <f t="shared" si="34"/>
        <v/>
      </c>
    </row>
    <row r="276" spans="2:16" s="477" customFormat="1">
      <c r="B276" s="530"/>
      <c r="C276" s="489"/>
      <c r="D276" s="65"/>
      <c r="E276" s="31"/>
      <c r="F276" s="29"/>
      <c r="G276" s="480"/>
      <c r="H276" s="60"/>
      <c r="I276" s="523"/>
      <c r="J276" s="481"/>
      <c r="K276" s="479" t="str">
        <f t="shared" si="29"/>
        <v/>
      </c>
      <c r="L276" s="479" t="str">
        <f t="shared" si="30"/>
        <v/>
      </c>
      <c r="M276" s="487" t="str">
        <f t="shared" si="31"/>
        <v/>
      </c>
      <c r="N276" s="479" t="str">
        <f t="shared" si="32"/>
        <v/>
      </c>
      <c r="O276" s="479" t="str">
        <f t="shared" si="33"/>
        <v/>
      </c>
      <c r="P276" s="479" t="str">
        <f t="shared" si="34"/>
        <v/>
      </c>
    </row>
    <row r="277" spans="2:16" s="477" customFormat="1">
      <c r="B277" s="530"/>
      <c r="C277" s="489"/>
      <c r="D277" s="65"/>
      <c r="E277" s="31"/>
      <c r="F277" s="29"/>
      <c r="G277" s="480"/>
      <c r="H277" s="60"/>
      <c r="I277" s="523"/>
      <c r="J277" s="481"/>
      <c r="K277" s="479" t="str">
        <f t="shared" si="29"/>
        <v/>
      </c>
      <c r="L277" s="479" t="str">
        <f t="shared" si="30"/>
        <v/>
      </c>
      <c r="M277" s="487" t="str">
        <f t="shared" si="31"/>
        <v/>
      </c>
      <c r="N277" s="479" t="str">
        <f t="shared" si="32"/>
        <v/>
      </c>
      <c r="O277" s="479" t="str">
        <f t="shared" si="33"/>
        <v/>
      </c>
      <c r="P277" s="479" t="str">
        <f t="shared" si="34"/>
        <v/>
      </c>
    </row>
    <row r="278" spans="2:16" s="477" customFormat="1">
      <c r="B278" s="530">
        <v>10000507</v>
      </c>
      <c r="C278" s="489" t="s">
        <v>10</v>
      </c>
      <c r="D278" s="65" t="s">
        <v>95</v>
      </c>
      <c r="E278" s="66" t="s">
        <v>222</v>
      </c>
      <c r="F278" s="492" t="s">
        <v>1500</v>
      </c>
      <c r="G278" s="480">
        <v>44472</v>
      </c>
      <c r="H278" s="60">
        <v>169948339.40855923</v>
      </c>
      <c r="I278" s="525">
        <v>44296</v>
      </c>
      <c r="J278" s="481">
        <f t="shared" si="35"/>
        <v>75</v>
      </c>
      <c r="K278" s="479" t="str">
        <f t="shared" si="29"/>
        <v/>
      </c>
      <c r="L278" s="479" t="str">
        <f t="shared" si="30"/>
        <v/>
      </c>
      <c r="M278" s="487">
        <f t="shared" si="31"/>
        <v>169948339.40855923</v>
      </c>
      <c r="N278" s="479" t="str">
        <f t="shared" si="32"/>
        <v/>
      </c>
      <c r="O278" s="479" t="str">
        <f t="shared" si="33"/>
        <v/>
      </c>
      <c r="P278" s="479" t="str">
        <f t="shared" si="34"/>
        <v/>
      </c>
    </row>
    <row r="279" spans="2:16" s="477" customFormat="1">
      <c r="B279" s="530"/>
      <c r="C279" s="489"/>
      <c r="D279" s="65"/>
      <c r="E279" s="31"/>
      <c r="F279" s="29"/>
      <c r="G279" s="480"/>
      <c r="H279" s="60"/>
      <c r="I279" s="523"/>
      <c r="J279" s="481"/>
      <c r="K279" s="479" t="str">
        <f t="shared" si="29"/>
        <v/>
      </c>
      <c r="L279" s="479" t="str">
        <f t="shared" si="30"/>
        <v/>
      </c>
      <c r="M279" s="487" t="str">
        <f t="shared" si="31"/>
        <v/>
      </c>
      <c r="N279" s="479" t="str">
        <f t="shared" si="32"/>
        <v/>
      </c>
      <c r="O279" s="479" t="str">
        <f t="shared" si="33"/>
        <v/>
      </c>
      <c r="P279" s="479" t="str">
        <f t="shared" si="34"/>
        <v/>
      </c>
    </row>
    <row r="280" spans="2:16" s="477" customFormat="1">
      <c r="B280" s="530"/>
      <c r="C280" s="489"/>
      <c r="D280" s="65"/>
      <c r="E280" s="31"/>
      <c r="F280" s="29"/>
      <c r="G280" s="480"/>
      <c r="H280" s="60"/>
      <c r="I280" s="523"/>
      <c r="J280" s="481"/>
      <c r="K280" s="479" t="str">
        <f t="shared" si="29"/>
        <v/>
      </c>
      <c r="L280" s="479" t="str">
        <f t="shared" si="30"/>
        <v/>
      </c>
      <c r="M280" s="487" t="str">
        <f t="shared" si="31"/>
        <v/>
      </c>
      <c r="N280" s="479" t="str">
        <f t="shared" si="32"/>
        <v/>
      </c>
      <c r="O280" s="479" t="str">
        <f t="shared" si="33"/>
        <v/>
      </c>
      <c r="P280" s="479" t="str">
        <f t="shared" si="34"/>
        <v/>
      </c>
    </row>
    <row r="281" spans="2:16" s="477" customFormat="1">
      <c r="B281" s="530"/>
      <c r="C281" s="489"/>
      <c r="D281" s="65"/>
      <c r="E281" s="66"/>
      <c r="F281" s="492"/>
      <c r="G281" s="480"/>
      <c r="H281" s="60"/>
      <c r="I281" s="525"/>
      <c r="J281" s="481"/>
      <c r="K281" s="479" t="str">
        <f t="shared" si="29"/>
        <v/>
      </c>
      <c r="L281" s="479" t="str">
        <f t="shared" si="30"/>
        <v/>
      </c>
      <c r="M281" s="487" t="str">
        <f t="shared" si="31"/>
        <v/>
      </c>
      <c r="N281" s="479" t="str">
        <f t="shared" si="32"/>
        <v/>
      </c>
      <c r="O281" s="479" t="str">
        <f t="shared" si="33"/>
        <v/>
      </c>
      <c r="P281" s="479" t="str">
        <f t="shared" si="34"/>
        <v/>
      </c>
    </row>
    <row r="282" spans="2:16" s="477" customFormat="1">
      <c r="B282" s="530">
        <v>10015067</v>
      </c>
      <c r="C282" s="489" t="s">
        <v>10</v>
      </c>
      <c r="D282" s="65" t="s">
        <v>96</v>
      </c>
      <c r="E282" s="31" t="s">
        <v>136</v>
      </c>
      <c r="F282" s="29"/>
      <c r="G282" s="480"/>
      <c r="H282" s="60">
        <v>957089.98999999941</v>
      </c>
      <c r="I282" s="523"/>
      <c r="J282" s="481"/>
      <c r="K282" s="479" t="str">
        <f t="shared" si="29"/>
        <v/>
      </c>
      <c r="L282" s="479" t="str">
        <f t="shared" si="30"/>
        <v/>
      </c>
      <c r="M282" s="487" t="str">
        <f t="shared" si="31"/>
        <v/>
      </c>
      <c r="N282" s="479" t="str">
        <f t="shared" si="32"/>
        <v/>
      </c>
      <c r="O282" s="479" t="str">
        <f t="shared" si="33"/>
        <v/>
      </c>
      <c r="P282" s="479" t="str">
        <f t="shared" si="34"/>
        <v/>
      </c>
    </row>
    <row r="283" spans="2:16" s="477" customFormat="1">
      <c r="B283" s="530">
        <v>10015067</v>
      </c>
      <c r="C283" s="489" t="s">
        <v>10</v>
      </c>
      <c r="D283" s="65" t="s">
        <v>96</v>
      </c>
      <c r="E283" s="31" t="s">
        <v>212</v>
      </c>
      <c r="F283" s="29" t="s">
        <v>167</v>
      </c>
      <c r="G283" s="480">
        <v>44084</v>
      </c>
      <c r="H283" s="60">
        <v>663200.15850000002</v>
      </c>
      <c r="I283" s="523">
        <v>44129</v>
      </c>
      <c r="J283" s="481">
        <f t="shared" si="35"/>
        <v>242</v>
      </c>
      <c r="K283" s="479" t="str">
        <f t="shared" si="29"/>
        <v/>
      </c>
      <c r="L283" s="479" t="str">
        <f t="shared" si="30"/>
        <v/>
      </c>
      <c r="M283" s="487" t="str">
        <f t="shared" si="31"/>
        <v/>
      </c>
      <c r="N283" s="479" t="str">
        <f t="shared" si="32"/>
        <v/>
      </c>
      <c r="O283" s="479">
        <f t="shared" si="33"/>
        <v>663200.15850000002</v>
      </c>
      <c r="P283" s="479" t="str">
        <f t="shared" si="34"/>
        <v/>
      </c>
    </row>
    <row r="284" spans="2:16" s="477" customFormat="1">
      <c r="B284" s="530"/>
      <c r="C284" s="489"/>
      <c r="D284" s="65"/>
      <c r="E284" s="66"/>
      <c r="F284" s="492"/>
      <c r="G284" s="480"/>
      <c r="H284" s="60"/>
      <c r="I284" s="525"/>
      <c r="J284" s="481"/>
      <c r="K284" s="479" t="str">
        <f t="shared" si="29"/>
        <v/>
      </c>
      <c r="L284" s="479" t="str">
        <f t="shared" si="30"/>
        <v/>
      </c>
      <c r="M284" s="487" t="str">
        <f t="shared" si="31"/>
        <v/>
      </c>
      <c r="N284" s="479" t="str">
        <f t="shared" si="32"/>
        <v/>
      </c>
      <c r="O284" s="479" t="str">
        <f t="shared" si="33"/>
        <v/>
      </c>
      <c r="P284" s="479" t="str">
        <f t="shared" si="34"/>
        <v/>
      </c>
    </row>
    <row r="285" spans="2:16" s="477" customFormat="1">
      <c r="B285" s="530"/>
      <c r="C285" s="489"/>
      <c r="D285" s="65"/>
      <c r="E285" s="31"/>
      <c r="F285" s="29"/>
      <c r="G285" s="480"/>
      <c r="H285" s="60"/>
      <c r="I285" s="523"/>
      <c r="J285" s="481"/>
      <c r="K285" s="479" t="str">
        <f t="shared" si="29"/>
        <v/>
      </c>
      <c r="L285" s="479" t="str">
        <f t="shared" si="30"/>
        <v/>
      </c>
      <c r="M285" s="487" t="str">
        <f t="shared" si="31"/>
        <v/>
      </c>
      <c r="N285" s="479" t="str">
        <f t="shared" si="32"/>
        <v/>
      </c>
      <c r="O285" s="479" t="str">
        <f t="shared" si="33"/>
        <v/>
      </c>
      <c r="P285" s="479" t="str">
        <f t="shared" si="34"/>
        <v/>
      </c>
    </row>
    <row r="286" spans="2:16" s="477" customFormat="1">
      <c r="B286" s="530"/>
      <c r="C286" s="489"/>
      <c r="D286" s="65"/>
      <c r="E286" s="31"/>
      <c r="F286" s="29"/>
      <c r="G286" s="480"/>
      <c r="H286" s="60"/>
      <c r="I286" s="523"/>
      <c r="J286" s="481"/>
      <c r="K286" s="479" t="str">
        <f t="shared" si="29"/>
        <v/>
      </c>
      <c r="L286" s="479" t="str">
        <f t="shared" si="30"/>
        <v/>
      </c>
      <c r="M286" s="487" t="str">
        <f t="shared" si="31"/>
        <v/>
      </c>
      <c r="N286" s="479" t="str">
        <f t="shared" si="32"/>
        <v/>
      </c>
      <c r="O286" s="479" t="str">
        <f t="shared" si="33"/>
        <v/>
      </c>
      <c r="P286" s="479" t="str">
        <f t="shared" si="34"/>
        <v/>
      </c>
    </row>
    <row r="287" spans="2:16" s="477" customFormat="1">
      <c r="B287" s="530">
        <v>10012384</v>
      </c>
      <c r="C287" s="489" t="s">
        <v>10</v>
      </c>
      <c r="D287" s="65" t="s">
        <v>98</v>
      </c>
      <c r="E287" s="66" t="s">
        <v>136</v>
      </c>
      <c r="F287" s="492"/>
      <c r="G287" s="480"/>
      <c r="H287" s="60">
        <v>13971585.277287439</v>
      </c>
      <c r="I287" s="525"/>
      <c r="J287" s="481"/>
      <c r="K287" s="479" t="str">
        <f t="shared" si="29"/>
        <v/>
      </c>
      <c r="L287" s="479" t="str">
        <f t="shared" si="30"/>
        <v/>
      </c>
      <c r="M287" s="487" t="str">
        <f t="shared" si="31"/>
        <v/>
      </c>
      <c r="N287" s="479" t="str">
        <f t="shared" si="32"/>
        <v/>
      </c>
      <c r="O287" s="479" t="str">
        <f t="shared" si="33"/>
        <v/>
      </c>
      <c r="P287" s="479" t="str">
        <f t="shared" si="34"/>
        <v/>
      </c>
    </row>
    <row r="288" spans="2:16" s="477" customFormat="1">
      <c r="B288" s="530">
        <v>10012384</v>
      </c>
      <c r="C288" s="489" t="s">
        <v>10</v>
      </c>
      <c r="D288" s="65" t="s">
        <v>98</v>
      </c>
      <c r="E288" s="31" t="s">
        <v>222</v>
      </c>
      <c r="F288" s="29" t="s">
        <v>528</v>
      </c>
      <c r="G288" s="480">
        <v>44411</v>
      </c>
      <c r="H288" s="60">
        <v>62170612.404910147</v>
      </c>
      <c r="I288" s="523">
        <v>44278</v>
      </c>
      <c r="J288" s="481">
        <f t="shared" si="35"/>
        <v>93</v>
      </c>
      <c r="K288" s="479" t="str">
        <f t="shared" si="29"/>
        <v/>
      </c>
      <c r="L288" s="479" t="str">
        <f t="shared" si="30"/>
        <v/>
      </c>
      <c r="M288" s="487" t="str">
        <f t="shared" si="31"/>
        <v/>
      </c>
      <c r="N288" s="479">
        <f t="shared" si="32"/>
        <v>62170612.404910147</v>
      </c>
      <c r="O288" s="479" t="str">
        <f t="shared" si="33"/>
        <v/>
      </c>
      <c r="P288" s="479" t="str">
        <f t="shared" si="34"/>
        <v/>
      </c>
    </row>
    <row r="289" spans="2:16" s="477" customFormat="1">
      <c r="B289" s="530"/>
      <c r="C289" s="489"/>
      <c r="D289" s="65"/>
      <c r="E289" s="31"/>
      <c r="F289" s="29"/>
      <c r="G289" s="480"/>
      <c r="H289" s="60"/>
      <c r="I289" s="523"/>
      <c r="J289" s="481"/>
      <c r="K289" s="479" t="str">
        <f t="shared" si="29"/>
        <v/>
      </c>
      <c r="L289" s="479" t="str">
        <f t="shared" si="30"/>
        <v/>
      </c>
      <c r="M289" s="487" t="str">
        <f t="shared" si="31"/>
        <v/>
      </c>
      <c r="N289" s="479" t="str">
        <f t="shared" si="32"/>
        <v/>
      </c>
      <c r="O289" s="479" t="str">
        <f t="shared" si="33"/>
        <v/>
      </c>
      <c r="P289" s="479" t="str">
        <f t="shared" si="34"/>
        <v/>
      </c>
    </row>
    <row r="290" spans="2:16" s="477" customFormat="1">
      <c r="B290" s="530"/>
      <c r="C290" s="489"/>
      <c r="D290" s="65"/>
      <c r="E290" s="66"/>
      <c r="F290" s="492"/>
      <c r="G290" s="480"/>
      <c r="H290" s="60"/>
      <c r="I290" s="525"/>
      <c r="J290" s="481"/>
      <c r="K290" s="479" t="str">
        <f t="shared" si="29"/>
        <v/>
      </c>
      <c r="L290" s="479" t="str">
        <f t="shared" si="30"/>
        <v/>
      </c>
      <c r="M290" s="487" t="str">
        <f t="shared" si="31"/>
        <v/>
      </c>
      <c r="N290" s="479" t="str">
        <f t="shared" si="32"/>
        <v/>
      </c>
      <c r="O290" s="479" t="str">
        <f t="shared" si="33"/>
        <v/>
      </c>
      <c r="P290" s="479" t="str">
        <f t="shared" si="34"/>
        <v/>
      </c>
    </row>
    <row r="291" spans="2:16" s="477" customFormat="1">
      <c r="B291" s="530">
        <v>10000265</v>
      </c>
      <c r="C291" s="489" t="s">
        <v>10</v>
      </c>
      <c r="D291" s="65" t="s">
        <v>99</v>
      </c>
      <c r="E291" s="31" t="s">
        <v>136</v>
      </c>
      <c r="F291" s="29"/>
      <c r="G291" s="480"/>
      <c r="H291" s="60">
        <v>806933.12584703416</v>
      </c>
      <c r="I291" s="523"/>
      <c r="J291" s="481"/>
      <c r="K291" s="479" t="str">
        <f t="shared" si="29"/>
        <v/>
      </c>
      <c r="L291" s="479" t="str">
        <f t="shared" si="30"/>
        <v/>
      </c>
      <c r="M291" s="487" t="str">
        <f t="shared" si="31"/>
        <v/>
      </c>
      <c r="N291" s="479" t="str">
        <f t="shared" si="32"/>
        <v/>
      </c>
      <c r="O291" s="479" t="str">
        <f t="shared" si="33"/>
        <v/>
      </c>
      <c r="P291" s="479" t="str">
        <f t="shared" si="34"/>
        <v/>
      </c>
    </row>
    <row r="292" spans="2:16" s="477" customFormat="1">
      <c r="B292" s="530">
        <v>10000265</v>
      </c>
      <c r="C292" s="489" t="s">
        <v>10</v>
      </c>
      <c r="D292" s="65" t="s">
        <v>99</v>
      </c>
      <c r="E292" s="31" t="s">
        <v>199</v>
      </c>
      <c r="F292" s="29" t="s">
        <v>74</v>
      </c>
      <c r="G292" s="480">
        <v>44049</v>
      </c>
      <c r="H292" s="60">
        <v>2918392.3403816</v>
      </c>
      <c r="I292" s="523">
        <v>43897</v>
      </c>
      <c r="J292" s="481">
        <f t="shared" si="35"/>
        <v>474</v>
      </c>
      <c r="K292" s="479" t="str">
        <f t="shared" si="29"/>
        <v/>
      </c>
      <c r="L292" s="479" t="str">
        <f t="shared" si="30"/>
        <v/>
      </c>
      <c r="M292" s="487" t="str">
        <f t="shared" si="31"/>
        <v/>
      </c>
      <c r="N292" s="479" t="str">
        <f t="shared" si="32"/>
        <v/>
      </c>
      <c r="O292" s="479" t="str">
        <f t="shared" si="33"/>
        <v/>
      </c>
      <c r="P292" s="479">
        <f t="shared" si="34"/>
        <v>2918392.3403816</v>
      </c>
    </row>
    <row r="293" spans="2:16" s="477" customFormat="1">
      <c r="B293" s="530"/>
      <c r="C293" s="489"/>
      <c r="D293" s="65"/>
      <c r="E293" s="66"/>
      <c r="F293" s="492"/>
      <c r="G293" s="480"/>
      <c r="H293" s="60"/>
      <c r="I293" s="525"/>
      <c r="J293" s="481"/>
      <c r="K293" s="479" t="str">
        <f t="shared" si="29"/>
        <v/>
      </c>
      <c r="L293" s="479" t="str">
        <f t="shared" si="30"/>
        <v/>
      </c>
      <c r="M293" s="487" t="str">
        <f t="shared" si="31"/>
        <v/>
      </c>
      <c r="N293" s="479" t="str">
        <f t="shared" si="32"/>
        <v/>
      </c>
      <c r="O293" s="479" t="str">
        <f t="shared" si="33"/>
        <v/>
      </c>
      <c r="P293" s="479" t="str">
        <f t="shared" si="34"/>
        <v/>
      </c>
    </row>
    <row r="294" spans="2:16" s="477" customFormat="1">
      <c r="B294" s="530"/>
      <c r="C294" s="489"/>
      <c r="D294" s="65"/>
      <c r="E294" s="31"/>
      <c r="F294" s="29"/>
      <c r="G294" s="480"/>
      <c r="H294" s="60"/>
      <c r="I294" s="523"/>
      <c r="J294" s="481"/>
      <c r="K294" s="479" t="str">
        <f t="shared" si="29"/>
        <v/>
      </c>
      <c r="L294" s="479" t="str">
        <f t="shared" si="30"/>
        <v/>
      </c>
      <c r="M294" s="487" t="str">
        <f t="shared" si="31"/>
        <v/>
      </c>
      <c r="N294" s="479" t="str">
        <f t="shared" si="32"/>
        <v/>
      </c>
      <c r="O294" s="479" t="str">
        <f t="shared" si="33"/>
        <v/>
      </c>
      <c r="P294" s="479" t="str">
        <f t="shared" si="34"/>
        <v/>
      </c>
    </row>
    <row r="295" spans="2:16" s="477" customFormat="1">
      <c r="B295" s="530"/>
      <c r="C295" s="489"/>
      <c r="D295" s="65"/>
      <c r="E295" s="31"/>
      <c r="F295" s="29"/>
      <c r="G295" s="480"/>
      <c r="H295" s="60"/>
      <c r="I295" s="523"/>
      <c r="J295" s="481"/>
      <c r="K295" s="479" t="str">
        <f t="shared" si="29"/>
        <v/>
      </c>
      <c r="L295" s="479" t="str">
        <f t="shared" si="30"/>
        <v/>
      </c>
      <c r="M295" s="487" t="str">
        <f t="shared" si="31"/>
        <v/>
      </c>
      <c r="N295" s="479" t="str">
        <f t="shared" si="32"/>
        <v/>
      </c>
      <c r="O295" s="479" t="str">
        <f t="shared" si="33"/>
        <v/>
      </c>
      <c r="P295" s="479" t="str">
        <f t="shared" si="34"/>
        <v/>
      </c>
    </row>
    <row r="296" spans="2:16" s="477" customFormat="1">
      <c r="B296" s="530">
        <v>10012644</v>
      </c>
      <c r="C296" s="489" t="s">
        <v>10</v>
      </c>
      <c r="D296" s="65" t="s">
        <v>100</v>
      </c>
      <c r="E296" s="66" t="s">
        <v>219</v>
      </c>
      <c r="F296" s="492" t="s">
        <v>386</v>
      </c>
      <c r="G296" s="480">
        <v>44409</v>
      </c>
      <c r="H296" s="60">
        <v>92037040.168728501</v>
      </c>
      <c r="I296" s="525">
        <v>44219</v>
      </c>
      <c r="J296" s="481">
        <f t="shared" si="35"/>
        <v>152</v>
      </c>
      <c r="K296" s="479" t="str">
        <f t="shared" si="29"/>
        <v/>
      </c>
      <c r="L296" s="479" t="str">
        <f t="shared" si="30"/>
        <v/>
      </c>
      <c r="M296" s="487" t="str">
        <f t="shared" si="31"/>
        <v/>
      </c>
      <c r="N296" s="479">
        <f t="shared" si="32"/>
        <v>92037040.168728501</v>
      </c>
      <c r="O296" s="479" t="str">
        <f t="shared" si="33"/>
        <v/>
      </c>
      <c r="P296" s="479" t="str">
        <f t="shared" si="34"/>
        <v/>
      </c>
    </row>
    <row r="297" spans="2:16" s="477" customFormat="1">
      <c r="B297" s="530"/>
      <c r="C297" s="489"/>
      <c r="D297" s="65"/>
      <c r="E297" s="66" t="s">
        <v>221</v>
      </c>
      <c r="F297" s="492" t="s">
        <v>388</v>
      </c>
      <c r="G297" s="480">
        <v>44441</v>
      </c>
      <c r="H297" s="60">
        <v>388393932.37698895</v>
      </c>
      <c r="I297" s="525">
        <v>44250</v>
      </c>
      <c r="J297" s="481">
        <f t="shared" si="35"/>
        <v>121</v>
      </c>
      <c r="K297" s="479" t="str">
        <f t="shared" si="29"/>
        <v/>
      </c>
      <c r="L297" s="479" t="str">
        <f t="shared" si="30"/>
        <v/>
      </c>
      <c r="M297" s="487" t="str">
        <f t="shared" si="31"/>
        <v/>
      </c>
      <c r="N297" s="479">
        <f t="shared" si="32"/>
        <v>388393932.37698895</v>
      </c>
      <c r="O297" s="479" t="str">
        <f t="shared" si="33"/>
        <v/>
      </c>
      <c r="P297" s="479" t="str">
        <f t="shared" si="34"/>
        <v/>
      </c>
    </row>
    <row r="298" spans="2:16" s="477" customFormat="1">
      <c r="B298" s="530"/>
      <c r="C298" s="489"/>
      <c r="D298" s="65"/>
      <c r="E298" s="66" t="s">
        <v>222</v>
      </c>
      <c r="F298" s="492" t="s">
        <v>388</v>
      </c>
      <c r="G298" s="480">
        <v>44319</v>
      </c>
      <c r="H298" s="60">
        <v>319349434.80928952</v>
      </c>
      <c r="I298" s="525">
        <v>44275</v>
      </c>
      <c r="J298" s="481">
        <f t="shared" si="35"/>
        <v>96</v>
      </c>
      <c r="K298" s="479" t="str">
        <f t="shared" si="29"/>
        <v/>
      </c>
      <c r="L298" s="479" t="str">
        <f t="shared" si="30"/>
        <v/>
      </c>
      <c r="M298" s="487" t="str">
        <f t="shared" si="31"/>
        <v/>
      </c>
      <c r="N298" s="479">
        <f t="shared" si="32"/>
        <v>319349434.80928952</v>
      </c>
      <c r="O298" s="479" t="str">
        <f t="shared" si="33"/>
        <v/>
      </c>
      <c r="P298" s="479" t="str">
        <f t="shared" si="34"/>
        <v/>
      </c>
    </row>
    <row r="299" spans="2:16" s="477" customFormat="1">
      <c r="B299" s="530"/>
      <c r="C299" s="489"/>
      <c r="D299" s="65"/>
      <c r="E299" s="66"/>
      <c r="F299" s="492"/>
      <c r="G299" s="480"/>
      <c r="H299" s="60"/>
      <c r="I299" s="525"/>
      <c r="J299" s="481"/>
      <c r="K299" s="479" t="str">
        <f t="shared" si="29"/>
        <v/>
      </c>
      <c r="L299" s="479" t="str">
        <f t="shared" si="30"/>
        <v/>
      </c>
      <c r="M299" s="487" t="str">
        <f t="shared" si="31"/>
        <v/>
      </c>
      <c r="N299" s="479" t="str">
        <f t="shared" si="32"/>
        <v/>
      </c>
      <c r="O299" s="479" t="str">
        <f t="shared" si="33"/>
        <v/>
      </c>
      <c r="P299" s="479" t="str">
        <f t="shared" si="34"/>
        <v/>
      </c>
    </row>
    <row r="300" spans="2:16" s="477" customFormat="1">
      <c r="B300" s="530"/>
      <c r="C300" s="489"/>
      <c r="D300" s="65"/>
      <c r="E300" s="66"/>
      <c r="F300" s="492"/>
      <c r="G300" s="480"/>
      <c r="H300" s="60"/>
      <c r="I300" s="525"/>
      <c r="J300" s="481"/>
      <c r="K300" s="479" t="str">
        <f t="shared" si="29"/>
        <v/>
      </c>
      <c r="L300" s="479" t="str">
        <f t="shared" si="30"/>
        <v/>
      </c>
      <c r="M300" s="487" t="str">
        <f t="shared" si="31"/>
        <v/>
      </c>
      <c r="N300" s="479" t="str">
        <f t="shared" si="32"/>
        <v/>
      </c>
      <c r="O300" s="479" t="str">
        <f t="shared" si="33"/>
        <v/>
      </c>
      <c r="P300" s="479" t="str">
        <f t="shared" si="34"/>
        <v/>
      </c>
    </row>
    <row r="301" spans="2:16" s="477" customFormat="1">
      <c r="B301" s="530"/>
      <c r="C301" s="489"/>
      <c r="D301" s="65"/>
      <c r="E301" s="31"/>
      <c r="F301" s="29"/>
      <c r="G301" s="480"/>
      <c r="H301" s="60"/>
      <c r="I301" s="523"/>
      <c r="J301" s="481"/>
      <c r="K301" s="479" t="str">
        <f t="shared" si="29"/>
        <v/>
      </c>
      <c r="L301" s="479" t="str">
        <f t="shared" si="30"/>
        <v/>
      </c>
      <c r="M301" s="487" t="str">
        <f t="shared" si="31"/>
        <v/>
      </c>
      <c r="N301" s="479" t="str">
        <f t="shared" si="32"/>
        <v/>
      </c>
      <c r="O301" s="479" t="str">
        <f t="shared" si="33"/>
        <v/>
      </c>
      <c r="P301" s="479" t="str">
        <f t="shared" si="34"/>
        <v/>
      </c>
    </row>
    <row r="302" spans="2:16" s="477" customFormat="1">
      <c r="B302" s="530"/>
      <c r="C302" s="489"/>
      <c r="D302" s="65"/>
      <c r="E302" s="31"/>
      <c r="F302" s="29"/>
      <c r="G302" s="480"/>
      <c r="H302" s="60"/>
      <c r="I302" s="523"/>
      <c r="J302" s="481"/>
      <c r="K302" s="479" t="str">
        <f t="shared" si="29"/>
        <v/>
      </c>
      <c r="L302" s="479" t="str">
        <f t="shared" si="30"/>
        <v/>
      </c>
      <c r="M302" s="487" t="str">
        <f t="shared" si="31"/>
        <v/>
      </c>
      <c r="N302" s="479" t="str">
        <f t="shared" si="32"/>
        <v/>
      </c>
      <c r="O302" s="479" t="str">
        <f t="shared" si="33"/>
        <v/>
      </c>
      <c r="P302" s="479" t="str">
        <f t="shared" si="34"/>
        <v/>
      </c>
    </row>
    <row r="303" spans="2:16" s="477" customFormat="1">
      <c r="B303" s="530">
        <v>10010717</v>
      </c>
      <c r="C303" s="489" t="s">
        <v>10</v>
      </c>
      <c r="D303" s="65" t="s">
        <v>104</v>
      </c>
      <c r="E303" s="66" t="s">
        <v>136</v>
      </c>
      <c r="F303" s="492"/>
      <c r="G303" s="480"/>
      <c r="H303" s="60">
        <v>18602903.810000002</v>
      </c>
      <c r="I303" s="525"/>
      <c r="J303" s="481"/>
      <c r="K303" s="479" t="str">
        <f t="shared" si="29"/>
        <v/>
      </c>
      <c r="L303" s="479" t="str">
        <f t="shared" si="30"/>
        <v/>
      </c>
      <c r="M303" s="487" t="str">
        <f t="shared" si="31"/>
        <v/>
      </c>
      <c r="N303" s="479" t="str">
        <f t="shared" si="32"/>
        <v/>
      </c>
      <c r="O303" s="479" t="str">
        <f t="shared" si="33"/>
        <v/>
      </c>
      <c r="P303" s="479" t="str">
        <f t="shared" si="34"/>
        <v/>
      </c>
    </row>
    <row r="304" spans="2:16" s="477" customFormat="1">
      <c r="B304" s="530"/>
      <c r="C304" s="489"/>
      <c r="D304" s="65"/>
      <c r="E304" s="31"/>
      <c r="F304" s="29"/>
      <c r="G304" s="480"/>
      <c r="H304" s="60"/>
      <c r="I304" s="523"/>
      <c r="J304" s="481"/>
      <c r="K304" s="479" t="str">
        <f t="shared" si="29"/>
        <v/>
      </c>
      <c r="L304" s="479" t="str">
        <f t="shared" si="30"/>
        <v/>
      </c>
      <c r="M304" s="487" t="str">
        <f t="shared" si="31"/>
        <v/>
      </c>
      <c r="N304" s="479" t="str">
        <f t="shared" si="32"/>
        <v/>
      </c>
      <c r="O304" s="479" t="str">
        <f t="shared" si="33"/>
        <v/>
      </c>
      <c r="P304" s="479" t="str">
        <f t="shared" si="34"/>
        <v/>
      </c>
    </row>
    <row r="305" spans="2:16" s="477" customFormat="1">
      <c r="B305" s="530"/>
      <c r="C305" s="489"/>
      <c r="D305" s="65"/>
      <c r="E305" s="31"/>
      <c r="F305" s="29"/>
      <c r="G305" s="480"/>
      <c r="H305" s="60"/>
      <c r="I305" s="523"/>
      <c r="J305" s="481"/>
      <c r="K305" s="479" t="str">
        <f t="shared" si="29"/>
        <v/>
      </c>
      <c r="L305" s="479" t="str">
        <f t="shared" si="30"/>
        <v/>
      </c>
      <c r="M305" s="487" t="str">
        <f t="shared" si="31"/>
        <v/>
      </c>
      <c r="N305" s="479" t="str">
        <f t="shared" si="32"/>
        <v/>
      </c>
      <c r="O305" s="479" t="str">
        <f t="shared" si="33"/>
        <v/>
      </c>
      <c r="P305" s="479" t="str">
        <f t="shared" si="34"/>
        <v/>
      </c>
    </row>
    <row r="306" spans="2:16" s="477" customFormat="1">
      <c r="B306" s="530">
        <v>10014784</v>
      </c>
      <c r="C306" s="489" t="s">
        <v>10</v>
      </c>
      <c r="D306" s="65" t="s">
        <v>105</v>
      </c>
      <c r="E306" s="66" t="s">
        <v>212</v>
      </c>
      <c r="F306" s="492" t="s">
        <v>167</v>
      </c>
      <c r="G306" s="480">
        <v>44084</v>
      </c>
      <c r="H306" s="60">
        <v>401552.37543725001</v>
      </c>
      <c r="I306" s="525">
        <v>44129</v>
      </c>
      <c r="J306" s="481">
        <f t="shared" si="35"/>
        <v>242</v>
      </c>
      <c r="K306" s="479" t="str">
        <f t="shared" si="29"/>
        <v/>
      </c>
      <c r="L306" s="479" t="str">
        <f t="shared" si="30"/>
        <v/>
      </c>
      <c r="M306" s="487" t="str">
        <f t="shared" si="31"/>
        <v/>
      </c>
      <c r="N306" s="479" t="str">
        <f t="shared" si="32"/>
        <v/>
      </c>
      <c r="O306" s="479">
        <f t="shared" si="33"/>
        <v>401552.37543725001</v>
      </c>
      <c r="P306" s="479" t="str">
        <f t="shared" si="34"/>
        <v/>
      </c>
    </row>
    <row r="307" spans="2:16" s="477" customFormat="1">
      <c r="B307" s="530"/>
      <c r="C307" s="489"/>
      <c r="D307" s="65"/>
      <c r="E307" s="31"/>
      <c r="F307" s="29"/>
      <c r="G307" s="480"/>
      <c r="H307" s="60"/>
      <c r="I307" s="525"/>
      <c r="J307" s="481"/>
      <c r="K307" s="479" t="str">
        <f t="shared" si="29"/>
        <v/>
      </c>
      <c r="L307" s="479" t="str">
        <f t="shared" si="30"/>
        <v/>
      </c>
      <c r="M307" s="487" t="str">
        <f t="shared" si="31"/>
        <v/>
      </c>
      <c r="N307" s="479" t="str">
        <f t="shared" si="32"/>
        <v/>
      </c>
      <c r="O307" s="479" t="str">
        <f t="shared" si="33"/>
        <v/>
      </c>
      <c r="P307" s="479" t="str">
        <f t="shared" si="34"/>
        <v/>
      </c>
    </row>
    <row r="308" spans="2:16" s="477" customFormat="1">
      <c r="B308" s="530"/>
      <c r="C308" s="489"/>
      <c r="D308" s="65"/>
      <c r="E308" s="31"/>
      <c r="F308" s="29"/>
      <c r="G308" s="480"/>
      <c r="H308" s="60"/>
      <c r="I308" s="525"/>
      <c r="J308" s="481"/>
      <c r="K308" s="479" t="str">
        <f t="shared" si="29"/>
        <v/>
      </c>
      <c r="L308" s="479" t="str">
        <f t="shared" si="30"/>
        <v/>
      </c>
      <c r="M308" s="487" t="str">
        <f t="shared" si="31"/>
        <v/>
      </c>
      <c r="N308" s="479" t="str">
        <f t="shared" si="32"/>
        <v/>
      </c>
      <c r="O308" s="479" t="str">
        <f t="shared" si="33"/>
        <v/>
      </c>
      <c r="P308" s="479" t="str">
        <f t="shared" si="34"/>
        <v/>
      </c>
    </row>
    <row r="309" spans="2:16" s="477" customFormat="1">
      <c r="B309" s="530"/>
      <c r="C309" s="489"/>
      <c r="D309" s="65"/>
      <c r="E309" s="66"/>
      <c r="F309" s="492"/>
      <c r="G309" s="480"/>
      <c r="H309" s="60"/>
      <c r="I309" s="525"/>
      <c r="J309" s="481"/>
      <c r="K309" s="479" t="str">
        <f t="shared" si="29"/>
        <v/>
      </c>
      <c r="L309" s="479" t="str">
        <f t="shared" si="30"/>
        <v/>
      </c>
      <c r="M309" s="487" t="str">
        <f t="shared" si="31"/>
        <v/>
      </c>
      <c r="N309" s="479" t="str">
        <f t="shared" si="32"/>
        <v/>
      </c>
      <c r="O309" s="479" t="str">
        <f t="shared" si="33"/>
        <v/>
      </c>
      <c r="P309" s="479" t="str">
        <f t="shared" si="34"/>
        <v/>
      </c>
    </row>
    <row r="310" spans="2:16" s="477" customFormat="1">
      <c r="B310" s="530">
        <v>10010190</v>
      </c>
      <c r="C310" s="489" t="s">
        <v>10</v>
      </c>
      <c r="D310" s="65" t="s">
        <v>108</v>
      </c>
      <c r="E310" s="31" t="s">
        <v>145</v>
      </c>
      <c r="F310" s="29" t="s">
        <v>540</v>
      </c>
      <c r="G310" s="480"/>
      <c r="H310" s="60">
        <v>72854.102697599985</v>
      </c>
      <c r="I310" s="521">
        <v>43521</v>
      </c>
      <c r="J310" s="481">
        <f t="shared" si="35"/>
        <v>850</v>
      </c>
      <c r="K310" s="479" t="str">
        <f t="shared" si="29"/>
        <v/>
      </c>
      <c r="L310" s="479" t="str">
        <f t="shared" si="30"/>
        <v/>
      </c>
      <c r="M310" s="487" t="str">
        <f t="shared" si="31"/>
        <v/>
      </c>
      <c r="N310" s="479" t="str">
        <f t="shared" si="32"/>
        <v/>
      </c>
      <c r="O310" s="479" t="str">
        <f t="shared" si="33"/>
        <v/>
      </c>
      <c r="P310" s="479">
        <f t="shared" si="34"/>
        <v>72854.102697599985</v>
      </c>
    </row>
    <row r="311" spans="2:16" s="477" customFormat="1">
      <c r="B311" s="530">
        <v>10010190</v>
      </c>
      <c r="C311" s="489" t="s">
        <v>10</v>
      </c>
      <c r="D311" s="65" t="s">
        <v>108</v>
      </c>
      <c r="E311" s="31" t="s">
        <v>148</v>
      </c>
      <c r="F311" s="29" t="s">
        <v>542</v>
      </c>
      <c r="G311" s="480"/>
      <c r="H311" s="60">
        <v>2185135.9820837379</v>
      </c>
      <c r="I311" s="521">
        <v>43549</v>
      </c>
      <c r="J311" s="481">
        <f t="shared" si="35"/>
        <v>822</v>
      </c>
      <c r="K311" s="479" t="str">
        <f t="shared" si="29"/>
        <v/>
      </c>
      <c r="L311" s="479" t="str">
        <f t="shared" si="30"/>
        <v/>
      </c>
      <c r="M311" s="487" t="str">
        <f t="shared" si="31"/>
        <v/>
      </c>
      <c r="N311" s="479" t="str">
        <f t="shared" si="32"/>
        <v/>
      </c>
      <c r="O311" s="479" t="str">
        <f t="shared" si="33"/>
        <v/>
      </c>
      <c r="P311" s="479">
        <f t="shared" si="34"/>
        <v>2185135.9820837379</v>
      </c>
    </row>
    <row r="312" spans="2:16" s="477" customFormat="1">
      <c r="B312" s="530"/>
      <c r="C312" s="489"/>
      <c r="D312" s="65"/>
      <c r="E312" s="66"/>
      <c r="F312" s="492"/>
      <c r="G312" s="480"/>
      <c r="H312" s="60"/>
      <c r="I312" s="525"/>
      <c r="J312" s="481"/>
      <c r="K312" s="479" t="str">
        <f t="shared" si="29"/>
        <v/>
      </c>
      <c r="L312" s="479" t="str">
        <f t="shared" si="30"/>
        <v/>
      </c>
      <c r="M312" s="487" t="str">
        <f t="shared" si="31"/>
        <v/>
      </c>
      <c r="N312" s="479" t="str">
        <f t="shared" si="32"/>
        <v/>
      </c>
      <c r="O312" s="479" t="str">
        <f t="shared" si="33"/>
        <v/>
      </c>
      <c r="P312" s="479" t="str">
        <f t="shared" si="34"/>
        <v/>
      </c>
    </row>
    <row r="313" spans="2:16" s="477" customFormat="1">
      <c r="B313" s="530"/>
      <c r="C313" s="489"/>
      <c r="D313" s="65"/>
      <c r="E313" s="31"/>
      <c r="F313" s="29"/>
      <c r="G313" s="480"/>
      <c r="H313" s="60"/>
      <c r="I313" s="525"/>
      <c r="J313" s="481"/>
      <c r="K313" s="479" t="str">
        <f t="shared" si="29"/>
        <v/>
      </c>
      <c r="L313" s="479" t="str">
        <f t="shared" si="30"/>
        <v/>
      </c>
      <c r="M313" s="487" t="str">
        <f t="shared" si="31"/>
        <v/>
      </c>
      <c r="N313" s="479" t="str">
        <f t="shared" si="32"/>
        <v/>
      </c>
      <c r="O313" s="479" t="str">
        <f t="shared" si="33"/>
        <v/>
      </c>
      <c r="P313" s="479" t="str">
        <f t="shared" si="34"/>
        <v/>
      </c>
    </row>
    <row r="314" spans="2:16" s="477" customFormat="1">
      <c r="B314" s="530"/>
      <c r="C314" s="489"/>
      <c r="D314" s="65"/>
      <c r="E314" s="31"/>
      <c r="F314" s="29"/>
      <c r="G314" s="480"/>
      <c r="H314" s="60"/>
      <c r="I314" s="523"/>
      <c r="J314" s="481"/>
      <c r="K314" s="479" t="str">
        <f t="shared" si="29"/>
        <v/>
      </c>
      <c r="L314" s="479" t="str">
        <f t="shared" si="30"/>
        <v/>
      </c>
      <c r="M314" s="487" t="str">
        <f t="shared" si="31"/>
        <v/>
      </c>
      <c r="N314" s="479" t="str">
        <f t="shared" si="32"/>
        <v/>
      </c>
      <c r="O314" s="479" t="str">
        <f t="shared" si="33"/>
        <v/>
      </c>
      <c r="P314" s="479" t="str">
        <f t="shared" si="34"/>
        <v/>
      </c>
    </row>
    <row r="315" spans="2:16" s="477" customFormat="1">
      <c r="B315" s="530">
        <v>10015115</v>
      </c>
      <c r="C315" s="489" t="s">
        <v>10</v>
      </c>
      <c r="D315" s="65" t="s">
        <v>109</v>
      </c>
      <c r="E315" s="66" t="s">
        <v>221</v>
      </c>
      <c r="F315" s="492" t="s">
        <v>1589</v>
      </c>
      <c r="G315" s="480" t="s">
        <v>47</v>
      </c>
      <c r="H315" s="60">
        <v>22505.553204749995</v>
      </c>
      <c r="I315" s="525">
        <v>44253</v>
      </c>
      <c r="J315" s="481">
        <f t="shared" si="35"/>
        <v>118</v>
      </c>
      <c r="K315" s="479" t="str">
        <f t="shared" si="29"/>
        <v/>
      </c>
      <c r="L315" s="479" t="str">
        <f t="shared" si="30"/>
        <v/>
      </c>
      <c r="M315" s="487" t="str">
        <f t="shared" si="31"/>
        <v/>
      </c>
      <c r="N315" s="479">
        <f t="shared" si="32"/>
        <v>22505.553204749995</v>
      </c>
      <c r="O315" s="479" t="str">
        <f t="shared" si="33"/>
        <v/>
      </c>
      <c r="P315" s="479" t="str">
        <f t="shared" si="34"/>
        <v/>
      </c>
    </row>
    <row r="316" spans="2:16" s="477" customFormat="1">
      <c r="B316" s="530">
        <v>10015115</v>
      </c>
      <c r="C316" s="59" t="s">
        <v>10</v>
      </c>
      <c r="D316" s="65" t="s">
        <v>109</v>
      </c>
      <c r="E316" s="31" t="s">
        <v>222</v>
      </c>
      <c r="F316" s="29" t="s">
        <v>120</v>
      </c>
      <c r="G316" s="480">
        <v>44472</v>
      </c>
      <c r="H316" s="60">
        <v>86097.007336724986</v>
      </c>
      <c r="I316" s="525">
        <v>44280</v>
      </c>
      <c r="J316" s="481">
        <f t="shared" si="35"/>
        <v>91</v>
      </c>
      <c r="K316" s="479" t="str">
        <f t="shared" si="29"/>
        <v/>
      </c>
      <c r="L316" s="479" t="str">
        <f t="shared" si="30"/>
        <v/>
      </c>
      <c r="M316" s="487" t="str">
        <f t="shared" si="31"/>
        <v/>
      </c>
      <c r="N316" s="479">
        <f t="shared" si="32"/>
        <v>86097.007336724986</v>
      </c>
      <c r="O316" s="479" t="str">
        <f t="shared" si="33"/>
        <v/>
      </c>
      <c r="P316" s="479" t="str">
        <f t="shared" si="34"/>
        <v/>
      </c>
    </row>
    <row r="317" spans="2:16" s="477" customFormat="1">
      <c r="B317" s="530"/>
      <c r="C317" s="489"/>
      <c r="D317" s="65"/>
      <c r="E317" s="31"/>
      <c r="F317" s="29"/>
      <c r="G317" s="480"/>
      <c r="H317" s="60"/>
      <c r="I317" s="523"/>
      <c r="J317" s="481"/>
      <c r="K317" s="479" t="str">
        <f t="shared" si="29"/>
        <v/>
      </c>
      <c r="L317" s="479" t="str">
        <f t="shared" si="30"/>
        <v/>
      </c>
      <c r="M317" s="487" t="str">
        <f t="shared" si="31"/>
        <v/>
      </c>
      <c r="N317" s="479" t="str">
        <f t="shared" si="32"/>
        <v/>
      </c>
      <c r="O317" s="479" t="str">
        <f t="shared" si="33"/>
        <v/>
      </c>
      <c r="P317" s="479" t="str">
        <f t="shared" si="34"/>
        <v/>
      </c>
    </row>
    <row r="318" spans="2:16" s="477" customFormat="1">
      <c r="B318" s="530"/>
      <c r="C318" s="489"/>
      <c r="D318" s="65"/>
      <c r="E318" s="66"/>
      <c r="F318" s="492"/>
      <c r="G318" s="480"/>
      <c r="H318" s="60"/>
      <c r="I318" s="525"/>
      <c r="J318" s="481"/>
      <c r="K318" s="479" t="str">
        <f t="shared" si="29"/>
        <v/>
      </c>
      <c r="L318" s="479" t="str">
        <f t="shared" si="30"/>
        <v/>
      </c>
      <c r="M318" s="487" t="str">
        <f t="shared" si="31"/>
        <v/>
      </c>
      <c r="N318" s="479" t="str">
        <f t="shared" si="32"/>
        <v/>
      </c>
      <c r="O318" s="479" t="str">
        <f t="shared" si="33"/>
        <v/>
      </c>
      <c r="P318" s="479" t="str">
        <f t="shared" si="34"/>
        <v/>
      </c>
    </row>
    <row r="319" spans="2:16" s="477" customFormat="1">
      <c r="B319" s="530"/>
      <c r="C319" s="489"/>
      <c r="D319" s="65"/>
      <c r="E319" s="31"/>
      <c r="F319" s="29"/>
      <c r="G319" s="480"/>
      <c r="H319" s="60"/>
      <c r="I319" s="525"/>
      <c r="J319" s="481"/>
      <c r="K319" s="479" t="str">
        <f t="shared" si="29"/>
        <v/>
      </c>
      <c r="L319" s="479" t="str">
        <f t="shared" si="30"/>
        <v/>
      </c>
      <c r="M319" s="487" t="str">
        <f t="shared" si="31"/>
        <v/>
      </c>
      <c r="N319" s="479" t="str">
        <f t="shared" si="32"/>
        <v/>
      </c>
      <c r="O319" s="479" t="str">
        <f t="shared" si="33"/>
        <v/>
      </c>
      <c r="P319" s="479" t="str">
        <f t="shared" si="34"/>
        <v/>
      </c>
    </row>
    <row r="320" spans="2:16" s="477" customFormat="1">
      <c r="B320" s="530">
        <v>10014785</v>
      </c>
      <c r="C320" s="489" t="s">
        <v>10</v>
      </c>
      <c r="D320" s="65" t="s">
        <v>110</v>
      </c>
      <c r="E320" s="31" t="s">
        <v>136</v>
      </c>
      <c r="F320" s="29"/>
      <c r="G320" s="480"/>
      <c r="H320" s="60">
        <v>444583.56060113199</v>
      </c>
      <c r="I320" s="523"/>
      <c r="J320" s="481"/>
      <c r="K320" s="479" t="str">
        <f t="shared" si="29"/>
        <v/>
      </c>
      <c r="L320" s="479" t="str">
        <f t="shared" si="30"/>
        <v/>
      </c>
      <c r="M320" s="487" t="str">
        <f t="shared" si="31"/>
        <v/>
      </c>
      <c r="N320" s="479" t="str">
        <f t="shared" si="32"/>
        <v/>
      </c>
      <c r="O320" s="479" t="str">
        <f t="shared" si="33"/>
        <v/>
      </c>
      <c r="P320" s="479" t="str">
        <f t="shared" si="34"/>
        <v/>
      </c>
    </row>
    <row r="321" spans="2:16" s="477" customFormat="1">
      <c r="B321" s="530">
        <v>10014785</v>
      </c>
      <c r="C321" s="489" t="s">
        <v>10</v>
      </c>
      <c r="D321" s="65" t="s">
        <v>110</v>
      </c>
      <c r="E321" s="66" t="s">
        <v>221</v>
      </c>
      <c r="F321" s="492" t="s">
        <v>111</v>
      </c>
      <c r="G321" s="480">
        <v>44441</v>
      </c>
      <c r="H321" s="60">
        <v>29764345.063274421</v>
      </c>
      <c r="I321" s="525">
        <v>44250</v>
      </c>
      <c r="J321" s="481">
        <f t="shared" si="35"/>
        <v>121</v>
      </c>
      <c r="K321" s="479" t="str">
        <f t="shared" si="29"/>
        <v/>
      </c>
      <c r="L321" s="479" t="str">
        <f t="shared" si="30"/>
        <v/>
      </c>
      <c r="M321" s="487" t="str">
        <f t="shared" si="31"/>
        <v/>
      </c>
      <c r="N321" s="479">
        <f t="shared" si="32"/>
        <v>29764345.063274421</v>
      </c>
      <c r="O321" s="479" t="str">
        <f t="shared" si="33"/>
        <v/>
      </c>
      <c r="P321" s="479" t="str">
        <f t="shared" si="34"/>
        <v/>
      </c>
    </row>
    <row r="322" spans="2:16" s="477" customFormat="1">
      <c r="B322" s="530">
        <v>10014785</v>
      </c>
      <c r="C322" s="489" t="s">
        <v>10</v>
      </c>
      <c r="D322" s="65" t="s">
        <v>110</v>
      </c>
      <c r="E322" s="31" t="s">
        <v>222</v>
      </c>
      <c r="F322" s="29" t="s">
        <v>182</v>
      </c>
      <c r="G322" s="480">
        <v>44411</v>
      </c>
      <c r="H322" s="60">
        <v>33379782.909519445</v>
      </c>
      <c r="I322" s="525">
        <v>44278</v>
      </c>
      <c r="J322" s="481">
        <f t="shared" si="35"/>
        <v>93</v>
      </c>
      <c r="K322" s="479" t="str">
        <f t="shared" si="29"/>
        <v/>
      </c>
      <c r="L322" s="479" t="str">
        <f t="shared" si="30"/>
        <v/>
      </c>
      <c r="M322" s="487" t="str">
        <f t="shared" si="31"/>
        <v/>
      </c>
      <c r="N322" s="479">
        <f t="shared" si="32"/>
        <v>33379782.909519445</v>
      </c>
      <c r="O322" s="479" t="str">
        <f t="shared" si="33"/>
        <v/>
      </c>
      <c r="P322" s="479" t="str">
        <f t="shared" si="34"/>
        <v/>
      </c>
    </row>
    <row r="323" spans="2:16" s="477" customFormat="1">
      <c r="B323" s="530"/>
      <c r="C323" s="489"/>
      <c r="D323" s="65"/>
      <c r="E323" s="31"/>
      <c r="F323" s="29"/>
      <c r="G323" s="480"/>
      <c r="H323" s="60"/>
      <c r="I323" s="523"/>
      <c r="J323" s="481"/>
      <c r="K323" s="479" t="str">
        <f t="shared" si="29"/>
        <v/>
      </c>
      <c r="L323" s="479" t="str">
        <f t="shared" si="30"/>
        <v/>
      </c>
      <c r="M323" s="487" t="str">
        <f t="shared" si="31"/>
        <v/>
      </c>
      <c r="N323" s="479" t="str">
        <f t="shared" si="32"/>
        <v/>
      </c>
      <c r="O323" s="479" t="str">
        <f t="shared" si="33"/>
        <v/>
      </c>
      <c r="P323" s="479" t="str">
        <f t="shared" si="34"/>
        <v/>
      </c>
    </row>
    <row r="324" spans="2:16" s="477" customFormat="1">
      <c r="B324" s="530"/>
      <c r="C324" s="489"/>
      <c r="D324" s="65"/>
      <c r="E324" s="31"/>
      <c r="F324" s="29"/>
      <c r="G324" s="480"/>
      <c r="H324" s="60"/>
      <c r="I324" s="523"/>
      <c r="J324" s="481"/>
      <c r="K324" s="479" t="str">
        <f t="shared" si="29"/>
        <v/>
      </c>
      <c r="L324" s="479" t="str">
        <f t="shared" si="30"/>
        <v/>
      </c>
      <c r="M324" s="487" t="str">
        <f t="shared" si="31"/>
        <v/>
      </c>
      <c r="N324" s="479" t="str">
        <f t="shared" si="32"/>
        <v/>
      </c>
      <c r="O324" s="479" t="str">
        <f t="shared" si="33"/>
        <v/>
      </c>
      <c r="P324" s="479" t="str">
        <f t="shared" si="34"/>
        <v/>
      </c>
    </row>
    <row r="325" spans="2:16" s="477" customFormat="1">
      <c r="B325" s="530"/>
      <c r="C325" s="489"/>
      <c r="D325" s="65"/>
      <c r="E325" s="66"/>
      <c r="F325" s="492"/>
      <c r="G325" s="480"/>
      <c r="H325" s="60"/>
      <c r="I325" s="525"/>
      <c r="J325" s="481"/>
      <c r="K325" s="479" t="str">
        <f t="shared" si="29"/>
        <v/>
      </c>
      <c r="L325" s="479" t="str">
        <f t="shared" si="30"/>
        <v/>
      </c>
      <c r="M325" s="487" t="str">
        <f t="shared" si="31"/>
        <v/>
      </c>
      <c r="N325" s="479" t="str">
        <f t="shared" si="32"/>
        <v/>
      </c>
      <c r="O325" s="479" t="str">
        <f t="shared" si="33"/>
        <v/>
      </c>
      <c r="P325" s="479" t="str">
        <f t="shared" si="34"/>
        <v/>
      </c>
    </row>
    <row r="326" spans="2:16" s="477" customFormat="1">
      <c r="B326" s="530">
        <v>10011035</v>
      </c>
      <c r="C326" s="489" t="s">
        <v>10</v>
      </c>
      <c r="D326" s="65" t="s">
        <v>112</v>
      </c>
      <c r="E326" s="31" t="s">
        <v>136</v>
      </c>
      <c r="F326" s="29"/>
      <c r="G326" s="480"/>
      <c r="H326" s="60">
        <v>9688985.0858814418</v>
      </c>
      <c r="I326" s="525"/>
      <c r="J326" s="481"/>
      <c r="K326" s="479" t="str">
        <f t="shared" si="29"/>
        <v/>
      </c>
      <c r="L326" s="479" t="str">
        <f t="shared" si="30"/>
        <v/>
      </c>
      <c r="M326" s="487" t="str">
        <f t="shared" si="31"/>
        <v/>
      </c>
      <c r="N326" s="479" t="str">
        <f t="shared" si="32"/>
        <v/>
      </c>
      <c r="O326" s="479" t="str">
        <f t="shared" si="33"/>
        <v/>
      </c>
      <c r="P326" s="479" t="str">
        <f t="shared" si="34"/>
        <v/>
      </c>
    </row>
    <row r="327" spans="2:16" s="477" customFormat="1">
      <c r="B327" s="530">
        <v>10011035</v>
      </c>
      <c r="C327" s="489" t="s">
        <v>10</v>
      </c>
      <c r="D327" s="65" t="s">
        <v>112</v>
      </c>
      <c r="E327" s="31" t="s">
        <v>221</v>
      </c>
      <c r="F327" s="29" t="s">
        <v>113</v>
      </c>
      <c r="G327" s="480">
        <v>44441</v>
      </c>
      <c r="H327" s="60">
        <v>934587045.35113955</v>
      </c>
      <c r="I327" s="523">
        <v>44250</v>
      </c>
      <c r="J327" s="481">
        <f t="shared" si="35"/>
        <v>121</v>
      </c>
      <c r="K327" s="479" t="str">
        <f t="shared" ref="K327:K390" si="36">IF(AND(J327&gt;=16,J327&lt;=30),H327,"")</f>
        <v/>
      </c>
      <c r="L327" s="479" t="str">
        <f t="shared" ref="L327:L390" si="37">IF(AND(J327&gt;=31,J327&lt;=60),H327,"")</f>
        <v/>
      </c>
      <c r="M327" s="487" t="str">
        <f t="shared" ref="M327:M390" si="38">IF(AND(J327&gt;=61,J327&lt;=90),H327,"")</f>
        <v/>
      </c>
      <c r="N327" s="479">
        <f t="shared" ref="N327:N390" si="39">IF(AND(J327&gt;=91,J327&lt;=180),H327,"")</f>
        <v>934587045.35113955</v>
      </c>
      <c r="O327" s="479" t="str">
        <f t="shared" ref="O327:O390" si="40">IF(AND(J327&gt;=181,J327&lt;=360),H327,"")</f>
        <v/>
      </c>
      <c r="P327" s="479" t="str">
        <f t="shared" ref="P327:P390" si="41">IF(J327&gt;=360,H327,"")</f>
        <v/>
      </c>
    </row>
    <row r="328" spans="2:16" s="477" customFormat="1">
      <c r="B328" s="530">
        <v>10011035</v>
      </c>
      <c r="C328" s="489" t="s">
        <v>10</v>
      </c>
      <c r="D328" s="65" t="s">
        <v>112</v>
      </c>
      <c r="E328" s="66" t="s">
        <v>222</v>
      </c>
      <c r="F328" s="492" t="s">
        <v>229</v>
      </c>
      <c r="G328" s="480">
        <v>44319</v>
      </c>
      <c r="H328" s="60">
        <v>764818986.51309192</v>
      </c>
      <c r="I328" s="525">
        <v>44275</v>
      </c>
      <c r="J328" s="481">
        <f t="shared" ref="J328:J391" si="42">DATEDIF(I328,$J$4,"D")</f>
        <v>96</v>
      </c>
      <c r="K328" s="479" t="str">
        <f t="shared" si="36"/>
        <v/>
      </c>
      <c r="L328" s="479" t="str">
        <f t="shared" si="37"/>
        <v/>
      </c>
      <c r="M328" s="487" t="str">
        <f t="shared" si="38"/>
        <v/>
      </c>
      <c r="N328" s="479">
        <f t="shared" si="39"/>
        <v>764818986.51309192</v>
      </c>
      <c r="O328" s="479" t="str">
        <f t="shared" si="40"/>
        <v/>
      </c>
      <c r="P328" s="479" t="str">
        <f t="shared" si="41"/>
        <v/>
      </c>
    </row>
    <row r="329" spans="2:16" s="477" customFormat="1">
      <c r="B329" s="530"/>
      <c r="C329" s="489"/>
      <c r="D329" s="65"/>
      <c r="E329" s="31"/>
      <c r="F329" s="29"/>
      <c r="G329" s="480"/>
      <c r="H329" s="60"/>
      <c r="I329" s="525"/>
      <c r="J329" s="481"/>
      <c r="K329" s="479" t="str">
        <f t="shared" si="36"/>
        <v/>
      </c>
      <c r="L329" s="479" t="str">
        <f t="shared" si="37"/>
        <v/>
      </c>
      <c r="M329" s="487" t="str">
        <f t="shared" si="38"/>
        <v/>
      </c>
      <c r="N329" s="479" t="str">
        <f t="shared" si="39"/>
        <v/>
      </c>
      <c r="O329" s="479" t="str">
        <f t="shared" si="40"/>
        <v/>
      </c>
      <c r="P329" s="479" t="str">
        <f t="shared" si="41"/>
        <v/>
      </c>
    </row>
    <row r="330" spans="2:16" s="477" customFormat="1">
      <c r="B330" s="530"/>
      <c r="C330" s="489"/>
      <c r="D330" s="65"/>
      <c r="E330" s="31"/>
      <c r="F330" s="29"/>
      <c r="G330" s="480"/>
      <c r="H330" s="60"/>
      <c r="I330" s="523"/>
      <c r="J330" s="481"/>
      <c r="K330" s="479" t="str">
        <f t="shared" si="36"/>
        <v/>
      </c>
      <c r="L330" s="479" t="str">
        <f t="shared" si="37"/>
        <v/>
      </c>
      <c r="M330" s="487" t="str">
        <f t="shared" si="38"/>
        <v/>
      </c>
      <c r="N330" s="479" t="str">
        <f t="shared" si="39"/>
        <v/>
      </c>
      <c r="O330" s="479" t="str">
        <f t="shared" si="40"/>
        <v/>
      </c>
      <c r="P330" s="479" t="str">
        <f t="shared" si="41"/>
        <v/>
      </c>
    </row>
    <row r="331" spans="2:16" s="477" customFormat="1">
      <c r="B331" s="530"/>
      <c r="C331" s="489"/>
      <c r="D331" s="65"/>
      <c r="E331" s="66"/>
      <c r="F331" s="492"/>
      <c r="G331" s="480"/>
      <c r="H331" s="60"/>
      <c r="I331" s="525"/>
      <c r="J331" s="481"/>
      <c r="K331" s="479" t="str">
        <f t="shared" si="36"/>
        <v/>
      </c>
      <c r="L331" s="479" t="str">
        <f t="shared" si="37"/>
        <v/>
      </c>
      <c r="M331" s="487" t="str">
        <f t="shared" si="38"/>
        <v/>
      </c>
      <c r="N331" s="479" t="str">
        <f t="shared" si="39"/>
        <v/>
      </c>
      <c r="O331" s="479" t="str">
        <f t="shared" si="40"/>
        <v/>
      </c>
      <c r="P331" s="479" t="str">
        <f t="shared" si="41"/>
        <v/>
      </c>
    </row>
    <row r="332" spans="2:16" s="477" customFormat="1">
      <c r="B332" s="530">
        <v>10008607</v>
      </c>
      <c r="C332" s="489" t="s">
        <v>10</v>
      </c>
      <c r="D332" s="65" t="s">
        <v>114</v>
      </c>
      <c r="E332" s="31" t="s">
        <v>136</v>
      </c>
      <c r="F332" s="29"/>
      <c r="G332" s="480"/>
      <c r="H332" s="60">
        <v>958961888.1536026</v>
      </c>
      <c r="I332" s="525"/>
      <c r="J332" s="481"/>
      <c r="K332" s="479" t="str">
        <f t="shared" si="36"/>
        <v/>
      </c>
      <c r="L332" s="479" t="str">
        <f t="shared" si="37"/>
        <v/>
      </c>
      <c r="M332" s="487" t="str">
        <f t="shared" si="38"/>
        <v/>
      </c>
      <c r="N332" s="479" t="str">
        <f t="shared" si="39"/>
        <v/>
      </c>
      <c r="O332" s="479" t="str">
        <f t="shared" si="40"/>
        <v/>
      </c>
      <c r="P332" s="479" t="str">
        <f t="shared" si="41"/>
        <v/>
      </c>
    </row>
    <row r="333" spans="2:16" s="477" customFormat="1">
      <c r="B333" s="530">
        <v>10008607</v>
      </c>
      <c r="C333" s="489" t="s">
        <v>10</v>
      </c>
      <c r="D333" s="65" t="s">
        <v>114</v>
      </c>
      <c r="E333" s="31" t="s">
        <v>250</v>
      </c>
      <c r="F333" s="29" t="s">
        <v>229</v>
      </c>
      <c r="G333" s="480"/>
      <c r="H333" s="60">
        <v>65697936.009999998</v>
      </c>
      <c r="I333" s="523">
        <v>43485</v>
      </c>
      <c r="J333" s="481">
        <f t="shared" si="42"/>
        <v>886</v>
      </c>
      <c r="K333" s="479" t="str">
        <f t="shared" si="36"/>
        <v/>
      </c>
      <c r="L333" s="479" t="str">
        <f t="shared" si="37"/>
        <v/>
      </c>
      <c r="M333" s="487" t="str">
        <f t="shared" si="38"/>
        <v/>
      </c>
      <c r="N333" s="479" t="str">
        <f t="shared" si="39"/>
        <v/>
      </c>
      <c r="O333" s="479" t="str">
        <f t="shared" si="40"/>
        <v/>
      </c>
      <c r="P333" s="479">
        <f t="shared" si="41"/>
        <v>65697936.009999998</v>
      </c>
    </row>
    <row r="334" spans="2:16" s="477" customFormat="1">
      <c r="B334" s="530">
        <v>10008607</v>
      </c>
      <c r="C334" s="489" t="s">
        <v>10</v>
      </c>
      <c r="D334" s="65" t="s">
        <v>114</v>
      </c>
      <c r="E334" s="66" t="s">
        <v>139</v>
      </c>
      <c r="F334" s="492" t="s">
        <v>232</v>
      </c>
      <c r="G334" s="480"/>
      <c r="H334" s="60">
        <v>73251383.870000005</v>
      </c>
      <c r="I334" s="525">
        <v>43516</v>
      </c>
      <c r="J334" s="481">
        <f t="shared" si="42"/>
        <v>855</v>
      </c>
      <c r="K334" s="479" t="str">
        <f t="shared" si="36"/>
        <v/>
      </c>
      <c r="L334" s="479" t="str">
        <f t="shared" si="37"/>
        <v/>
      </c>
      <c r="M334" s="487" t="str">
        <f t="shared" si="38"/>
        <v/>
      </c>
      <c r="N334" s="479" t="str">
        <f t="shared" si="39"/>
        <v/>
      </c>
      <c r="O334" s="479" t="str">
        <f t="shared" si="40"/>
        <v/>
      </c>
      <c r="P334" s="479">
        <f t="shared" si="41"/>
        <v>73251383.870000005</v>
      </c>
    </row>
    <row r="335" spans="2:16" s="477" customFormat="1">
      <c r="B335" s="530">
        <v>10008607</v>
      </c>
      <c r="C335" s="489" t="s">
        <v>10</v>
      </c>
      <c r="D335" s="65" t="s">
        <v>114</v>
      </c>
      <c r="E335" s="31" t="s">
        <v>142</v>
      </c>
      <c r="F335" s="29" t="s">
        <v>235</v>
      </c>
      <c r="G335" s="480">
        <v>43528</v>
      </c>
      <c r="H335" s="60">
        <v>2728179.7159920037</v>
      </c>
      <c r="I335" s="525">
        <f>G335+30</f>
        <v>43558</v>
      </c>
      <c r="J335" s="481">
        <f t="shared" si="42"/>
        <v>813</v>
      </c>
      <c r="K335" s="479" t="str">
        <f t="shared" si="36"/>
        <v/>
      </c>
      <c r="L335" s="479" t="str">
        <f t="shared" si="37"/>
        <v/>
      </c>
      <c r="M335" s="487" t="str">
        <f t="shared" si="38"/>
        <v/>
      </c>
      <c r="N335" s="479" t="str">
        <f t="shared" si="39"/>
        <v/>
      </c>
      <c r="O335" s="479" t="str">
        <f t="shared" si="40"/>
        <v/>
      </c>
      <c r="P335" s="479">
        <f t="shared" si="41"/>
        <v>2728179.7159920037</v>
      </c>
    </row>
    <row r="336" spans="2:16" s="477" customFormat="1">
      <c r="B336" s="530">
        <v>10008607</v>
      </c>
      <c r="C336" s="489" t="s">
        <v>10</v>
      </c>
      <c r="D336" s="65" t="s">
        <v>114</v>
      </c>
      <c r="E336" s="31" t="s">
        <v>145</v>
      </c>
      <c r="F336" s="29" t="s">
        <v>237</v>
      </c>
      <c r="G336" s="480">
        <v>43536</v>
      </c>
      <c r="H336" s="60">
        <v>45249046.190333992</v>
      </c>
      <c r="I336" s="525">
        <f>G336+30</f>
        <v>43566</v>
      </c>
      <c r="J336" s="481">
        <f t="shared" si="42"/>
        <v>805</v>
      </c>
      <c r="K336" s="479" t="str">
        <f t="shared" si="36"/>
        <v/>
      </c>
      <c r="L336" s="479" t="str">
        <f t="shared" si="37"/>
        <v/>
      </c>
      <c r="M336" s="487" t="str">
        <f t="shared" si="38"/>
        <v/>
      </c>
      <c r="N336" s="479" t="str">
        <f t="shared" si="39"/>
        <v/>
      </c>
      <c r="O336" s="479" t="str">
        <f t="shared" si="40"/>
        <v/>
      </c>
      <c r="P336" s="479">
        <f t="shared" si="41"/>
        <v>45249046.190333992</v>
      </c>
    </row>
    <row r="337" spans="2:16" s="477" customFormat="1">
      <c r="B337" s="530">
        <v>10008607</v>
      </c>
      <c r="C337" s="489" t="s">
        <v>10</v>
      </c>
      <c r="D337" s="65" t="s">
        <v>114</v>
      </c>
      <c r="E337" s="66" t="s">
        <v>148</v>
      </c>
      <c r="F337" s="492" t="s">
        <v>33</v>
      </c>
      <c r="G337" s="480"/>
      <c r="H337" s="60">
        <v>65231323.460677505</v>
      </c>
      <c r="I337" s="525">
        <v>43577</v>
      </c>
      <c r="J337" s="481">
        <f t="shared" si="42"/>
        <v>794</v>
      </c>
      <c r="K337" s="479" t="str">
        <f t="shared" si="36"/>
        <v/>
      </c>
      <c r="L337" s="479" t="str">
        <f t="shared" si="37"/>
        <v/>
      </c>
      <c r="M337" s="487" t="str">
        <f t="shared" si="38"/>
        <v/>
      </c>
      <c r="N337" s="479" t="str">
        <f t="shared" si="39"/>
        <v/>
      </c>
      <c r="O337" s="479" t="str">
        <f t="shared" si="40"/>
        <v/>
      </c>
      <c r="P337" s="479">
        <f t="shared" si="41"/>
        <v>65231323.460677505</v>
      </c>
    </row>
    <row r="338" spans="2:16" s="477" customFormat="1">
      <c r="B338" s="530">
        <v>10008607</v>
      </c>
      <c r="C338" s="489" t="s">
        <v>10</v>
      </c>
      <c r="D338" s="65" t="s">
        <v>114</v>
      </c>
      <c r="E338" s="31" t="s">
        <v>151</v>
      </c>
      <c r="F338" s="29" t="s">
        <v>241</v>
      </c>
      <c r="G338" s="480"/>
      <c r="H338" s="60">
        <v>42587211.966326997</v>
      </c>
      <c r="I338" s="525">
        <v>43617</v>
      </c>
      <c r="J338" s="481">
        <f t="shared" si="42"/>
        <v>754</v>
      </c>
      <c r="K338" s="479" t="str">
        <f t="shared" si="36"/>
        <v/>
      </c>
      <c r="L338" s="479" t="str">
        <f t="shared" si="37"/>
        <v/>
      </c>
      <c r="M338" s="487" t="str">
        <f t="shared" si="38"/>
        <v/>
      </c>
      <c r="N338" s="479" t="str">
        <f t="shared" si="39"/>
        <v/>
      </c>
      <c r="O338" s="479" t="str">
        <f t="shared" si="40"/>
        <v/>
      </c>
      <c r="P338" s="479">
        <f t="shared" si="41"/>
        <v>42587211.966326997</v>
      </c>
    </row>
    <row r="339" spans="2:16" s="477" customFormat="1">
      <c r="B339" s="530">
        <v>10008607</v>
      </c>
      <c r="C339" s="489" t="s">
        <v>10</v>
      </c>
      <c r="D339" s="65" t="s">
        <v>114</v>
      </c>
      <c r="E339" s="31" t="s">
        <v>154</v>
      </c>
      <c r="F339" s="29" t="s">
        <v>244</v>
      </c>
      <c r="G339" s="480"/>
      <c r="H339" s="60">
        <v>56478900.462431997</v>
      </c>
      <c r="I339" s="523">
        <v>43647</v>
      </c>
      <c r="J339" s="481">
        <f t="shared" si="42"/>
        <v>724</v>
      </c>
      <c r="K339" s="479" t="str">
        <f t="shared" si="36"/>
        <v/>
      </c>
      <c r="L339" s="479" t="str">
        <f t="shared" si="37"/>
        <v/>
      </c>
      <c r="M339" s="487" t="str">
        <f t="shared" si="38"/>
        <v/>
      </c>
      <c r="N339" s="479" t="str">
        <f t="shared" si="39"/>
        <v/>
      </c>
      <c r="O339" s="479" t="str">
        <f t="shared" si="40"/>
        <v/>
      </c>
      <c r="P339" s="479">
        <f t="shared" si="41"/>
        <v>56478900.462431997</v>
      </c>
    </row>
    <row r="340" spans="2:16" s="477" customFormat="1">
      <c r="B340" s="530">
        <v>10008607</v>
      </c>
      <c r="C340" s="489" t="s">
        <v>10</v>
      </c>
      <c r="D340" s="65" t="s">
        <v>114</v>
      </c>
      <c r="E340" s="66" t="s">
        <v>158</v>
      </c>
      <c r="F340" s="492" t="s">
        <v>57</v>
      </c>
      <c r="G340" s="480"/>
      <c r="H340" s="60">
        <v>54357249.927246004</v>
      </c>
      <c r="I340" s="525">
        <v>43678</v>
      </c>
      <c r="J340" s="481">
        <f t="shared" si="42"/>
        <v>693</v>
      </c>
      <c r="K340" s="479" t="str">
        <f t="shared" si="36"/>
        <v/>
      </c>
      <c r="L340" s="479" t="str">
        <f t="shared" si="37"/>
        <v/>
      </c>
      <c r="M340" s="487" t="str">
        <f t="shared" si="38"/>
        <v/>
      </c>
      <c r="N340" s="479" t="str">
        <f t="shared" si="39"/>
        <v/>
      </c>
      <c r="O340" s="479" t="str">
        <f t="shared" si="40"/>
        <v/>
      </c>
      <c r="P340" s="479">
        <f t="shared" si="41"/>
        <v>54357249.927246004</v>
      </c>
    </row>
    <row r="341" spans="2:16" s="477" customFormat="1">
      <c r="B341" s="530">
        <v>10008607</v>
      </c>
      <c r="C341" s="489" t="s">
        <v>10</v>
      </c>
      <c r="D341" s="65" t="s">
        <v>114</v>
      </c>
      <c r="E341" s="31" t="s">
        <v>162</v>
      </c>
      <c r="F341" s="29" t="s">
        <v>249</v>
      </c>
      <c r="G341" s="480"/>
      <c r="H341" s="60">
        <v>44949455.384148002</v>
      </c>
      <c r="I341" s="525">
        <v>43709</v>
      </c>
      <c r="J341" s="481">
        <f t="shared" si="42"/>
        <v>662</v>
      </c>
      <c r="K341" s="479" t="str">
        <f t="shared" si="36"/>
        <v/>
      </c>
      <c r="L341" s="479" t="str">
        <f t="shared" si="37"/>
        <v/>
      </c>
      <c r="M341" s="487" t="str">
        <f t="shared" si="38"/>
        <v/>
      </c>
      <c r="N341" s="479" t="str">
        <f t="shared" si="39"/>
        <v/>
      </c>
      <c r="O341" s="479" t="str">
        <f t="shared" si="40"/>
        <v/>
      </c>
      <c r="P341" s="479">
        <f t="shared" si="41"/>
        <v>44949455.384148002</v>
      </c>
    </row>
    <row r="342" spans="2:16" s="477" customFormat="1">
      <c r="B342" s="530">
        <v>10008607</v>
      </c>
      <c r="C342" s="489" t="s">
        <v>10</v>
      </c>
      <c r="D342" s="65" t="s">
        <v>114</v>
      </c>
      <c r="E342" s="31" t="s">
        <v>166</v>
      </c>
      <c r="F342" s="29" t="s">
        <v>251</v>
      </c>
      <c r="G342" s="480"/>
      <c r="H342" s="60">
        <v>46828708.403715007</v>
      </c>
      <c r="I342" s="523">
        <v>43739</v>
      </c>
      <c r="J342" s="481">
        <f t="shared" si="42"/>
        <v>632</v>
      </c>
      <c r="K342" s="479" t="str">
        <f t="shared" si="36"/>
        <v/>
      </c>
      <c r="L342" s="479" t="str">
        <f t="shared" si="37"/>
        <v/>
      </c>
      <c r="M342" s="487" t="str">
        <f t="shared" si="38"/>
        <v/>
      </c>
      <c r="N342" s="479" t="str">
        <f t="shared" si="39"/>
        <v/>
      </c>
      <c r="O342" s="479" t="str">
        <f t="shared" si="40"/>
        <v/>
      </c>
      <c r="P342" s="479">
        <f t="shared" si="41"/>
        <v>46828708.403715007</v>
      </c>
    </row>
    <row r="343" spans="2:16" s="477" customFormat="1">
      <c r="B343" s="530">
        <v>10008607</v>
      </c>
      <c r="C343" s="489" t="s">
        <v>10</v>
      </c>
      <c r="D343" s="65" t="s">
        <v>114</v>
      </c>
      <c r="E343" s="66" t="s">
        <v>170</v>
      </c>
      <c r="F343" s="492" t="s">
        <v>253</v>
      </c>
      <c r="G343" s="480"/>
      <c r="H343" s="60">
        <v>66438457.1475555</v>
      </c>
      <c r="I343" s="525">
        <v>43770</v>
      </c>
      <c r="J343" s="481">
        <f t="shared" si="42"/>
        <v>601</v>
      </c>
      <c r="K343" s="479" t="str">
        <f t="shared" si="36"/>
        <v/>
      </c>
      <c r="L343" s="479" t="str">
        <f t="shared" si="37"/>
        <v/>
      </c>
      <c r="M343" s="487" t="str">
        <f t="shared" si="38"/>
        <v/>
      </c>
      <c r="N343" s="479" t="str">
        <f t="shared" si="39"/>
        <v/>
      </c>
      <c r="O343" s="479" t="str">
        <f t="shared" si="40"/>
        <v/>
      </c>
      <c r="P343" s="479">
        <f t="shared" si="41"/>
        <v>66438457.1475555</v>
      </c>
    </row>
    <row r="344" spans="2:16" s="477" customFormat="1">
      <c r="B344" s="530">
        <v>10008607</v>
      </c>
      <c r="C344" s="489" t="s">
        <v>10</v>
      </c>
      <c r="D344" s="65" t="s">
        <v>114</v>
      </c>
      <c r="E344" s="31" t="s">
        <v>174</v>
      </c>
      <c r="F344" s="29" t="s">
        <v>255</v>
      </c>
      <c r="G344" s="480"/>
      <c r="H344" s="60">
        <v>12611551.990726499</v>
      </c>
      <c r="I344" s="525">
        <v>43800</v>
      </c>
      <c r="J344" s="481">
        <f t="shared" si="42"/>
        <v>571</v>
      </c>
      <c r="K344" s="479" t="str">
        <f t="shared" si="36"/>
        <v/>
      </c>
      <c r="L344" s="479" t="str">
        <f t="shared" si="37"/>
        <v/>
      </c>
      <c r="M344" s="487" t="str">
        <f t="shared" si="38"/>
        <v/>
      </c>
      <c r="N344" s="479" t="str">
        <f t="shared" si="39"/>
        <v/>
      </c>
      <c r="O344" s="479" t="str">
        <f t="shared" si="40"/>
        <v/>
      </c>
      <c r="P344" s="479">
        <f t="shared" si="41"/>
        <v>12611551.990726499</v>
      </c>
    </row>
    <row r="345" spans="2:16" s="477" customFormat="1">
      <c r="B345" s="530"/>
      <c r="C345" s="489"/>
      <c r="D345" s="65"/>
      <c r="E345" s="31"/>
      <c r="F345" s="29"/>
      <c r="G345" s="480"/>
      <c r="H345" s="60"/>
      <c r="I345" s="523"/>
      <c r="J345" s="481"/>
      <c r="K345" s="479" t="str">
        <f t="shared" si="36"/>
        <v/>
      </c>
      <c r="L345" s="479" t="str">
        <f t="shared" si="37"/>
        <v/>
      </c>
      <c r="M345" s="487" t="str">
        <f t="shared" si="38"/>
        <v/>
      </c>
      <c r="N345" s="479" t="str">
        <f t="shared" si="39"/>
        <v/>
      </c>
      <c r="O345" s="479" t="str">
        <f t="shared" si="40"/>
        <v/>
      </c>
      <c r="P345" s="479" t="str">
        <f t="shared" si="41"/>
        <v/>
      </c>
    </row>
    <row r="346" spans="2:16" s="477" customFormat="1">
      <c r="B346" s="530"/>
      <c r="C346" s="489"/>
      <c r="D346" s="500"/>
      <c r="E346" s="66"/>
      <c r="F346" s="492"/>
      <c r="G346" s="480"/>
      <c r="H346" s="60"/>
      <c r="I346" s="525"/>
      <c r="J346" s="481"/>
      <c r="K346" s="479" t="str">
        <f t="shared" si="36"/>
        <v/>
      </c>
      <c r="L346" s="479" t="str">
        <f t="shared" si="37"/>
        <v/>
      </c>
      <c r="M346" s="487" t="str">
        <f t="shared" si="38"/>
        <v/>
      </c>
      <c r="N346" s="479" t="str">
        <f t="shared" si="39"/>
        <v/>
      </c>
      <c r="O346" s="479" t="str">
        <f t="shared" si="40"/>
        <v/>
      </c>
      <c r="P346" s="479" t="str">
        <f t="shared" si="41"/>
        <v/>
      </c>
    </row>
    <row r="347" spans="2:16" s="477" customFormat="1">
      <c r="B347" s="530"/>
      <c r="C347" s="489"/>
      <c r="D347" s="65"/>
      <c r="E347" s="31"/>
      <c r="F347" s="29"/>
      <c r="G347" s="480"/>
      <c r="H347" s="60"/>
      <c r="I347" s="525"/>
      <c r="J347" s="481"/>
      <c r="K347" s="479" t="str">
        <f t="shared" si="36"/>
        <v/>
      </c>
      <c r="L347" s="479" t="str">
        <f t="shared" si="37"/>
        <v/>
      </c>
      <c r="M347" s="487" t="str">
        <f t="shared" si="38"/>
        <v/>
      </c>
      <c r="N347" s="479" t="str">
        <f t="shared" si="39"/>
        <v/>
      </c>
      <c r="O347" s="479" t="str">
        <f t="shared" si="40"/>
        <v/>
      </c>
      <c r="P347" s="479" t="str">
        <f t="shared" si="41"/>
        <v/>
      </c>
    </row>
    <row r="348" spans="2:16" s="477" customFormat="1">
      <c r="B348" s="530"/>
      <c r="C348" s="489"/>
      <c r="D348" s="65"/>
      <c r="E348" s="31"/>
      <c r="F348" s="29"/>
      <c r="G348" s="480"/>
      <c r="H348" s="60"/>
      <c r="I348" s="523"/>
      <c r="J348" s="481"/>
      <c r="K348" s="479" t="str">
        <f t="shared" si="36"/>
        <v/>
      </c>
      <c r="L348" s="479" t="str">
        <f t="shared" si="37"/>
        <v/>
      </c>
      <c r="M348" s="487" t="str">
        <f t="shared" si="38"/>
        <v/>
      </c>
      <c r="N348" s="479" t="str">
        <f t="shared" si="39"/>
        <v/>
      </c>
      <c r="O348" s="479" t="str">
        <f t="shared" si="40"/>
        <v/>
      </c>
      <c r="P348" s="479" t="str">
        <f t="shared" si="41"/>
        <v/>
      </c>
    </row>
    <row r="349" spans="2:16" s="477" customFormat="1">
      <c r="B349" s="530">
        <v>10000553</v>
      </c>
      <c r="C349" s="489" t="s">
        <v>10</v>
      </c>
      <c r="D349" s="65" t="s">
        <v>116</v>
      </c>
      <c r="E349" s="66"/>
      <c r="F349" s="492"/>
      <c r="G349" s="480"/>
      <c r="H349" s="60"/>
      <c r="I349" s="525"/>
      <c r="J349" s="481"/>
      <c r="K349" s="479" t="str">
        <f t="shared" si="36"/>
        <v/>
      </c>
      <c r="L349" s="479" t="str">
        <f t="shared" si="37"/>
        <v/>
      </c>
      <c r="M349" s="487" t="str">
        <f t="shared" si="38"/>
        <v/>
      </c>
      <c r="N349" s="479" t="str">
        <f t="shared" si="39"/>
        <v/>
      </c>
      <c r="O349" s="479" t="str">
        <f t="shared" si="40"/>
        <v/>
      </c>
      <c r="P349" s="479" t="str">
        <f t="shared" si="41"/>
        <v/>
      </c>
    </row>
    <row r="350" spans="2:16" s="477" customFormat="1">
      <c r="B350" s="530">
        <v>10000553</v>
      </c>
      <c r="C350" s="489" t="s">
        <v>10</v>
      </c>
      <c r="D350" s="65" t="s">
        <v>116</v>
      </c>
      <c r="E350" s="31" t="s">
        <v>221</v>
      </c>
      <c r="F350" s="29" t="s">
        <v>117</v>
      </c>
      <c r="G350" s="480">
        <v>44410</v>
      </c>
      <c r="H350" s="60">
        <f>99373659.7833955+17372.49</f>
        <v>99391032.273395494</v>
      </c>
      <c r="I350" s="525">
        <v>44250</v>
      </c>
      <c r="J350" s="481">
        <f t="shared" si="42"/>
        <v>121</v>
      </c>
      <c r="K350" s="479" t="str">
        <f t="shared" si="36"/>
        <v/>
      </c>
      <c r="L350" s="479" t="str">
        <f t="shared" si="37"/>
        <v/>
      </c>
      <c r="M350" s="487" t="str">
        <f t="shared" si="38"/>
        <v/>
      </c>
      <c r="N350" s="479">
        <f t="shared" si="39"/>
        <v>99391032.273395494</v>
      </c>
      <c r="O350" s="479" t="str">
        <f t="shared" si="40"/>
        <v/>
      </c>
      <c r="P350" s="479" t="str">
        <f t="shared" si="41"/>
        <v/>
      </c>
    </row>
    <row r="351" spans="2:16" s="477" customFormat="1">
      <c r="B351" s="530">
        <v>10000553</v>
      </c>
      <c r="C351" s="489" t="s">
        <v>10</v>
      </c>
      <c r="D351" s="65" t="s">
        <v>116</v>
      </c>
      <c r="E351" s="31" t="s">
        <v>222</v>
      </c>
      <c r="F351" s="29" t="s">
        <v>1701</v>
      </c>
      <c r="G351" s="480">
        <v>44319</v>
      </c>
      <c r="H351" s="60">
        <v>56843414.125814468</v>
      </c>
      <c r="I351" s="525">
        <v>44275</v>
      </c>
      <c r="J351" s="481">
        <f t="shared" si="42"/>
        <v>96</v>
      </c>
      <c r="K351" s="479" t="str">
        <f t="shared" si="36"/>
        <v/>
      </c>
      <c r="L351" s="479" t="str">
        <f t="shared" si="37"/>
        <v/>
      </c>
      <c r="M351" s="487" t="str">
        <f t="shared" si="38"/>
        <v/>
      </c>
      <c r="N351" s="479">
        <f t="shared" si="39"/>
        <v>56843414.125814468</v>
      </c>
      <c r="O351" s="479" t="str">
        <f t="shared" si="40"/>
        <v/>
      </c>
      <c r="P351" s="479" t="str">
        <f t="shared" si="41"/>
        <v/>
      </c>
    </row>
    <row r="352" spans="2:16" s="477" customFormat="1">
      <c r="B352" s="530"/>
      <c r="C352" s="489"/>
      <c r="D352" s="65"/>
      <c r="E352" s="66"/>
      <c r="F352" s="492"/>
      <c r="G352" s="480"/>
      <c r="H352" s="60"/>
      <c r="I352" s="525"/>
      <c r="J352" s="481"/>
      <c r="K352" s="479" t="str">
        <f t="shared" si="36"/>
        <v/>
      </c>
      <c r="L352" s="479" t="str">
        <f t="shared" si="37"/>
        <v/>
      </c>
      <c r="M352" s="487" t="str">
        <f t="shared" si="38"/>
        <v/>
      </c>
      <c r="N352" s="479" t="str">
        <f t="shared" si="39"/>
        <v/>
      </c>
      <c r="O352" s="479" t="str">
        <f t="shared" si="40"/>
        <v/>
      </c>
      <c r="P352" s="479" t="str">
        <f t="shared" si="41"/>
        <v/>
      </c>
    </row>
    <row r="353" spans="2:16" s="477" customFormat="1">
      <c r="B353" s="530"/>
      <c r="C353" s="489"/>
      <c r="D353" s="65"/>
      <c r="E353" s="31"/>
      <c r="F353" s="29"/>
      <c r="G353" s="480"/>
      <c r="H353" s="60"/>
      <c r="I353" s="525"/>
      <c r="J353" s="481"/>
      <c r="K353" s="479" t="str">
        <f t="shared" si="36"/>
        <v/>
      </c>
      <c r="L353" s="479" t="str">
        <f t="shared" si="37"/>
        <v/>
      </c>
      <c r="M353" s="487" t="str">
        <f t="shared" si="38"/>
        <v/>
      </c>
      <c r="N353" s="479" t="str">
        <f t="shared" si="39"/>
        <v/>
      </c>
      <c r="O353" s="479" t="str">
        <f t="shared" si="40"/>
        <v/>
      </c>
      <c r="P353" s="479" t="str">
        <f t="shared" si="41"/>
        <v/>
      </c>
    </row>
    <row r="354" spans="2:16" s="477" customFormat="1">
      <c r="B354" s="530"/>
      <c r="C354" s="489"/>
      <c r="D354" s="65"/>
      <c r="E354" s="31"/>
      <c r="F354" s="29"/>
      <c r="G354" s="480"/>
      <c r="H354" s="60"/>
      <c r="I354" s="523"/>
      <c r="J354" s="481"/>
      <c r="K354" s="479" t="str">
        <f t="shared" si="36"/>
        <v/>
      </c>
      <c r="L354" s="479" t="str">
        <f t="shared" si="37"/>
        <v/>
      </c>
      <c r="M354" s="487" t="str">
        <f t="shared" si="38"/>
        <v/>
      </c>
      <c r="N354" s="479" t="str">
        <f t="shared" si="39"/>
        <v/>
      </c>
      <c r="O354" s="479" t="str">
        <f t="shared" si="40"/>
        <v/>
      </c>
      <c r="P354" s="479" t="str">
        <f t="shared" si="41"/>
        <v/>
      </c>
    </row>
    <row r="355" spans="2:16" s="477" customFormat="1">
      <c r="B355" s="530"/>
      <c r="C355" s="489"/>
      <c r="D355" s="65"/>
      <c r="E355" s="66"/>
      <c r="F355" s="492"/>
      <c r="G355" s="480"/>
      <c r="H355" s="60"/>
      <c r="I355" s="525"/>
      <c r="J355" s="481"/>
      <c r="K355" s="479" t="str">
        <f t="shared" si="36"/>
        <v/>
      </c>
      <c r="L355" s="479" t="str">
        <f t="shared" si="37"/>
        <v/>
      </c>
      <c r="M355" s="487" t="str">
        <f t="shared" si="38"/>
        <v/>
      </c>
      <c r="N355" s="479" t="str">
        <f t="shared" si="39"/>
        <v/>
      </c>
      <c r="O355" s="479" t="str">
        <f t="shared" si="40"/>
        <v/>
      </c>
      <c r="P355" s="479" t="str">
        <f t="shared" si="41"/>
        <v/>
      </c>
    </row>
    <row r="356" spans="2:16" s="477" customFormat="1">
      <c r="B356" s="530">
        <v>10000526</v>
      </c>
      <c r="C356" s="489" t="s">
        <v>10</v>
      </c>
      <c r="D356" s="65" t="s">
        <v>118</v>
      </c>
      <c r="E356" s="41" t="s">
        <v>1412</v>
      </c>
      <c r="F356" s="29" t="s">
        <v>275</v>
      </c>
      <c r="G356" s="480"/>
      <c r="H356" s="60">
        <f>530886293.13+219906288.77</f>
        <v>750792581.89999998</v>
      </c>
      <c r="I356" s="525">
        <v>42686</v>
      </c>
      <c r="J356" s="481">
        <f t="shared" si="42"/>
        <v>1685</v>
      </c>
      <c r="K356" s="479" t="str">
        <f t="shared" si="36"/>
        <v/>
      </c>
      <c r="L356" s="479" t="str">
        <f t="shared" si="37"/>
        <v/>
      </c>
      <c r="M356" s="487" t="str">
        <f t="shared" si="38"/>
        <v/>
      </c>
      <c r="N356" s="479" t="str">
        <f t="shared" si="39"/>
        <v/>
      </c>
      <c r="O356" s="479" t="str">
        <f t="shared" si="40"/>
        <v/>
      </c>
      <c r="P356" s="479">
        <f t="shared" si="41"/>
        <v>750792581.89999998</v>
      </c>
    </row>
    <row r="357" spans="2:16" s="477" customFormat="1">
      <c r="B357" s="530">
        <v>10000526</v>
      </c>
      <c r="C357" s="489" t="s">
        <v>10</v>
      </c>
      <c r="D357" s="65" t="s">
        <v>118</v>
      </c>
      <c r="E357" s="41" t="s">
        <v>609</v>
      </c>
      <c r="F357" s="29" t="s">
        <v>277</v>
      </c>
      <c r="G357" s="480"/>
      <c r="H357" s="60">
        <v>539633045.33000004</v>
      </c>
      <c r="I357" s="523">
        <v>42753</v>
      </c>
      <c r="J357" s="481">
        <f t="shared" si="42"/>
        <v>1618</v>
      </c>
      <c r="K357" s="479" t="str">
        <f t="shared" si="36"/>
        <v/>
      </c>
      <c r="L357" s="479" t="str">
        <f t="shared" si="37"/>
        <v/>
      </c>
      <c r="M357" s="487" t="str">
        <f t="shared" si="38"/>
        <v/>
      </c>
      <c r="N357" s="479" t="str">
        <f t="shared" si="39"/>
        <v/>
      </c>
      <c r="O357" s="479" t="str">
        <f t="shared" si="40"/>
        <v/>
      </c>
      <c r="P357" s="479">
        <f t="shared" si="41"/>
        <v>539633045.33000004</v>
      </c>
    </row>
    <row r="358" spans="2:16" s="477" customFormat="1">
      <c r="B358" s="530">
        <v>10000526</v>
      </c>
      <c r="C358" s="489" t="s">
        <v>10</v>
      </c>
      <c r="D358" s="65" t="s">
        <v>118</v>
      </c>
      <c r="E358" s="41" t="s">
        <v>611</v>
      </c>
      <c r="F358" s="29" t="s">
        <v>279</v>
      </c>
      <c r="G358" s="480"/>
      <c r="H358" s="60">
        <v>434121437.86000001</v>
      </c>
      <c r="I358" s="525">
        <v>42786</v>
      </c>
      <c r="J358" s="481">
        <f t="shared" si="42"/>
        <v>1585</v>
      </c>
      <c r="K358" s="479" t="str">
        <f t="shared" si="36"/>
        <v/>
      </c>
      <c r="L358" s="479" t="str">
        <f t="shared" si="37"/>
        <v/>
      </c>
      <c r="M358" s="487" t="str">
        <f t="shared" si="38"/>
        <v/>
      </c>
      <c r="N358" s="479" t="str">
        <f t="shared" si="39"/>
        <v/>
      </c>
      <c r="O358" s="479" t="str">
        <f t="shared" si="40"/>
        <v/>
      </c>
      <c r="P358" s="479">
        <f t="shared" si="41"/>
        <v>434121437.86000001</v>
      </c>
    </row>
    <row r="359" spans="2:16" s="477" customFormat="1">
      <c r="B359" s="530">
        <v>10000526</v>
      </c>
      <c r="C359" s="489" t="s">
        <v>10</v>
      </c>
      <c r="D359" s="65" t="s">
        <v>118</v>
      </c>
      <c r="E359" s="29" t="s">
        <v>614</v>
      </c>
      <c r="F359" s="29" t="s">
        <v>283</v>
      </c>
      <c r="G359" s="480"/>
      <c r="H359" s="60">
        <v>494945044.81</v>
      </c>
      <c r="I359" s="525">
        <v>42828</v>
      </c>
      <c r="J359" s="481">
        <f t="shared" si="42"/>
        <v>1543</v>
      </c>
      <c r="K359" s="479" t="str">
        <f t="shared" si="36"/>
        <v/>
      </c>
      <c r="L359" s="479" t="str">
        <f t="shared" si="37"/>
        <v/>
      </c>
      <c r="M359" s="487" t="str">
        <f t="shared" si="38"/>
        <v/>
      </c>
      <c r="N359" s="479" t="str">
        <f t="shared" si="39"/>
        <v/>
      </c>
      <c r="O359" s="479" t="str">
        <f t="shared" si="40"/>
        <v/>
      </c>
      <c r="P359" s="479">
        <f t="shared" si="41"/>
        <v>494945044.81</v>
      </c>
    </row>
    <row r="360" spans="2:16" s="477" customFormat="1">
      <c r="B360" s="530">
        <v>10000526</v>
      </c>
      <c r="C360" s="489" t="s">
        <v>10</v>
      </c>
      <c r="D360" s="65" t="s">
        <v>118</v>
      </c>
      <c r="E360" s="29" t="s">
        <v>489</v>
      </c>
      <c r="F360" s="29" t="s">
        <v>84</v>
      </c>
      <c r="G360" s="480"/>
      <c r="H360" s="60">
        <v>495700391.74000001</v>
      </c>
      <c r="I360" s="523">
        <v>42843</v>
      </c>
      <c r="J360" s="481">
        <f t="shared" si="42"/>
        <v>1528</v>
      </c>
      <c r="K360" s="479" t="str">
        <f t="shared" si="36"/>
        <v/>
      </c>
      <c r="L360" s="479" t="str">
        <f t="shared" si="37"/>
        <v/>
      </c>
      <c r="M360" s="487" t="str">
        <f t="shared" si="38"/>
        <v/>
      </c>
      <c r="N360" s="479" t="str">
        <f t="shared" si="39"/>
        <v/>
      </c>
      <c r="O360" s="479" t="str">
        <f t="shared" si="40"/>
        <v/>
      </c>
      <c r="P360" s="479">
        <f t="shared" si="41"/>
        <v>495700391.74000001</v>
      </c>
    </row>
    <row r="361" spans="2:16" s="477" customFormat="1">
      <c r="B361" s="530">
        <v>10000526</v>
      </c>
      <c r="C361" s="489" t="s">
        <v>10</v>
      </c>
      <c r="D361" s="65" t="s">
        <v>118</v>
      </c>
      <c r="E361" s="29" t="s">
        <v>618</v>
      </c>
      <c r="F361" s="29" t="s">
        <v>286</v>
      </c>
      <c r="G361" s="480"/>
      <c r="H361" s="60">
        <v>578320575.14999998</v>
      </c>
      <c r="I361" s="525">
        <v>42873</v>
      </c>
      <c r="J361" s="481">
        <f t="shared" si="42"/>
        <v>1498</v>
      </c>
      <c r="K361" s="479" t="str">
        <f t="shared" si="36"/>
        <v/>
      </c>
      <c r="L361" s="479" t="str">
        <f t="shared" si="37"/>
        <v/>
      </c>
      <c r="M361" s="487" t="str">
        <f t="shared" si="38"/>
        <v/>
      </c>
      <c r="N361" s="479" t="str">
        <f t="shared" si="39"/>
        <v/>
      </c>
      <c r="O361" s="479" t="str">
        <f t="shared" si="40"/>
        <v/>
      </c>
      <c r="P361" s="479">
        <f t="shared" si="41"/>
        <v>578320575.14999998</v>
      </c>
    </row>
    <row r="362" spans="2:16" s="477" customFormat="1">
      <c r="B362" s="530">
        <v>10000526</v>
      </c>
      <c r="C362" s="489" t="s">
        <v>10</v>
      </c>
      <c r="D362" s="65" t="s">
        <v>118</v>
      </c>
      <c r="E362" s="29" t="s">
        <v>560</v>
      </c>
      <c r="F362" s="29" t="s">
        <v>512</v>
      </c>
      <c r="G362" s="480"/>
      <c r="H362" s="60">
        <v>438104981.13</v>
      </c>
      <c r="I362" s="525">
        <v>43014</v>
      </c>
      <c r="J362" s="481">
        <f t="shared" si="42"/>
        <v>1357</v>
      </c>
      <c r="K362" s="479" t="str">
        <f t="shared" si="36"/>
        <v/>
      </c>
      <c r="L362" s="479" t="str">
        <f t="shared" si="37"/>
        <v/>
      </c>
      <c r="M362" s="487" t="str">
        <f t="shared" si="38"/>
        <v/>
      </c>
      <c r="N362" s="479" t="str">
        <f t="shared" si="39"/>
        <v/>
      </c>
      <c r="O362" s="479" t="str">
        <f t="shared" si="40"/>
        <v/>
      </c>
      <c r="P362" s="479">
        <f t="shared" si="41"/>
        <v>438104981.13</v>
      </c>
    </row>
    <row r="363" spans="2:16" s="477" customFormat="1">
      <c r="B363" s="530">
        <v>10000526</v>
      </c>
      <c r="C363" s="489" t="s">
        <v>10</v>
      </c>
      <c r="D363" s="65" t="s">
        <v>118</v>
      </c>
      <c r="E363" s="29" t="s">
        <v>562</v>
      </c>
      <c r="F363" s="29" t="s">
        <v>1730</v>
      </c>
      <c r="G363" s="480"/>
      <c r="H363" s="60">
        <v>408489583.04000002</v>
      </c>
      <c r="I363" s="523">
        <v>42936</v>
      </c>
      <c r="J363" s="481">
        <f t="shared" si="42"/>
        <v>1435</v>
      </c>
      <c r="K363" s="479" t="str">
        <f t="shared" si="36"/>
        <v/>
      </c>
      <c r="L363" s="479" t="str">
        <f t="shared" si="37"/>
        <v/>
      </c>
      <c r="M363" s="487" t="str">
        <f t="shared" si="38"/>
        <v/>
      </c>
      <c r="N363" s="479" t="str">
        <f t="shared" si="39"/>
        <v/>
      </c>
      <c r="O363" s="479" t="str">
        <f t="shared" si="40"/>
        <v/>
      </c>
      <c r="P363" s="479">
        <f t="shared" si="41"/>
        <v>408489583.04000002</v>
      </c>
    </row>
    <row r="364" spans="2:16" s="477" customFormat="1">
      <c r="B364" s="530">
        <v>10000526</v>
      </c>
      <c r="C364" s="489" t="s">
        <v>10</v>
      </c>
      <c r="D364" s="65" t="s">
        <v>118</v>
      </c>
      <c r="E364" s="29" t="s">
        <v>494</v>
      </c>
      <c r="F364" s="29" t="s">
        <v>1732</v>
      </c>
      <c r="G364" s="480"/>
      <c r="H364" s="60">
        <v>451218540.5</v>
      </c>
      <c r="I364" s="525">
        <v>42957</v>
      </c>
      <c r="J364" s="481">
        <f t="shared" si="42"/>
        <v>1414</v>
      </c>
      <c r="K364" s="479" t="str">
        <f t="shared" si="36"/>
        <v/>
      </c>
      <c r="L364" s="479" t="str">
        <f t="shared" si="37"/>
        <v/>
      </c>
      <c r="M364" s="487" t="str">
        <f t="shared" si="38"/>
        <v/>
      </c>
      <c r="N364" s="479" t="str">
        <f t="shared" si="39"/>
        <v/>
      </c>
      <c r="O364" s="479" t="str">
        <f t="shared" si="40"/>
        <v/>
      </c>
      <c r="P364" s="479">
        <f t="shared" si="41"/>
        <v>451218540.5</v>
      </c>
    </row>
    <row r="365" spans="2:16" s="477" customFormat="1">
      <c r="B365" s="530">
        <v>10000526</v>
      </c>
      <c r="C365" s="489" t="s">
        <v>10</v>
      </c>
      <c r="D365" s="65" t="s">
        <v>118</v>
      </c>
      <c r="E365" s="29" t="s">
        <v>497</v>
      </c>
      <c r="F365" s="29" t="s">
        <v>1734</v>
      </c>
      <c r="G365" s="480"/>
      <c r="H365" s="60">
        <v>517105578.12</v>
      </c>
      <c r="I365" s="525">
        <v>42986</v>
      </c>
      <c r="J365" s="481">
        <f t="shared" si="42"/>
        <v>1385</v>
      </c>
      <c r="K365" s="479" t="str">
        <f t="shared" si="36"/>
        <v/>
      </c>
      <c r="L365" s="479" t="str">
        <f t="shared" si="37"/>
        <v/>
      </c>
      <c r="M365" s="487" t="str">
        <f t="shared" si="38"/>
        <v/>
      </c>
      <c r="N365" s="479" t="str">
        <f t="shared" si="39"/>
        <v/>
      </c>
      <c r="O365" s="479" t="str">
        <f t="shared" si="40"/>
        <v/>
      </c>
      <c r="P365" s="479">
        <f t="shared" si="41"/>
        <v>517105578.12</v>
      </c>
    </row>
    <row r="366" spans="2:16" s="477" customFormat="1">
      <c r="B366" s="530">
        <v>10000526</v>
      </c>
      <c r="C366" s="489" t="s">
        <v>10</v>
      </c>
      <c r="D366" s="65" t="s">
        <v>118</v>
      </c>
      <c r="E366" s="29" t="s">
        <v>498</v>
      </c>
      <c r="F366" s="29" t="s">
        <v>1736</v>
      </c>
      <c r="G366" s="480"/>
      <c r="H366" s="60">
        <v>409757523.10000002</v>
      </c>
      <c r="I366" s="523">
        <v>43016</v>
      </c>
      <c r="J366" s="481">
        <f t="shared" si="42"/>
        <v>1355</v>
      </c>
      <c r="K366" s="479" t="str">
        <f t="shared" si="36"/>
        <v/>
      </c>
      <c r="L366" s="479" t="str">
        <f t="shared" si="37"/>
        <v/>
      </c>
      <c r="M366" s="487" t="str">
        <f t="shared" si="38"/>
        <v/>
      </c>
      <c r="N366" s="479" t="str">
        <f t="shared" si="39"/>
        <v/>
      </c>
      <c r="O366" s="479" t="str">
        <f t="shared" si="40"/>
        <v/>
      </c>
      <c r="P366" s="479">
        <f t="shared" si="41"/>
        <v>409757523.10000002</v>
      </c>
    </row>
    <row r="367" spans="2:16" s="477" customFormat="1">
      <c r="B367" s="530">
        <v>10000526</v>
      </c>
      <c r="C367" s="489" t="s">
        <v>10</v>
      </c>
      <c r="D367" s="65" t="s">
        <v>118</v>
      </c>
      <c r="E367" s="29" t="s">
        <v>564</v>
      </c>
      <c r="F367" s="29" t="s">
        <v>1738</v>
      </c>
      <c r="G367" s="480"/>
      <c r="H367" s="60">
        <v>352404757.12</v>
      </c>
      <c r="I367" s="525">
        <v>43049</v>
      </c>
      <c r="J367" s="481">
        <f t="shared" si="42"/>
        <v>1322</v>
      </c>
      <c r="K367" s="479" t="str">
        <f t="shared" si="36"/>
        <v/>
      </c>
      <c r="L367" s="479" t="str">
        <f t="shared" si="37"/>
        <v/>
      </c>
      <c r="M367" s="487" t="str">
        <f t="shared" si="38"/>
        <v/>
      </c>
      <c r="N367" s="479" t="str">
        <f t="shared" si="39"/>
        <v/>
      </c>
      <c r="O367" s="479" t="str">
        <f t="shared" si="40"/>
        <v/>
      </c>
      <c r="P367" s="479">
        <f t="shared" si="41"/>
        <v>352404757.12</v>
      </c>
    </row>
    <row r="368" spans="2:16" s="477" customFormat="1">
      <c r="B368" s="530">
        <v>10000526</v>
      </c>
      <c r="C368" s="489" t="s">
        <v>10</v>
      </c>
      <c r="D368" s="65" t="s">
        <v>118</v>
      </c>
      <c r="E368" s="29" t="s">
        <v>500</v>
      </c>
      <c r="F368" s="29" t="s">
        <v>1739</v>
      </c>
      <c r="G368" s="480"/>
      <c r="H368" s="60">
        <v>365287691.88</v>
      </c>
      <c r="I368" s="525">
        <v>43051</v>
      </c>
      <c r="J368" s="481">
        <f t="shared" si="42"/>
        <v>1320</v>
      </c>
      <c r="K368" s="479" t="str">
        <f t="shared" si="36"/>
        <v/>
      </c>
      <c r="L368" s="479" t="str">
        <f t="shared" si="37"/>
        <v/>
      </c>
      <c r="M368" s="487" t="str">
        <f t="shared" si="38"/>
        <v/>
      </c>
      <c r="N368" s="479" t="str">
        <f t="shared" si="39"/>
        <v/>
      </c>
      <c r="O368" s="479" t="str">
        <f t="shared" si="40"/>
        <v/>
      </c>
      <c r="P368" s="479">
        <f t="shared" si="41"/>
        <v>365287691.88</v>
      </c>
    </row>
    <row r="369" spans="2:16" s="477" customFormat="1">
      <c r="B369" s="530">
        <v>10000526</v>
      </c>
      <c r="C369" s="489" t="s">
        <v>10</v>
      </c>
      <c r="D369" s="65" t="s">
        <v>118</v>
      </c>
      <c r="E369" s="29" t="s">
        <v>501</v>
      </c>
      <c r="F369" s="29" t="s">
        <v>1741</v>
      </c>
      <c r="G369" s="480"/>
      <c r="H369" s="60">
        <v>233634454.33000001</v>
      </c>
      <c r="I369" s="523">
        <v>42867</v>
      </c>
      <c r="J369" s="481">
        <f t="shared" si="42"/>
        <v>1504</v>
      </c>
      <c r="K369" s="479" t="str">
        <f t="shared" si="36"/>
        <v/>
      </c>
      <c r="L369" s="479" t="str">
        <f t="shared" si="37"/>
        <v/>
      </c>
      <c r="M369" s="487" t="str">
        <f t="shared" si="38"/>
        <v/>
      </c>
      <c r="N369" s="479" t="str">
        <f t="shared" si="39"/>
        <v/>
      </c>
      <c r="O369" s="479" t="str">
        <f t="shared" si="40"/>
        <v/>
      </c>
      <c r="P369" s="479">
        <f t="shared" si="41"/>
        <v>233634454.33000001</v>
      </c>
    </row>
    <row r="370" spans="2:16" s="477" customFormat="1">
      <c r="B370" s="530">
        <v>10000526</v>
      </c>
      <c r="C370" s="489" t="s">
        <v>10</v>
      </c>
      <c r="D370" s="65" t="s">
        <v>118</v>
      </c>
      <c r="E370" s="29" t="s">
        <v>504</v>
      </c>
      <c r="F370" s="29" t="s">
        <v>1743</v>
      </c>
      <c r="G370" s="480"/>
      <c r="H370" s="60">
        <v>189995491.61000001</v>
      </c>
      <c r="I370" s="525">
        <v>43375</v>
      </c>
      <c r="J370" s="481">
        <f t="shared" si="42"/>
        <v>996</v>
      </c>
      <c r="K370" s="479" t="str">
        <f t="shared" si="36"/>
        <v/>
      </c>
      <c r="L370" s="479" t="str">
        <f t="shared" si="37"/>
        <v/>
      </c>
      <c r="M370" s="487" t="str">
        <f t="shared" si="38"/>
        <v/>
      </c>
      <c r="N370" s="479" t="str">
        <f t="shared" si="39"/>
        <v/>
      </c>
      <c r="O370" s="479" t="str">
        <f t="shared" si="40"/>
        <v/>
      </c>
      <c r="P370" s="479">
        <f t="shared" si="41"/>
        <v>189995491.61000001</v>
      </c>
    </row>
    <row r="371" spans="2:16" s="477" customFormat="1">
      <c r="B371" s="530">
        <v>10000526</v>
      </c>
      <c r="C371" s="489" t="s">
        <v>10</v>
      </c>
      <c r="D371" s="65" t="s">
        <v>118</v>
      </c>
      <c r="E371" s="29" t="s">
        <v>506</v>
      </c>
      <c r="F371" s="29" t="s">
        <v>1744</v>
      </c>
      <c r="G371" s="480"/>
      <c r="H371" s="60">
        <v>169239933.69</v>
      </c>
      <c r="I371" s="525">
        <v>43376</v>
      </c>
      <c r="J371" s="481">
        <f t="shared" si="42"/>
        <v>995</v>
      </c>
      <c r="K371" s="479" t="str">
        <f t="shared" si="36"/>
        <v/>
      </c>
      <c r="L371" s="479" t="str">
        <f t="shared" si="37"/>
        <v/>
      </c>
      <c r="M371" s="487" t="str">
        <f t="shared" si="38"/>
        <v/>
      </c>
      <c r="N371" s="479" t="str">
        <f t="shared" si="39"/>
        <v/>
      </c>
      <c r="O371" s="479" t="str">
        <f t="shared" si="40"/>
        <v/>
      </c>
      <c r="P371" s="479">
        <f t="shared" si="41"/>
        <v>169239933.69</v>
      </c>
    </row>
    <row r="372" spans="2:16" s="477" customFormat="1">
      <c r="B372" s="530">
        <v>10000526</v>
      </c>
      <c r="C372" s="489" t="s">
        <v>10</v>
      </c>
      <c r="D372" s="65" t="s">
        <v>118</v>
      </c>
      <c r="E372" s="29" t="s">
        <v>508</v>
      </c>
      <c r="F372" s="29" t="s">
        <v>1745</v>
      </c>
      <c r="G372" s="480"/>
      <c r="H372" s="60">
        <v>123016423.92797183</v>
      </c>
      <c r="I372" s="523">
        <v>43205</v>
      </c>
      <c r="J372" s="481">
        <f t="shared" si="42"/>
        <v>1166</v>
      </c>
      <c r="K372" s="479" t="str">
        <f t="shared" si="36"/>
        <v/>
      </c>
      <c r="L372" s="479" t="str">
        <f t="shared" si="37"/>
        <v/>
      </c>
      <c r="M372" s="487" t="str">
        <f t="shared" si="38"/>
        <v/>
      </c>
      <c r="N372" s="479" t="str">
        <f t="shared" si="39"/>
        <v/>
      </c>
      <c r="O372" s="479" t="str">
        <f t="shared" si="40"/>
        <v/>
      </c>
      <c r="P372" s="479">
        <f t="shared" si="41"/>
        <v>123016423.92797183</v>
      </c>
    </row>
    <row r="373" spans="2:16" s="477" customFormat="1">
      <c r="B373" s="530">
        <v>10000526</v>
      </c>
      <c r="C373" s="489" t="s">
        <v>10</v>
      </c>
      <c r="D373" s="65" t="s">
        <v>118</v>
      </c>
      <c r="E373" s="29" t="s">
        <v>355</v>
      </c>
      <c r="F373" s="29" t="s">
        <v>1747</v>
      </c>
      <c r="G373" s="480"/>
      <c r="H373" s="60">
        <v>46941837.537423357</v>
      </c>
      <c r="I373" s="525">
        <v>43245</v>
      </c>
      <c r="J373" s="481">
        <f t="shared" si="42"/>
        <v>1126</v>
      </c>
      <c r="K373" s="479" t="str">
        <f t="shared" si="36"/>
        <v/>
      </c>
      <c r="L373" s="479" t="str">
        <f t="shared" si="37"/>
        <v/>
      </c>
      <c r="M373" s="487" t="str">
        <f t="shared" si="38"/>
        <v/>
      </c>
      <c r="N373" s="479" t="str">
        <f t="shared" si="39"/>
        <v/>
      </c>
      <c r="O373" s="479" t="str">
        <f t="shared" si="40"/>
        <v/>
      </c>
      <c r="P373" s="479">
        <f t="shared" si="41"/>
        <v>46941837.537423357</v>
      </c>
    </row>
    <row r="374" spans="2:16" s="477" customFormat="1">
      <c r="B374" s="530">
        <v>10000526</v>
      </c>
      <c r="C374" s="489" t="s">
        <v>10</v>
      </c>
      <c r="D374" s="65" t="s">
        <v>118</v>
      </c>
      <c r="E374" s="31" t="s">
        <v>234</v>
      </c>
      <c r="F374" s="29" t="s">
        <v>1747</v>
      </c>
      <c r="G374" s="480"/>
      <c r="H374" s="60">
        <v>139519354.21000001</v>
      </c>
      <c r="I374" s="525">
        <v>43279</v>
      </c>
      <c r="J374" s="481">
        <f t="shared" si="42"/>
        <v>1092</v>
      </c>
      <c r="K374" s="479" t="str">
        <f t="shared" si="36"/>
        <v/>
      </c>
      <c r="L374" s="479" t="str">
        <f t="shared" si="37"/>
        <v/>
      </c>
      <c r="M374" s="487" t="str">
        <f t="shared" si="38"/>
        <v/>
      </c>
      <c r="N374" s="479" t="str">
        <f t="shared" si="39"/>
        <v/>
      </c>
      <c r="O374" s="479" t="str">
        <f t="shared" si="40"/>
        <v/>
      </c>
      <c r="P374" s="479">
        <f t="shared" si="41"/>
        <v>139519354.21000001</v>
      </c>
    </row>
    <row r="375" spans="2:16" s="477" customFormat="1">
      <c r="B375" s="530">
        <v>10000526</v>
      </c>
      <c r="C375" s="489" t="s">
        <v>10</v>
      </c>
      <c r="D375" s="65" t="s">
        <v>118</v>
      </c>
      <c r="E375" s="42" t="s">
        <v>1748</v>
      </c>
      <c r="F375" s="29" t="s">
        <v>1749</v>
      </c>
      <c r="G375" s="480"/>
      <c r="H375" s="60">
        <v>200223924.76594025</v>
      </c>
      <c r="I375" s="523">
        <v>43297</v>
      </c>
      <c r="J375" s="481">
        <f t="shared" si="42"/>
        <v>1074</v>
      </c>
      <c r="K375" s="479" t="str">
        <f t="shared" si="36"/>
        <v/>
      </c>
      <c r="L375" s="479" t="str">
        <f t="shared" si="37"/>
        <v/>
      </c>
      <c r="M375" s="487" t="str">
        <f t="shared" si="38"/>
        <v/>
      </c>
      <c r="N375" s="479" t="str">
        <f t="shared" si="39"/>
        <v/>
      </c>
      <c r="O375" s="479" t="str">
        <f t="shared" si="40"/>
        <v/>
      </c>
      <c r="P375" s="479">
        <f t="shared" si="41"/>
        <v>200223924.76594025</v>
      </c>
    </row>
    <row r="376" spans="2:16" s="477" customFormat="1">
      <c r="B376" s="530">
        <v>10000526</v>
      </c>
      <c r="C376" s="489" t="s">
        <v>10</v>
      </c>
      <c r="D376" s="65" t="s">
        <v>118</v>
      </c>
      <c r="E376" s="102" t="s">
        <v>238</v>
      </c>
      <c r="F376" s="280" t="s">
        <v>1751</v>
      </c>
      <c r="G376" s="480"/>
      <c r="H376" s="60">
        <v>187003510.5005112</v>
      </c>
      <c r="I376" s="525">
        <v>43340</v>
      </c>
      <c r="J376" s="481">
        <f t="shared" si="42"/>
        <v>1031</v>
      </c>
      <c r="K376" s="479" t="str">
        <f t="shared" si="36"/>
        <v/>
      </c>
      <c r="L376" s="479" t="str">
        <f t="shared" si="37"/>
        <v/>
      </c>
      <c r="M376" s="487" t="str">
        <f t="shared" si="38"/>
        <v/>
      </c>
      <c r="N376" s="479" t="str">
        <f t="shared" si="39"/>
        <v/>
      </c>
      <c r="O376" s="479" t="str">
        <f t="shared" si="40"/>
        <v/>
      </c>
      <c r="P376" s="479">
        <f t="shared" si="41"/>
        <v>187003510.5005112</v>
      </c>
    </row>
    <row r="377" spans="2:16" s="477" customFormat="1">
      <c r="B377" s="530">
        <v>10000526</v>
      </c>
      <c r="C377" s="489" t="s">
        <v>10</v>
      </c>
      <c r="D377" s="65" t="s">
        <v>118</v>
      </c>
      <c r="E377" s="111" t="s">
        <v>240</v>
      </c>
      <c r="F377" s="280" t="s">
        <v>1752</v>
      </c>
      <c r="G377" s="480"/>
      <c r="H377" s="60">
        <v>227155771.73028904</v>
      </c>
      <c r="I377" s="525">
        <v>43371</v>
      </c>
      <c r="J377" s="481">
        <f t="shared" si="42"/>
        <v>1000</v>
      </c>
      <c r="K377" s="479" t="str">
        <f t="shared" si="36"/>
        <v/>
      </c>
      <c r="L377" s="479" t="str">
        <f t="shared" si="37"/>
        <v/>
      </c>
      <c r="M377" s="487" t="str">
        <f t="shared" si="38"/>
        <v/>
      </c>
      <c r="N377" s="479" t="str">
        <f t="shared" si="39"/>
        <v/>
      </c>
      <c r="O377" s="479" t="str">
        <f t="shared" si="40"/>
        <v/>
      </c>
      <c r="P377" s="479">
        <f t="shared" si="41"/>
        <v>227155771.73028904</v>
      </c>
    </row>
    <row r="378" spans="2:16" s="477" customFormat="1">
      <c r="B378" s="530">
        <v>10000526</v>
      </c>
      <c r="C378" s="489" t="s">
        <v>10</v>
      </c>
      <c r="D378" s="65" t="s">
        <v>118</v>
      </c>
      <c r="E378" s="111" t="s">
        <v>1753</v>
      </c>
      <c r="F378" s="280" t="s">
        <v>319</v>
      </c>
      <c r="G378" s="480"/>
      <c r="H378" s="60">
        <v>49704297.329999998</v>
      </c>
      <c r="I378" s="523">
        <v>43380</v>
      </c>
      <c r="J378" s="481">
        <f t="shared" si="42"/>
        <v>991</v>
      </c>
      <c r="K378" s="479" t="str">
        <f t="shared" si="36"/>
        <v/>
      </c>
      <c r="L378" s="479" t="str">
        <f t="shared" si="37"/>
        <v/>
      </c>
      <c r="M378" s="487" t="str">
        <f t="shared" si="38"/>
        <v/>
      </c>
      <c r="N378" s="479" t="str">
        <f t="shared" si="39"/>
        <v/>
      </c>
      <c r="O378" s="479" t="str">
        <f t="shared" si="40"/>
        <v/>
      </c>
      <c r="P378" s="479">
        <f t="shared" si="41"/>
        <v>49704297.329999998</v>
      </c>
    </row>
    <row r="379" spans="2:16" s="477" customFormat="1">
      <c r="B379" s="530"/>
      <c r="C379" s="489"/>
      <c r="D379" s="65"/>
      <c r="E379" s="66"/>
      <c r="F379" s="492"/>
      <c r="G379" s="480"/>
      <c r="H379" s="60"/>
      <c r="I379" s="525"/>
      <c r="J379" s="481"/>
      <c r="K379" s="479" t="str">
        <f t="shared" si="36"/>
        <v/>
      </c>
      <c r="L379" s="479" t="str">
        <f t="shared" si="37"/>
        <v/>
      </c>
      <c r="M379" s="487" t="str">
        <f t="shared" si="38"/>
        <v/>
      </c>
      <c r="N379" s="479" t="str">
        <f t="shared" si="39"/>
        <v/>
      </c>
      <c r="O379" s="479" t="str">
        <f t="shared" si="40"/>
        <v/>
      </c>
      <c r="P379" s="479" t="str">
        <f t="shared" si="41"/>
        <v/>
      </c>
    </row>
    <row r="380" spans="2:16" s="477" customFormat="1">
      <c r="B380" s="530"/>
      <c r="C380" s="489"/>
      <c r="D380" s="65"/>
      <c r="E380" s="501"/>
      <c r="F380" s="29"/>
      <c r="G380" s="480"/>
      <c r="H380" s="60"/>
      <c r="I380" s="525"/>
      <c r="J380" s="481"/>
      <c r="K380" s="479" t="str">
        <f t="shared" si="36"/>
        <v/>
      </c>
      <c r="L380" s="479" t="str">
        <f t="shared" si="37"/>
        <v/>
      </c>
      <c r="M380" s="487" t="str">
        <f t="shared" si="38"/>
        <v/>
      </c>
      <c r="N380" s="479" t="str">
        <f t="shared" si="39"/>
        <v/>
      </c>
      <c r="O380" s="479" t="str">
        <f t="shared" si="40"/>
        <v/>
      </c>
      <c r="P380" s="479" t="str">
        <f t="shared" si="41"/>
        <v/>
      </c>
    </row>
    <row r="381" spans="2:16" s="477" customFormat="1">
      <c r="B381" s="530">
        <v>40000029</v>
      </c>
      <c r="C381" s="489" t="s">
        <v>10</v>
      </c>
      <c r="D381" s="65" t="s">
        <v>126</v>
      </c>
      <c r="E381" s="66" t="s">
        <v>136</v>
      </c>
      <c r="F381" s="29"/>
      <c r="G381" s="480"/>
      <c r="H381" s="60">
        <v>22092485460.899128</v>
      </c>
      <c r="I381" s="523"/>
      <c r="J381" s="481"/>
      <c r="K381" s="479" t="str">
        <f t="shared" si="36"/>
        <v/>
      </c>
      <c r="L381" s="479" t="str">
        <f t="shared" si="37"/>
        <v/>
      </c>
      <c r="M381" s="487" t="str">
        <f t="shared" si="38"/>
        <v/>
      </c>
      <c r="N381" s="479" t="str">
        <f t="shared" si="39"/>
        <v/>
      </c>
      <c r="O381" s="479" t="str">
        <f t="shared" si="40"/>
        <v/>
      </c>
      <c r="P381" s="479" t="str">
        <f t="shared" si="41"/>
        <v/>
      </c>
    </row>
    <row r="382" spans="2:16" s="477" customFormat="1">
      <c r="B382" s="530">
        <v>40000029</v>
      </c>
      <c r="C382" s="489" t="s">
        <v>10</v>
      </c>
      <c r="D382" s="65" t="s">
        <v>126</v>
      </c>
      <c r="E382" s="66" t="s">
        <v>142</v>
      </c>
      <c r="F382" s="492" t="s">
        <v>1809</v>
      </c>
      <c r="G382" s="480">
        <v>43558</v>
      </c>
      <c r="H382" s="60">
        <v>552072428.89918542</v>
      </c>
      <c r="I382" s="525">
        <v>43802</v>
      </c>
      <c r="J382" s="481">
        <f t="shared" si="42"/>
        <v>569</v>
      </c>
      <c r="K382" s="479" t="str">
        <f t="shared" si="36"/>
        <v/>
      </c>
      <c r="L382" s="479" t="str">
        <f t="shared" si="37"/>
        <v/>
      </c>
      <c r="M382" s="487" t="str">
        <f t="shared" si="38"/>
        <v/>
      </c>
      <c r="N382" s="479" t="str">
        <f t="shared" si="39"/>
        <v/>
      </c>
      <c r="O382" s="479" t="str">
        <f t="shared" si="40"/>
        <v/>
      </c>
      <c r="P382" s="479">
        <f t="shared" si="41"/>
        <v>552072428.89918542</v>
      </c>
    </row>
    <row r="383" spans="2:16" s="477" customFormat="1">
      <c r="B383" s="530">
        <v>40000029</v>
      </c>
      <c r="C383" s="489" t="s">
        <v>10</v>
      </c>
      <c r="D383" s="65" t="s">
        <v>126</v>
      </c>
      <c r="E383" s="31" t="s">
        <v>145</v>
      </c>
      <c r="F383" s="29" t="s">
        <v>1810</v>
      </c>
      <c r="G383" s="480">
        <v>43649</v>
      </c>
      <c r="H383" s="60">
        <v>519261199.30000001</v>
      </c>
      <c r="I383" s="525">
        <v>43742</v>
      </c>
      <c r="J383" s="481">
        <f t="shared" si="42"/>
        <v>629</v>
      </c>
      <c r="K383" s="479" t="str">
        <f t="shared" si="36"/>
        <v/>
      </c>
      <c r="L383" s="479" t="str">
        <f t="shared" si="37"/>
        <v/>
      </c>
      <c r="M383" s="487" t="str">
        <f t="shared" si="38"/>
        <v/>
      </c>
      <c r="N383" s="479" t="str">
        <f t="shared" si="39"/>
        <v/>
      </c>
      <c r="O383" s="479" t="str">
        <f t="shared" si="40"/>
        <v/>
      </c>
      <c r="P383" s="479">
        <f t="shared" si="41"/>
        <v>519261199.30000001</v>
      </c>
    </row>
    <row r="384" spans="2:16" s="477" customFormat="1">
      <c r="B384" s="530">
        <v>40000029</v>
      </c>
      <c r="C384" s="489" t="s">
        <v>10</v>
      </c>
      <c r="D384" s="65" t="s">
        <v>126</v>
      </c>
      <c r="E384" s="31" t="s">
        <v>148</v>
      </c>
      <c r="F384" s="29" t="s">
        <v>1811</v>
      </c>
      <c r="G384" s="480"/>
      <c r="H384" s="60">
        <v>476515034.25223744</v>
      </c>
      <c r="I384" s="523">
        <v>43577</v>
      </c>
      <c r="J384" s="481">
        <f t="shared" si="42"/>
        <v>794</v>
      </c>
      <c r="K384" s="479" t="str">
        <f t="shared" si="36"/>
        <v/>
      </c>
      <c r="L384" s="479" t="str">
        <f t="shared" si="37"/>
        <v/>
      </c>
      <c r="M384" s="487" t="str">
        <f t="shared" si="38"/>
        <v/>
      </c>
      <c r="N384" s="479" t="str">
        <f t="shared" si="39"/>
        <v/>
      </c>
      <c r="O384" s="479" t="str">
        <f t="shared" si="40"/>
        <v/>
      </c>
      <c r="P384" s="479">
        <f t="shared" si="41"/>
        <v>476515034.25223744</v>
      </c>
    </row>
    <row r="385" spans="2:16" s="477" customFormat="1">
      <c r="B385" s="530">
        <v>40000029</v>
      </c>
      <c r="C385" s="489" t="s">
        <v>10</v>
      </c>
      <c r="D385" s="65" t="s">
        <v>126</v>
      </c>
      <c r="E385" s="66" t="s">
        <v>151</v>
      </c>
      <c r="F385" s="492" t="s">
        <v>1812</v>
      </c>
      <c r="G385" s="480"/>
      <c r="H385" s="60">
        <v>168429923.87549999</v>
      </c>
      <c r="I385" s="525">
        <v>43617</v>
      </c>
      <c r="J385" s="481">
        <f t="shared" si="42"/>
        <v>754</v>
      </c>
      <c r="K385" s="479" t="str">
        <f t="shared" si="36"/>
        <v/>
      </c>
      <c r="L385" s="479" t="str">
        <f t="shared" si="37"/>
        <v/>
      </c>
      <c r="M385" s="487" t="str">
        <f t="shared" si="38"/>
        <v/>
      </c>
      <c r="N385" s="479" t="str">
        <f t="shared" si="39"/>
        <v/>
      </c>
      <c r="O385" s="479" t="str">
        <f t="shared" si="40"/>
        <v/>
      </c>
      <c r="P385" s="479">
        <f t="shared" si="41"/>
        <v>168429923.87549999</v>
      </c>
    </row>
    <row r="386" spans="2:16" s="477" customFormat="1">
      <c r="B386" s="530">
        <v>40000029</v>
      </c>
      <c r="C386" s="489" t="s">
        <v>10</v>
      </c>
      <c r="D386" s="65" t="s">
        <v>126</v>
      </c>
      <c r="E386" s="31" t="s">
        <v>154</v>
      </c>
      <c r="F386" s="29" t="s">
        <v>1813</v>
      </c>
      <c r="G386" s="480"/>
      <c r="H386" s="60">
        <v>301261050.00088644</v>
      </c>
      <c r="I386" s="525">
        <v>43647</v>
      </c>
      <c r="J386" s="481">
        <f t="shared" si="42"/>
        <v>724</v>
      </c>
      <c r="K386" s="479" t="str">
        <f t="shared" si="36"/>
        <v/>
      </c>
      <c r="L386" s="479" t="str">
        <f t="shared" si="37"/>
        <v/>
      </c>
      <c r="M386" s="487" t="str">
        <f t="shared" si="38"/>
        <v/>
      </c>
      <c r="N386" s="479" t="str">
        <f t="shared" si="39"/>
        <v/>
      </c>
      <c r="O386" s="479" t="str">
        <f t="shared" si="40"/>
        <v/>
      </c>
      <c r="P386" s="479">
        <f t="shared" si="41"/>
        <v>301261050.00088644</v>
      </c>
    </row>
    <row r="387" spans="2:16" s="477" customFormat="1">
      <c r="B387" s="530">
        <v>40000029</v>
      </c>
      <c r="C387" s="489" t="s">
        <v>10</v>
      </c>
      <c r="D387" s="65" t="s">
        <v>126</v>
      </c>
      <c r="E387" s="31" t="s">
        <v>158</v>
      </c>
      <c r="F387" s="29" t="s">
        <v>1814</v>
      </c>
      <c r="G387" s="480"/>
      <c r="H387" s="60">
        <v>326514117.18136054</v>
      </c>
      <c r="I387" s="523">
        <v>43678</v>
      </c>
      <c r="J387" s="481">
        <f t="shared" si="42"/>
        <v>693</v>
      </c>
      <c r="K387" s="479" t="str">
        <f t="shared" si="36"/>
        <v/>
      </c>
      <c r="L387" s="479" t="str">
        <f t="shared" si="37"/>
        <v/>
      </c>
      <c r="M387" s="487" t="str">
        <f t="shared" si="38"/>
        <v/>
      </c>
      <c r="N387" s="479" t="str">
        <f t="shared" si="39"/>
        <v/>
      </c>
      <c r="O387" s="479" t="str">
        <f t="shared" si="40"/>
        <v/>
      </c>
      <c r="P387" s="479">
        <f t="shared" si="41"/>
        <v>326514117.18136054</v>
      </c>
    </row>
    <row r="388" spans="2:16" s="477" customFormat="1">
      <c r="B388" s="530">
        <v>40000029</v>
      </c>
      <c r="C388" s="489" t="s">
        <v>10</v>
      </c>
      <c r="D388" s="65" t="s">
        <v>126</v>
      </c>
      <c r="E388" s="66" t="s">
        <v>162</v>
      </c>
      <c r="F388" s="492" t="s">
        <v>1815</v>
      </c>
      <c r="G388" s="480"/>
      <c r="H388" s="60">
        <v>350927924.75193596</v>
      </c>
      <c r="I388" s="525">
        <v>43709</v>
      </c>
      <c r="J388" s="481">
        <f t="shared" si="42"/>
        <v>662</v>
      </c>
      <c r="K388" s="479" t="str">
        <f t="shared" si="36"/>
        <v/>
      </c>
      <c r="L388" s="479" t="str">
        <f t="shared" si="37"/>
        <v/>
      </c>
      <c r="M388" s="487" t="str">
        <f t="shared" si="38"/>
        <v/>
      </c>
      <c r="N388" s="479" t="str">
        <f t="shared" si="39"/>
        <v/>
      </c>
      <c r="O388" s="479" t="str">
        <f t="shared" si="40"/>
        <v/>
      </c>
      <c r="P388" s="479">
        <f t="shared" si="41"/>
        <v>350927924.75193596</v>
      </c>
    </row>
    <row r="389" spans="2:16" s="477" customFormat="1">
      <c r="B389" s="530">
        <v>40000029</v>
      </c>
      <c r="C389" s="489" t="s">
        <v>10</v>
      </c>
      <c r="D389" s="65" t="s">
        <v>126</v>
      </c>
      <c r="E389" s="31" t="s">
        <v>166</v>
      </c>
      <c r="F389" s="29" t="s">
        <v>1816</v>
      </c>
      <c r="G389" s="480"/>
      <c r="H389" s="60">
        <v>262549390.1671305</v>
      </c>
      <c r="I389" s="525">
        <v>43739</v>
      </c>
      <c r="J389" s="481">
        <f t="shared" si="42"/>
        <v>632</v>
      </c>
      <c r="K389" s="479" t="str">
        <f t="shared" si="36"/>
        <v/>
      </c>
      <c r="L389" s="479" t="str">
        <f t="shared" si="37"/>
        <v/>
      </c>
      <c r="M389" s="487" t="str">
        <f t="shared" si="38"/>
        <v/>
      </c>
      <c r="N389" s="479" t="str">
        <f t="shared" si="39"/>
        <v/>
      </c>
      <c r="O389" s="479" t="str">
        <f t="shared" si="40"/>
        <v/>
      </c>
      <c r="P389" s="479">
        <f t="shared" si="41"/>
        <v>262549390.1671305</v>
      </c>
    </row>
    <row r="390" spans="2:16" s="477" customFormat="1">
      <c r="B390" s="530">
        <v>40000029</v>
      </c>
      <c r="C390" s="489" t="s">
        <v>10</v>
      </c>
      <c r="D390" s="65" t="s">
        <v>126</v>
      </c>
      <c r="E390" s="31" t="s">
        <v>170</v>
      </c>
      <c r="F390" s="29" t="s">
        <v>1817</v>
      </c>
      <c r="G390" s="480"/>
      <c r="H390" s="60">
        <v>204093979.07015252</v>
      </c>
      <c r="I390" s="523">
        <v>43770</v>
      </c>
      <c r="J390" s="481">
        <f t="shared" si="42"/>
        <v>601</v>
      </c>
      <c r="K390" s="479" t="str">
        <f t="shared" si="36"/>
        <v/>
      </c>
      <c r="L390" s="479" t="str">
        <f t="shared" si="37"/>
        <v/>
      </c>
      <c r="M390" s="487" t="str">
        <f t="shared" si="38"/>
        <v/>
      </c>
      <c r="N390" s="479" t="str">
        <f t="shared" si="39"/>
        <v/>
      </c>
      <c r="O390" s="479" t="str">
        <f t="shared" si="40"/>
        <v/>
      </c>
      <c r="P390" s="479">
        <f t="shared" si="41"/>
        <v>204093979.07015252</v>
      </c>
    </row>
    <row r="391" spans="2:16" s="477" customFormat="1">
      <c r="B391" s="530">
        <v>40000029</v>
      </c>
      <c r="C391" s="489" t="s">
        <v>10</v>
      </c>
      <c r="D391" s="65" t="s">
        <v>126</v>
      </c>
      <c r="E391" s="66" t="s">
        <v>174</v>
      </c>
      <c r="F391" s="492" t="s">
        <v>1818</v>
      </c>
      <c r="G391" s="480"/>
      <c r="H391" s="60">
        <v>177089229.07308149</v>
      </c>
      <c r="I391" s="525">
        <v>43800</v>
      </c>
      <c r="J391" s="481">
        <f t="shared" si="42"/>
        <v>571</v>
      </c>
      <c r="K391" s="479" t="str">
        <f t="shared" ref="K391:K454" si="43">IF(AND(J391&gt;=16,J391&lt;=30),H391,"")</f>
        <v/>
      </c>
      <c r="L391" s="479" t="str">
        <f t="shared" ref="L391:L454" si="44">IF(AND(J391&gt;=31,J391&lt;=60),H391,"")</f>
        <v/>
      </c>
      <c r="M391" s="487" t="str">
        <f t="shared" ref="M391:M454" si="45">IF(AND(J391&gt;=61,J391&lt;=90),H391,"")</f>
        <v/>
      </c>
      <c r="N391" s="479" t="str">
        <f t="shared" ref="N391:N454" si="46">IF(AND(J391&gt;=91,J391&lt;=180),H391,"")</f>
        <v/>
      </c>
      <c r="O391" s="479" t="str">
        <f t="shared" ref="O391:O454" si="47">IF(AND(J391&gt;=181,J391&lt;=360),H391,"")</f>
        <v/>
      </c>
      <c r="P391" s="479">
        <f t="shared" ref="P391:P454" si="48">IF(J391&gt;=360,H391,"")</f>
        <v>177089229.07308149</v>
      </c>
    </row>
    <row r="392" spans="2:16" s="477" customFormat="1">
      <c r="B392" s="530">
        <v>40000029</v>
      </c>
      <c r="C392" s="489" t="s">
        <v>10</v>
      </c>
      <c r="D392" s="65" t="s">
        <v>126</v>
      </c>
      <c r="E392" s="31" t="s">
        <v>178</v>
      </c>
      <c r="F392" s="29" t="s">
        <v>1819</v>
      </c>
      <c r="G392" s="480"/>
      <c r="H392" s="60">
        <v>207384614.07812396</v>
      </c>
      <c r="I392" s="525">
        <v>43831</v>
      </c>
      <c r="J392" s="481">
        <f t="shared" ref="J392:J455" si="49">DATEDIF(I392,$J$4,"D")</f>
        <v>540</v>
      </c>
      <c r="K392" s="479" t="str">
        <f t="shared" si="43"/>
        <v/>
      </c>
      <c r="L392" s="479" t="str">
        <f t="shared" si="44"/>
        <v/>
      </c>
      <c r="M392" s="487" t="str">
        <f t="shared" si="45"/>
        <v/>
      </c>
      <c r="N392" s="479" t="str">
        <f t="shared" si="46"/>
        <v/>
      </c>
      <c r="O392" s="479" t="str">
        <f t="shared" si="47"/>
        <v/>
      </c>
      <c r="P392" s="479">
        <f t="shared" si="48"/>
        <v>207384614.07812396</v>
      </c>
    </row>
    <row r="393" spans="2:16" s="477" customFormat="1">
      <c r="B393" s="530">
        <v>40000029</v>
      </c>
      <c r="C393" s="489" t="s">
        <v>10</v>
      </c>
      <c r="D393" s="65" t="s">
        <v>126</v>
      </c>
      <c r="E393" s="31" t="s">
        <v>181</v>
      </c>
      <c r="F393" s="29" t="s">
        <v>1820</v>
      </c>
      <c r="G393" s="480"/>
      <c r="H393" s="60">
        <v>206489822.46103048</v>
      </c>
      <c r="I393" s="523">
        <v>43832</v>
      </c>
      <c r="J393" s="481">
        <f t="shared" si="49"/>
        <v>539</v>
      </c>
      <c r="K393" s="479" t="str">
        <f t="shared" si="43"/>
        <v/>
      </c>
      <c r="L393" s="479" t="str">
        <f t="shared" si="44"/>
        <v/>
      </c>
      <c r="M393" s="487" t="str">
        <f t="shared" si="45"/>
        <v/>
      </c>
      <c r="N393" s="479" t="str">
        <f t="shared" si="46"/>
        <v/>
      </c>
      <c r="O393" s="479" t="str">
        <f t="shared" si="47"/>
        <v/>
      </c>
      <c r="P393" s="479">
        <f t="shared" si="48"/>
        <v>206489822.46103048</v>
      </c>
    </row>
    <row r="394" spans="2:16" s="477" customFormat="1">
      <c r="B394" s="530">
        <v>40000029</v>
      </c>
      <c r="C394" s="489" t="s">
        <v>10</v>
      </c>
      <c r="D394" s="65" t="s">
        <v>126</v>
      </c>
      <c r="E394" s="66" t="s">
        <v>185</v>
      </c>
      <c r="F394" s="492" t="s">
        <v>1821</v>
      </c>
      <c r="G394" s="480"/>
      <c r="H394" s="60">
        <v>161950852.88539499</v>
      </c>
      <c r="I394" s="525">
        <v>43903</v>
      </c>
      <c r="J394" s="481">
        <f t="shared" si="49"/>
        <v>468</v>
      </c>
      <c r="K394" s="479" t="str">
        <f t="shared" si="43"/>
        <v/>
      </c>
      <c r="L394" s="479" t="str">
        <f t="shared" si="44"/>
        <v/>
      </c>
      <c r="M394" s="487" t="str">
        <f t="shared" si="45"/>
        <v/>
      </c>
      <c r="N394" s="479" t="str">
        <f t="shared" si="46"/>
        <v/>
      </c>
      <c r="O394" s="479" t="str">
        <f t="shared" si="47"/>
        <v/>
      </c>
      <c r="P394" s="479">
        <f t="shared" si="48"/>
        <v>161950852.88539499</v>
      </c>
    </row>
    <row r="395" spans="2:16" s="477" customFormat="1">
      <c r="B395" s="530">
        <v>40000029</v>
      </c>
      <c r="C395" s="489" t="s">
        <v>10</v>
      </c>
      <c r="D395" s="65" t="s">
        <v>126</v>
      </c>
      <c r="E395" s="31" t="s">
        <v>189</v>
      </c>
      <c r="F395" s="29" t="s">
        <v>1822</v>
      </c>
      <c r="G395" s="480"/>
      <c r="H395" s="60">
        <v>161661853.3057726</v>
      </c>
      <c r="I395" s="525">
        <v>43916</v>
      </c>
      <c r="J395" s="481">
        <f t="shared" si="49"/>
        <v>455</v>
      </c>
      <c r="K395" s="479" t="str">
        <f t="shared" si="43"/>
        <v/>
      </c>
      <c r="L395" s="479" t="str">
        <f t="shared" si="44"/>
        <v/>
      </c>
      <c r="M395" s="487" t="str">
        <f t="shared" si="45"/>
        <v/>
      </c>
      <c r="N395" s="479" t="str">
        <f t="shared" si="46"/>
        <v/>
      </c>
      <c r="O395" s="479" t="str">
        <f t="shared" si="47"/>
        <v/>
      </c>
      <c r="P395" s="479">
        <f t="shared" si="48"/>
        <v>161661853.3057726</v>
      </c>
    </row>
    <row r="396" spans="2:16" s="477" customFormat="1">
      <c r="B396" s="530">
        <v>40000029</v>
      </c>
      <c r="C396" s="489" t="s">
        <v>10</v>
      </c>
      <c r="D396" s="65" t="s">
        <v>126</v>
      </c>
      <c r="E396" s="31" t="s">
        <v>191</v>
      </c>
      <c r="F396" s="29" t="s">
        <v>1823</v>
      </c>
      <c r="G396" s="480">
        <v>43986</v>
      </c>
      <c r="H396" s="60">
        <v>242390447.33284733</v>
      </c>
      <c r="I396" s="523">
        <v>43962</v>
      </c>
      <c r="J396" s="481">
        <f t="shared" si="49"/>
        <v>409</v>
      </c>
      <c r="K396" s="479" t="str">
        <f t="shared" si="43"/>
        <v/>
      </c>
      <c r="L396" s="479" t="str">
        <f t="shared" si="44"/>
        <v/>
      </c>
      <c r="M396" s="487" t="str">
        <f t="shared" si="45"/>
        <v/>
      </c>
      <c r="N396" s="479" t="str">
        <f t="shared" si="46"/>
        <v/>
      </c>
      <c r="O396" s="479" t="str">
        <f t="shared" si="47"/>
        <v/>
      </c>
      <c r="P396" s="479">
        <f t="shared" si="48"/>
        <v>242390447.33284733</v>
      </c>
    </row>
    <row r="397" spans="2:16" s="477" customFormat="1">
      <c r="B397" s="530">
        <v>40000029</v>
      </c>
      <c r="C397" s="489" t="s">
        <v>10</v>
      </c>
      <c r="D397" s="65" t="s">
        <v>126</v>
      </c>
      <c r="E397" s="66" t="s">
        <v>195</v>
      </c>
      <c r="F397" s="492" t="s">
        <v>1824</v>
      </c>
      <c r="G397" s="480" t="s">
        <v>197</v>
      </c>
      <c r="H397" s="60">
        <v>178221564.87476817</v>
      </c>
      <c r="I397" s="525">
        <v>44001</v>
      </c>
      <c r="J397" s="481">
        <f t="shared" si="49"/>
        <v>370</v>
      </c>
      <c r="K397" s="479" t="str">
        <f t="shared" si="43"/>
        <v/>
      </c>
      <c r="L397" s="479" t="str">
        <f t="shared" si="44"/>
        <v/>
      </c>
      <c r="M397" s="487" t="str">
        <f t="shared" si="45"/>
        <v/>
      </c>
      <c r="N397" s="479" t="str">
        <f t="shared" si="46"/>
        <v/>
      </c>
      <c r="O397" s="479" t="str">
        <f t="shared" si="47"/>
        <v/>
      </c>
      <c r="P397" s="479">
        <f t="shared" si="48"/>
        <v>178221564.87476817</v>
      </c>
    </row>
    <row r="398" spans="2:16" s="477" customFormat="1">
      <c r="B398" s="530">
        <v>40000029</v>
      </c>
      <c r="C398" s="489" t="s">
        <v>10</v>
      </c>
      <c r="D398" s="65" t="s">
        <v>126</v>
      </c>
      <c r="E398" s="31" t="s">
        <v>199</v>
      </c>
      <c r="F398" s="29" t="s">
        <v>1825</v>
      </c>
      <c r="G398" s="480">
        <v>44049</v>
      </c>
      <c r="H398" s="60">
        <v>187004580.13432726</v>
      </c>
      <c r="I398" s="525">
        <v>44035</v>
      </c>
      <c r="J398" s="481">
        <f t="shared" si="49"/>
        <v>336</v>
      </c>
      <c r="K398" s="479" t="str">
        <f t="shared" si="43"/>
        <v/>
      </c>
      <c r="L398" s="479" t="str">
        <f t="shared" si="44"/>
        <v/>
      </c>
      <c r="M398" s="487" t="str">
        <f t="shared" si="45"/>
        <v/>
      </c>
      <c r="N398" s="479" t="str">
        <f t="shared" si="46"/>
        <v/>
      </c>
      <c r="O398" s="479">
        <f t="shared" si="47"/>
        <v>187004580.13432726</v>
      </c>
      <c r="P398" s="479" t="str">
        <f t="shared" si="48"/>
        <v/>
      </c>
    </row>
    <row r="399" spans="2:16" s="477" customFormat="1">
      <c r="B399" s="530">
        <v>40000029</v>
      </c>
      <c r="C399" s="489" t="s">
        <v>10</v>
      </c>
      <c r="D399" s="65" t="s">
        <v>126</v>
      </c>
      <c r="E399" s="31" t="s">
        <v>201</v>
      </c>
      <c r="F399" s="29" t="s">
        <v>1826</v>
      </c>
      <c r="G399" s="480" t="s">
        <v>449</v>
      </c>
      <c r="H399" s="60">
        <v>225642867.40985948</v>
      </c>
      <c r="I399" s="523">
        <v>44067</v>
      </c>
      <c r="J399" s="481">
        <f t="shared" si="49"/>
        <v>304</v>
      </c>
      <c r="K399" s="479" t="str">
        <f t="shared" si="43"/>
        <v/>
      </c>
      <c r="L399" s="479" t="str">
        <f t="shared" si="44"/>
        <v/>
      </c>
      <c r="M399" s="487" t="str">
        <f t="shared" si="45"/>
        <v/>
      </c>
      <c r="N399" s="479" t="str">
        <f t="shared" si="46"/>
        <v/>
      </c>
      <c r="O399" s="479">
        <f t="shared" si="47"/>
        <v>225642867.40985948</v>
      </c>
      <c r="P399" s="479" t="str">
        <f t="shared" si="48"/>
        <v/>
      </c>
    </row>
    <row r="400" spans="2:16" s="477" customFormat="1">
      <c r="B400" s="530">
        <v>40000029</v>
      </c>
      <c r="C400" s="489" t="s">
        <v>10</v>
      </c>
      <c r="D400" s="65" t="s">
        <v>126</v>
      </c>
      <c r="E400" s="66" t="s">
        <v>203</v>
      </c>
      <c r="F400" s="492" t="s">
        <v>1827</v>
      </c>
      <c r="G400" s="480">
        <v>44112</v>
      </c>
      <c r="H400" s="60">
        <v>248345224.85850483</v>
      </c>
      <c r="I400" s="525">
        <v>44084</v>
      </c>
      <c r="J400" s="481">
        <f t="shared" si="49"/>
        <v>287</v>
      </c>
      <c r="K400" s="479" t="str">
        <f t="shared" si="43"/>
        <v/>
      </c>
      <c r="L400" s="479" t="str">
        <f t="shared" si="44"/>
        <v/>
      </c>
      <c r="M400" s="487" t="str">
        <f t="shared" si="45"/>
        <v/>
      </c>
      <c r="N400" s="479" t="str">
        <f t="shared" si="46"/>
        <v/>
      </c>
      <c r="O400" s="479">
        <f t="shared" si="47"/>
        <v>248345224.85850483</v>
      </c>
      <c r="P400" s="479" t="str">
        <f t="shared" si="48"/>
        <v/>
      </c>
    </row>
    <row r="401" spans="2:16" s="477" customFormat="1">
      <c r="B401" s="530">
        <v>40000029</v>
      </c>
      <c r="C401" s="489" t="s">
        <v>10</v>
      </c>
      <c r="D401" s="65" t="s">
        <v>126</v>
      </c>
      <c r="E401" s="31" t="s">
        <v>207</v>
      </c>
      <c r="F401" s="29" t="s">
        <v>1829</v>
      </c>
      <c r="G401" s="480" t="s">
        <v>209</v>
      </c>
      <c r="H401" s="60">
        <v>228789951.72918457</v>
      </c>
      <c r="I401" s="525">
        <v>44106</v>
      </c>
      <c r="J401" s="481">
        <f t="shared" si="49"/>
        <v>265</v>
      </c>
      <c r="K401" s="479" t="str">
        <f t="shared" si="43"/>
        <v/>
      </c>
      <c r="L401" s="479" t="str">
        <f t="shared" si="44"/>
        <v/>
      </c>
      <c r="M401" s="487" t="str">
        <f t="shared" si="45"/>
        <v/>
      </c>
      <c r="N401" s="479" t="str">
        <f t="shared" si="46"/>
        <v/>
      </c>
      <c r="O401" s="479">
        <f t="shared" si="47"/>
        <v>228789951.72918457</v>
      </c>
      <c r="P401" s="479" t="str">
        <f t="shared" si="48"/>
        <v/>
      </c>
    </row>
    <row r="402" spans="2:16" s="477" customFormat="1">
      <c r="B402" s="530">
        <v>40000029</v>
      </c>
      <c r="C402" s="489" t="s">
        <v>10</v>
      </c>
      <c r="D402" s="65" t="s">
        <v>126</v>
      </c>
      <c r="E402" s="31" t="s">
        <v>212</v>
      </c>
      <c r="F402" s="29" t="s">
        <v>1830</v>
      </c>
      <c r="G402" s="480" t="s">
        <v>736</v>
      </c>
      <c r="H402" s="60">
        <v>270766862.59763616</v>
      </c>
      <c r="I402" s="523">
        <v>44132</v>
      </c>
      <c r="J402" s="481">
        <f t="shared" si="49"/>
        <v>239</v>
      </c>
      <c r="K402" s="479" t="str">
        <f t="shared" si="43"/>
        <v/>
      </c>
      <c r="L402" s="479" t="str">
        <f t="shared" si="44"/>
        <v/>
      </c>
      <c r="M402" s="487" t="str">
        <f t="shared" si="45"/>
        <v/>
      </c>
      <c r="N402" s="479" t="str">
        <f t="shared" si="46"/>
        <v/>
      </c>
      <c r="O402" s="479">
        <f t="shared" si="47"/>
        <v>270766862.59763616</v>
      </c>
      <c r="P402" s="479" t="str">
        <f t="shared" si="48"/>
        <v/>
      </c>
    </row>
    <row r="403" spans="2:16" s="477" customFormat="1">
      <c r="B403" s="530">
        <v>40000029</v>
      </c>
      <c r="C403" s="489" t="s">
        <v>10</v>
      </c>
      <c r="D403" s="65" t="s">
        <v>126</v>
      </c>
      <c r="E403" s="66" t="s">
        <v>214</v>
      </c>
      <c r="F403" s="492" t="s">
        <v>1831</v>
      </c>
      <c r="G403" s="480">
        <v>43962</v>
      </c>
      <c r="H403" s="60">
        <v>243585185.96501634</v>
      </c>
      <c r="I403" s="525">
        <v>44170</v>
      </c>
      <c r="J403" s="481">
        <f t="shared" si="49"/>
        <v>201</v>
      </c>
      <c r="K403" s="479" t="str">
        <f t="shared" si="43"/>
        <v/>
      </c>
      <c r="L403" s="479" t="str">
        <f t="shared" si="44"/>
        <v/>
      </c>
      <c r="M403" s="487" t="str">
        <f t="shared" si="45"/>
        <v/>
      </c>
      <c r="N403" s="479" t="str">
        <f t="shared" si="46"/>
        <v/>
      </c>
      <c r="O403" s="479">
        <f t="shared" si="47"/>
        <v>243585185.96501634</v>
      </c>
      <c r="P403" s="479" t="str">
        <f t="shared" si="48"/>
        <v/>
      </c>
    </row>
    <row r="404" spans="2:16" s="477" customFormat="1">
      <c r="B404" s="530">
        <v>40000029</v>
      </c>
      <c r="C404" s="489" t="s">
        <v>10</v>
      </c>
      <c r="D404" s="65" t="s">
        <v>126</v>
      </c>
      <c r="E404" s="31" t="s">
        <v>218</v>
      </c>
      <c r="F404" s="29" t="s">
        <v>1832</v>
      </c>
      <c r="G404" s="480">
        <v>44024</v>
      </c>
      <c r="H404" s="60">
        <v>320131841.06051099</v>
      </c>
      <c r="I404" s="525">
        <v>44220</v>
      </c>
      <c r="J404" s="481">
        <f t="shared" si="49"/>
        <v>151</v>
      </c>
      <c r="K404" s="479" t="str">
        <f t="shared" si="43"/>
        <v/>
      </c>
      <c r="L404" s="479" t="str">
        <f t="shared" si="44"/>
        <v/>
      </c>
      <c r="M404" s="487" t="str">
        <f t="shared" si="45"/>
        <v/>
      </c>
      <c r="N404" s="479">
        <f t="shared" si="46"/>
        <v>320131841.06051099</v>
      </c>
      <c r="O404" s="479" t="str">
        <f t="shared" si="47"/>
        <v/>
      </c>
      <c r="P404" s="479" t="str">
        <f t="shared" si="48"/>
        <v/>
      </c>
    </row>
    <row r="405" spans="2:16" s="477" customFormat="1">
      <c r="B405" s="530">
        <v>40000029</v>
      </c>
      <c r="C405" s="489" t="s">
        <v>10</v>
      </c>
      <c r="D405" s="65" t="s">
        <v>126</v>
      </c>
      <c r="E405" s="31" t="s">
        <v>219</v>
      </c>
      <c r="F405" s="29" t="s">
        <v>1833</v>
      </c>
      <c r="G405" s="480">
        <v>44409</v>
      </c>
      <c r="H405" s="60">
        <v>248535841.23913005</v>
      </c>
      <c r="I405" s="523">
        <v>44235</v>
      </c>
      <c r="J405" s="481">
        <f t="shared" si="49"/>
        <v>136</v>
      </c>
      <c r="K405" s="479" t="str">
        <f t="shared" si="43"/>
        <v/>
      </c>
      <c r="L405" s="479" t="str">
        <f t="shared" si="44"/>
        <v/>
      </c>
      <c r="M405" s="487" t="str">
        <f t="shared" si="45"/>
        <v/>
      </c>
      <c r="N405" s="479">
        <f t="shared" si="46"/>
        <v>248535841.23913005</v>
      </c>
      <c r="O405" s="479" t="str">
        <f t="shared" si="47"/>
        <v/>
      </c>
      <c r="P405" s="479" t="str">
        <f t="shared" si="48"/>
        <v/>
      </c>
    </row>
    <row r="406" spans="2:16" s="477" customFormat="1">
      <c r="B406" s="530">
        <v>40000029</v>
      </c>
      <c r="C406" s="489" t="s">
        <v>10</v>
      </c>
      <c r="D406" s="65" t="s">
        <v>126</v>
      </c>
      <c r="E406" s="66" t="s">
        <v>221</v>
      </c>
      <c r="F406" s="492" t="s">
        <v>1834</v>
      </c>
      <c r="G406" s="480">
        <v>44441</v>
      </c>
      <c r="H406" s="60">
        <v>313256036.97312671</v>
      </c>
      <c r="I406" s="525">
        <v>44250</v>
      </c>
      <c r="J406" s="481">
        <f t="shared" si="49"/>
        <v>121</v>
      </c>
      <c r="K406" s="479" t="str">
        <f t="shared" si="43"/>
        <v/>
      </c>
      <c r="L406" s="479" t="str">
        <f t="shared" si="44"/>
        <v/>
      </c>
      <c r="M406" s="487" t="str">
        <f t="shared" si="45"/>
        <v/>
      </c>
      <c r="N406" s="479">
        <f t="shared" si="46"/>
        <v>313256036.97312671</v>
      </c>
      <c r="O406" s="479" t="str">
        <f t="shared" si="47"/>
        <v/>
      </c>
      <c r="P406" s="479" t="str">
        <f t="shared" si="48"/>
        <v/>
      </c>
    </row>
    <row r="407" spans="2:16" s="477" customFormat="1">
      <c r="B407" s="530">
        <v>40000029</v>
      </c>
      <c r="C407" s="489" t="s">
        <v>10</v>
      </c>
      <c r="D407" s="65" t="s">
        <v>126</v>
      </c>
      <c r="E407" s="31" t="s">
        <v>222</v>
      </c>
      <c r="F407" s="29" t="s">
        <v>1835</v>
      </c>
      <c r="G407" s="480">
        <v>44319</v>
      </c>
      <c r="H407" s="60">
        <v>265452877.75023654</v>
      </c>
      <c r="I407" s="525">
        <v>44291</v>
      </c>
      <c r="J407" s="481">
        <f t="shared" si="49"/>
        <v>80</v>
      </c>
      <c r="K407" s="479" t="str">
        <f t="shared" si="43"/>
        <v/>
      </c>
      <c r="L407" s="479" t="str">
        <f t="shared" si="44"/>
        <v/>
      </c>
      <c r="M407" s="487">
        <f t="shared" si="45"/>
        <v>265452877.75023654</v>
      </c>
      <c r="N407" s="479" t="str">
        <f t="shared" si="46"/>
        <v/>
      </c>
      <c r="O407" s="479" t="str">
        <f t="shared" si="47"/>
        <v/>
      </c>
      <c r="P407" s="479" t="str">
        <f t="shared" si="48"/>
        <v/>
      </c>
    </row>
    <row r="408" spans="2:16" s="477" customFormat="1">
      <c r="B408" s="530"/>
      <c r="C408" s="489"/>
      <c r="D408" s="65"/>
      <c r="E408" s="31"/>
      <c r="F408" s="29"/>
      <c r="G408" s="480"/>
      <c r="H408" s="60"/>
      <c r="I408" s="523"/>
      <c r="J408" s="481"/>
      <c r="K408" s="479" t="str">
        <f t="shared" si="43"/>
        <v/>
      </c>
      <c r="L408" s="479" t="str">
        <f t="shared" si="44"/>
        <v/>
      </c>
      <c r="M408" s="487" t="str">
        <f t="shared" si="45"/>
        <v/>
      </c>
      <c r="N408" s="479" t="str">
        <f t="shared" si="46"/>
        <v/>
      </c>
      <c r="O408" s="479" t="str">
        <f t="shared" si="47"/>
        <v/>
      </c>
      <c r="P408" s="479" t="str">
        <f t="shared" si="48"/>
        <v/>
      </c>
    </row>
    <row r="409" spans="2:16" s="477" customFormat="1">
      <c r="B409" s="530"/>
      <c r="C409" s="489"/>
      <c r="D409" s="65"/>
      <c r="E409" s="66"/>
      <c r="F409" s="492"/>
      <c r="G409" s="480"/>
      <c r="H409" s="60"/>
      <c r="I409" s="525"/>
      <c r="J409" s="481"/>
      <c r="K409" s="479" t="str">
        <f t="shared" si="43"/>
        <v/>
      </c>
      <c r="L409" s="479" t="str">
        <f t="shared" si="44"/>
        <v/>
      </c>
      <c r="M409" s="487" t="str">
        <f t="shared" si="45"/>
        <v/>
      </c>
      <c r="N409" s="479" t="str">
        <f t="shared" si="46"/>
        <v/>
      </c>
      <c r="O409" s="479" t="str">
        <f t="shared" si="47"/>
        <v/>
      </c>
      <c r="P409" s="479" t="str">
        <f t="shared" si="48"/>
        <v/>
      </c>
    </row>
    <row r="410" spans="2:16" s="477" customFormat="1">
      <c r="B410" s="530"/>
      <c r="C410" s="489"/>
      <c r="D410" s="65"/>
      <c r="E410" s="66"/>
      <c r="F410" s="492"/>
      <c r="G410" s="480"/>
      <c r="H410" s="60">
        <v>5698439.7682072818</v>
      </c>
      <c r="I410" s="525"/>
      <c r="J410" s="481"/>
      <c r="K410" s="479" t="str">
        <f t="shared" si="43"/>
        <v/>
      </c>
      <c r="L410" s="479" t="str">
        <f t="shared" si="44"/>
        <v/>
      </c>
      <c r="M410" s="487" t="str">
        <f t="shared" si="45"/>
        <v/>
      </c>
      <c r="N410" s="479" t="str">
        <f t="shared" si="46"/>
        <v/>
      </c>
      <c r="O410" s="479" t="str">
        <f t="shared" si="47"/>
        <v/>
      </c>
      <c r="P410" s="479" t="str">
        <f t="shared" si="48"/>
        <v/>
      </c>
    </row>
    <row r="411" spans="2:16" s="477" customFormat="1">
      <c r="B411" s="530">
        <v>10009812</v>
      </c>
      <c r="C411" s="489" t="s">
        <v>10</v>
      </c>
      <c r="D411" s="65" t="s">
        <v>121</v>
      </c>
      <c r="E411" s="31" t="s">
        <v>212</v>
      </c>
      <c r="F411" s="29" t="s">
        <v>263</v>
      </c>
      <c r="G411" s="480">
        <v>44084</v>
      </c>
      <c r="H411" s="60">
        <v>53916041.701721244</v>
      </c>
      <c r="I411" s="525">
        <v>44129</v>
      </c>
      <c r="J411" s="481">
        <f t="shared" si="49"/>
        <v>242</v>
      </c>
      <c r="K411" s="479" t="str">
        <f t="shared" si="43"/>
        <v/>
      </c>
      <c r="L411" s="479" t="str">
        <f t="shared" si="44"/>
        <v/>
      </c>
      <c r="M411" s="487" t="str">
        <f t="shared" si="45"/>
        <v/>
      </c>
      <c r="N411" s="479" t="str">
        <f t="shared" si="46"/>
        <v/>
      </c>
      <c r="O411" s="479">
        <f t="shared" si="47"/>
        <v>53916041.701721244</v>
      </c>
      <c r="P411" s="479" t="str">
        <f t="shared" si="48"/>
        <v/>
      </c>
    </row>
    <row r="412" spans="2:16" s="477" customFormat="1">
      <c r="B412" s="530">
        <v>10009812</v>
      </c>
      <c r="C412" s="489" t="s">
        <v>10</v>
      </c>
      <c r="D412" s="65" t="s">
        <v>121</v>
      </c>
      <c r="E412" s="31" t="s">
        <v>214</v>
      </c>
      <c r="F412" s="29" t="s">
        <v>265</v>
      </c>
      <c r="G412" s="480">
        <v>43962</v>
      </c>
      <c r="H412" s="60">
        <v>45678718.928719997</v>
      </c>
      <c r="I412" s="523">
        <v>44157</v>
      </c>
      <c r="J412" s="481">
        <f t="shared" si="49"/>
        <v>214</v>
      </c>
      <c r="K412" s="479" t="str">
        <f t="shared" si="43"/>
        <v/>
      </c>
      <c r="L412" s="479" t="str">
        <f t="shared" si="44"/>
        <v/>
      </c>
      <c r="M412" s="487" t="str">
        <f t="shared" si="45"/>
        <v/>
      </c>
      <c r="N412" s="479" t="str">
        <f t="shared" si="46"/>
        <v/>
      </c>
      <c r="O412" s="479">
        <f t="shared" si="47"/>
        <v>45678718.928719997</v>
      </c>
      <c r="P412" s="479" t="str">
        <f t="shared" si="48"/>
        <v/>
      </c>
    </row>
    <row r="413" spans="2:16" s="477" customFormat="1">
      <c r="B413" s="530">
        <v>10009812</v>
      </c>
      <c r="C413" s="489" t="s">
        <v>10</v>
      </c>
      <c r="D413" s="65" t="s">
        <v>121</v>
      </c>
      <c r="E413" s="66" t="s">
        <v>218</v>
      </c>
      <c r="F413" s="492" t="s">
        <v>267</v>
      </c>
      <c r="G413" s="480" t="s">
        <v>703</v>
      </c>
      <c r="H413" s="60">
        <v>99273258.709858984</v>
      </c>
      <c r="I413" s="525">
        <v>44208</v>
      </c>
      <c r="J413" s="481">
        <f t="shared" si="49"/>
        <v>163</v>
      </c>
      <c r="K413" s="479" t="str">
        <f t="shared" si="43"/>
        <v/>
      </c>
      <c r="L413" s="479" t="str">
        <f t="shared" si="44"/>
        <v/>
      </c>
      <c r="M413" s="487" t="str">
        <f t="shared" si="45"/>
        <v/>
      </c>
      <c r="N413" s="479">
        <f t="shared" si="46"/>
        <v>99273258.709858984</v>
      </c>
      <c r="O413" s="479" t="str">
        <f t="shared" si="47"/>
        <v/>
      </c>
      <c r="P413" s="479" t="str">
        <f t="shared" si="48"/>
        <v/>
      </c>
    </row>
    <row r="414" spans="2:16" s="477" customFormat="1">
      <c r="B414" s="530">
        <v>10009812</v>
      </c>
      <c r="C414" s="489" t="s">
        <v>10</v>
      </c>
      <c r="D414" s="65" t="s">
        <v>121</v>
      </c>
      <c r="E414" s="31" t="s">
        <v>219</v>
      </c>
      <c r="F414" s="29" t="s">
        <v>268</v>
      </c>
      <c r="G414" s="480">
        <v>44409</v>
      </c>
      <c r="H414" s="60">
        <v>46754567.015064746</v>
      </c>
      <c r="I414" s="525">
        <v>44219</v>
      </c>
      <c r="J414" s="481">
        <f t="shared" si="49"/>
        <v>152</v>
      </c>
      <c r="K414" s="479" t="str">
        <f t="shared" si="43"/>
        <v/>
      </c>
      <c r="L414" s="479" t="str">
        <f t="shared" si="44"/>
        <v/>
      </c>
      <c r="M414" s="487" t="str">
        <f t="shared" si="45"/>
        <v/>
      </c>
      <c r="N414" s="479">
        <f t="shared" si="46"/>
        <v>46754567.015064746</v>
      </c>
      <c r="O414" s="479" t="str">
        <f t="shared" si="47"/>
        <v/>
      </c>
      <c r="P414" s="479" t="str">
        <f t="shared" si="48"/>
        <v/>
      </c>
    </row>
    <row r="415" spans="2:16" s="477" customFormat="1">
      <c r="B415" s="530">
        <v>10009812</v>
      </c>
      <c r="C415" s="489" t="s">
        <v>10</v>
      </c>
      <c r="D415" s="65" t="s">
        <v>121</v>
      </c>
      <c r="E415" s="31" t="s">
        <v>221</v>
      </c>
      <c r="F415" s="29" t="s">
        <v>122</v>
      </c>
      <c r="G415" s="480">
        <v>44441</v>
      </c>
      <c r="H415" s="60">
        <v>86716445.586309001</v>
      </c>
      <c r="I415" s="523">
        <v>44289</v>
      </c>
      <c r="J415" s="481">
        <f t="shared" si="49"/>
        <v>82</v>
      </c>
      <c r="K415" s="479" t="str">
        <f t="shared" si="43"/>
        <v/>
      </c>
      <c r="L415" s="479" t="str">
        <f t="shared" si="44"/>
        <v/>
      </c>
      <c r="M415" s="487">
        <f t="shared" si="45"/>
        <v>86716445.586309001</v>
      </c>
      <c r="N415" s="479" t="str">
        <f t="shared" si="46"/>
        <v/>
      </c>
      <c r="O415" s="479" t="str">
        <f t="shared" si="47"/>
        <v/>
      </c>
      <c r="P415" s="479" t="str">
        <f t="shared" si="48"/>
        <v/>
      </c>
    </row>
    <row r="416" spans="2:16" s="477" customFormat="1">
      <c r="B416" s="530">
        <v>10009812</v>
      </c>
      <c r="C416" s="489" t="s">
        <v>10</v>
      </c>
      <c r="D416" s="65" t="s">
        <v>121</v>
      </c>
      <c r="E416" s="66" t="s">
        <v>222</v>
      </c>
      <c r="F416" s="492" t="s">
        <v>271</v>
      </c>
      <c r="G416" s="480">
        <v>44319</v>
      </c>
      <c r="H416" s="60">
        <v>155878471.77331275</v>
      </c>
      <c r="I416" s="525">
        <v>44306</v>
      </c>
      <c r="J416" s="481">
        <f t="shared" si="49"/>
        <v>65</v>
      </c>
      <c r="K416" s="479" t="str">
        <f t="shared" si="43"/>
        <v/>
      </c>
      <c r="L416" s="479" t="str">
        <f t="shared" si="44"/>
        <v/>
      </c>
      <c r="M416" s="487">
        <f t="shared" si="45"/>
        <v>155878471.77331275</v>
      </c>
      <c r="N416" s="479" t="str">
        <f t="shared" si="46"/>
        <v/>
      </c>
      <c r="O416" s="479" t="str">
        <f t="shared" si="47"/>
        <v/>
      </c>
      <c r="P416" s="479" t="str">
        <f t="shared" si="48"/>
        <v/>
      </c>
    </row>
    <row r="417" spans="2:16" s="477" customFormat="1">
      <c r="B417" s="530"/>
      <c r="C417" s="489"/>
      <c r="D417" s="65"/>
      <c r="E417" s="31"/>
      <c r="F417" s="29"/>
      <c r="G417" s="480"/>
      <c r="H417" s="60"/>
      <c r="I417" s="525"/>
      <c r="J417" s="481"/>
      <c r="K417" s="479" t="str">
        <f t="shared" si="43"/>
        <v/>
      </c>
      <c r="L417" s="479" t="str">
        <f t="shared" si="44"/>
        <v/>
      </c>
      <c r="M417" s="487" t="str">
        <f t="shared" si="45"/>
        <v/>
      </c>
      <c r="N417" s="479" t="str">
        <f t="shared" si="46"/>
        <v/>
      </c>
      <c r="O417" s="479" t="str">
        <f t="shared" si="47"/>
        <v/>
      </c>
      <c r="P417" s="479" t="str">
        <f t="shared" si="48"/>
        <v/>
      </c>
    </row>
    <row r="418" spans="2:16" s="477" customFormat="1">
      <c r="B418" s="530"/>
      <c r="C418" s="489"/>
      <c r="D418" s="65"/>
      <c r="E418" s="31"/>
      <c r="F418" s="29"/>
      <c r="G418" s="480"/>
      <c r="H418" s="60"/>
      <c r="I418" s="523"/>
      <c r="J418" s="481"/>
      <c r="K418" s="479" t="str">
        <f t="shared" si="43"/>
        <v/>
      </c>
      <c r="L418" s="479" t="str">
        <f t="shared" si="44"/>
        <v/>
      </c>
      <c r="M418" s="487" t="str">
        <f t="shared" si="45"/>
        <v/>
      </c>
      <c r="N418" s="479" t="str">
        <f t="shared" si="46"/>
        <v/>
      </c>
      <c r="O418" s="479" t="str">
        <f t="shared" si="47"/>
        <v/>
      </c>
      <c r="P418" s="479" t="str">
        <f t="shared" si="48"/>
        <v/>
      </c>
    </row>
    <row r="419" spans="2:16" s="477" customFormat="1">
      <c r="B419" s="530"/>
      <c r="C419" s="489"/>
      <c r="D419" s="65"/>
      <c r="E419" s="66"/>
      <c r="F419" s="492"/>
      <c r="G419" s="480"/>
      <c r="H419" s="60"/>
      <c r="I419" s="525"/>
      <c r="J419" s="481"/>
      <c r="K419" s="479" t="str">
        <f t="shared" si="43"/>
        <v/>
      </c>
      <c r="L419" s="479" t="str">
        <f t="shared" si="44"/>
        <v/>
      </c>
      <c r="M419" s="487" t="str">
        <f t="shared" si="45"/>
        <v/>
      </c>
      <c r="N419" s="479" t="str">
        <f t="shared" si="46"/>
        <v/>
      </c>
      <c r="O419" s="479" t="str">
        <f t="shared" si="47"/>
        <v/>
      </c>
      <c r="P419" s="479" t="str">
        <f t="shared" si="48"/>
        <v/>
      </c>
    </row>
    <row r="420" spans="2:16" s="477" customFormat="1">
      <c r="B420" s="530">
        <v>10015117</v>
      </c>
      <c r="C420" s="489" t="s">
        <v>10</v>
      </c>
      <c r="D420" s="65" t="s">
        <v>123</v>
      </c>
      <c r="E420" s="31" t="s">
        <v>212</v>
      </c>
      <c r="F420" s="29" t="s">
        <v>1589</v>
      </c>
      <c r="G420" s="480">
        <v>43842</v>
      </c>
      <c r="H420" s="60">
        <v>20967105.789999999</v>
      </c>
      <c r="I420" s="525">
        <v>43831</v>
      </c>
      <c r="J420" s="481">
        <f t="shared" si="49"/>
        <v>540</v>
      </c>
      <c r="K420" s="479" t="str">
        <f t="shared" si="43"/>
        <v/>
      </c>
      <c r="L420" s="479" t="str">
        <f t="shared" si="44"/>
        <v/>
      </c>
      <c r="M420" s="487" t="str">
        <f t="shared" si="45"/>
        <v/>
      </c>
      <c r="N420" s="479" t="str">
        <f t="shared" si="46"/>
        <v/>
      </c>
      <c r="O420" s="479" t="str">
        <f t="shared" si="47"/>
        <v/>
      </c>
      <c r="P420" s="479">
        <f t="shared" si="48"/>
        <v>20967105.789999999</v>
      </c>
    </row>
    <row r="421" spans="2:16" s="477" customFormat="1">
      <c r="B421" s="530">
        <v>10015117</v>
      </c>
      <c r="C421" s="489" t="s">
        <v>10</v>
      </c>
      <c r="D421" s="65" t="s">
        <v>123</v>
      </c>
      <c r="E421" s="31" t="s">
        <v>214</v>
      </c>
      <c r="F421" s="29" t="s">
        <v>1839</v>
      </c>
      <c r="G421" s="480">
        <v>43842</v>
      </c>
      <c r="H421" s="60">
        <v>85665466.530000001</v>
      </c>
      <c r="I421" s="523">
        <v>43831</v>
      </c>
      <c r="J421" s="481">
        <f t="shared" si="49"/>
        <v>540</v>
      </c>
      <c r="K421" s="479" t="str">
        <f t="shared" si="43"/>
        <v/>
      </c>
      <c r="L421" s="479" t="str">
        <f t="shared" si="44"/>
        <v/>
      </c>
      <c r="M421" s="487" t="str">
        <f t="shared" si="45"/>
        <v/>
      </c>
      <c r="N421" s="479" t="str">
        <f t="shared" si="46"/>
        <v/>
      </c>
      <c r="O421" s="479" t="str">
        <f t="shared" si="47"/>
        <v/>
      </c>
      <c r="P421" s="479">
        <f t="shared" si="48"/>
        <v>85665466.530000001</v>
      </c>
    </row>
    <row r="422" spans="2:16" s="477" customFormat="1">
      <c r="B422" s="530">
        <v>10015117</v>
      </c>
      <c r="C422" s="489" t="s">
        <v>10</v>
      </c>
      <c r="D422" s="65" t="s">
        <v>123</v>
      </c>
      <c r="E422" s="66" t="s">
        <v>218</v>
      </c>
      <c r="F422" s="492" t="s">
        <v>1840</v>
      </c>
      <c r="G422" s="480">
        <v>44024</v>
      </c>
      <c r="H422" s="60">
        <v>338411100.32999998</v>
      </c>
      <c r="I422" s="525">
        <v>44378</v>
      </c>
      <c r="J422" s="481" t="e">
        <f t="shared" si="49"/>
        <v>#NUM!</v>
      </c>
      <c r="K422" s="479" t="e">
        <f t="shared" si="43"/>
        <v>#NUM!</v>
      </c>
      <c r="L422" s="479" t="e">
        <f t="shared" si="44"/>
        <v>#NUM!</v>
      </c>
      <c r="M422" s="487" t="e">
        <f t="shared" si="45"/>
        <v>#NUM!</v>
      </c>
      <c r="N422" s="479" t="e">
        <f t="shared" si="46"/>
        <v>#NUM!</v>
      </c>
      <c r="O422" s="479" t="e">
        <f t="shared" si="47"/>
        <v>#NUM!</v>
      </c>
      <c r="P422" s="479" t="e">
        <f t="shared" si="48"/>
        <v>#NUM!</v>
      </c>
    </row>
    <row r="423" spans="2:16" s="477" customFormat="1">
      <c r="B423" s="530">
        <v>10015117</v>
      </c>
      <c r="C423" s="489" t="s">
        <v>10</v>
      </c>
      <c r="D423" s="65" t="s">
        <v>123</v>
      </c>
      <c r="E423" s="31" t="s">
        <v>219</v>
      </c>
      <c r="F423" s="29" t="s">
        <v>1841</v>
      </c>
      <c r="G423" s="480">
        <v>44409</v>
      </c>
      <c r="H423" s="60">
        <v>214459781.14014301</v>
      </c>
      <c r="I423" s="525">
        <v>44235</v>
      </c>
      <c r="J423" s="481">
        <f t="shared" si="49"/>
        <v>136</v>
      </c>
      <c r="K423" s="479" t="str">
        <f t="shared" si="43"/>
        <v/>
      </c>
      <c r="L423" s="479" t="str">
        <f t="shared" si="44"/>
        <v/>
      </c>
      <c r="M423" s="487" t="str">
        <f t="shared" si="45"/>
        <v/>
      </c>
      <c r="N423" s="479">
        <f t="shared" si="46"/>
        <v>214459781.14014301</v>
      </c>
      <c r="O423" s="479" t="str">
        <f t="shared" si="47"/>
        <v/>
      </c>
      <c r="P423" s="479" t="str">
        <f t="shared" si="48"/>
        <v/>
      </c>
    </row>
    <row r="424" spans="2:16" s="477" customFormat="1">
      <c r="B424" s="530">
        <v>10015117</v>
      </c>
      <c r="C424" s="489" t="s">
        <v>10</v>
      </c>
      <c r="D424" s="65" t="s">
        <v>123</v>
      </c>
      <c r="E424" s="31" t="s">
        <v>221</v>
      </c>
      <c r="F424" s="29" t="s">
        <v>124</v>
      </c>
      <c r="G424" s="480" t="s">
        <v>81</v>
      </c>
      <c r="H424" s="60">
        <v>563003668.07780695</v>
      </c>
      <c r="I424" s="523">
        <v>44271</v>
      </c>
      <c r="J424" s="481">
        <f t="shared" si="49"/>
        <v>100</v>
      </c>
      <c r="K424" s="479" t="str">
        <f t="shared" si="43"/>
        <v/>
      </c>
      <c r="L424" s="479" t="str">
        <f t="shared" si="44"/>
        <v/>
      </c>
      <c r="M424" s="487" t="str">
        <f t="shared" si="45"/>
        <v/>
      </c>
      <c r="N424" s="479">
        <f t="shared" si="46"/>
        <v>563003668.07780695</v>
      </c>
      <c r="O424" s="479" t="str">
        <f t="shared" si="47"/>
        <v/>
      </c>
      <c r="P424" s="479" t="str">
        <f t="shared" si="48"/>
        <v/>
      </c>
    </row>
    <row r="425" spans="2:16" s="477" customFormat="1">
      <c r="B425" s="530">
        <v>10015117</v>
      </c>
      <c r="C425" s="489" t="s">
        <v>10</v>
      </c>
      <c r="D425" s="65" t="s">
        <v>123</v>
      </c>
      <c r="E425" s="66" t="s">
        <v>222</v>
      </c>
      <c r="F425" s="492" t="s">
        <v>155</v>
      </c>
      <c r="G425" s="480">
        <v>44472</v>
      </c>
      <c r="H425" s="60">
        <v>442405393.66638744</v>
      </c>
      <c r="I425" s="525">
        <v>44280</v>
      </c>
      <c r="J425" s="481">
        <f t="shared" si="49"/>
        <v>91</v>
      </c>
      <c r="K425" s="479" t="str">
        <f t="shared" si="43"/>
        <v/>
      </c>
      <c r="L425" s="479" t="str">
        <f t="shared" si="44"/>
        <v/>
      </c>
      <c r="M425" s="487" t="str">
        <f t="shared" si="45"/>
        <v/>
      </c>
      <c r="N425" s="479">
        <f t="shared" si="46"/>
        <v>442405393.66638744</v>
      </c>
      <c r="O425" s="479" t="str">
        <f t="shared" si="47"/>
        <v/>
      </c>
      <c r="P425" s="479" t="str">
        <f t="shared" si="48"/>
        <v/>
      </c>
    </row>
    <row r="426" spans="2:16" s="477" customFormat="1">
      <c r="B426" s="530"/>
      <c r="C426" s="489"/>
      <c r="D426" s="65"/>
      <c r="E426" s="31"/>
      <c r="F426" s="29"/>
      <c r="G426" s="480"/>
      <c r="H426" s="60"/>
      <c r="I426" s="525"/>
      <c r="J426" s="481"/>
      <c r="K426" s="479" t="str">
        <f t="shared" si="43"/>
        <v/>
      </c>
      <c r="L426" s="479" t="str">
        <f t="shared" si="44"/>
        <v/>
      </c>
      <c r="M426" s="487" t="str">
        <f t="shared" si="45"/>
        <v/>
      </c>
      <c r="N426" s="479" t="str">
        <f t="shared" si="46"/>
        <v/>
      </c>
      <c r="O426" s="479" t="str">
        <f t="shared" si="47"/>
        <v/>
      </c>
      <c r="P426" s="479" t="str">
        <f t="shared" si="48"/>
        <v/>
      </c>
    </row>
    <row r="427" spans="2:16" s="477" customFormat="1">
      <c r="B427" s="530"/>
      <c r="C427" s="489"/>
      <c r="D427" s="65"/>
      <c r="E427" s="31"/>
      <c r="F427" s="29"/>
      <c r="G427" s="480"/>
      <c r="H427" s="60"/>
      <c r="I427" s="523"/>
      <c r="J427" s="481"/>
      <c r="K427" s="479" t="str">
        <f t="shared" si="43"/>
        <v/>
      </c>
      <c r="L427" s="479" t="str">
        <f t="shared" si="44"/>
        <v/>
      </c>
      <c r="M427" s="487" t="str">
        <f t="shared" si="45"/>
        <v/>
      </c>
      <c r="N427" s="479" t="str">
        <f t="shared" si="46"/>
        <v/>
      </c>
      <c r="O427" s="479" t="str">
        <f t="shared" si="47"/>
        <v/>
      </c>
      <c r="P427" s="479" t="str">
        <f t="shared" si="48"/>
        <v/>
      </c>
    </row>
    <row r="428" spans="2:16" s="477" customFormat="1">
      <c r="B428" s="530"/>
      <c r="C428" s="489"/>
      <c r="D428" s="65"/>
      <c r="E428" s="66"/>
      <c r="F428" s="492"/>
      <c r="G428" s="480"/>
      <c r="H428" s="60"/>
      <c r="I428" s="525"/>
      <c r="J428" s="481"/>
      <c r="K428" s="479" t="str">
        <f t="shared" si="43"/>
        <v/>
      </c>
      <c r="L428" s="479" t="str">
        <f t="shared" si="44"/>
        <v/>
      </c>
      <c r="M428" s="487" t="str">
        <f t="shared" si="45"/>
        <v/>
      </c>
      <c r="N428" s="479" t="str">
        <f t="shared" si="46"/>
        <v/>
      </c>
      <c r="O428" s="479" t="str">
        <f t="shared" si="47"/>
        <v/>
      </c>
      <c r="P428" s="479" t="str">
        <f t="shared" si="48"/>
        <v/>
      </c>
    </row>
    <row r="429" spans="2:16" s="477" customFormat="1">
      <c r="B429" s="530">
        <v>10000256</v>
      </c>
      <c r="C429" s="489" t="s">
        <v>10</v>
      </c>
      <c r="D429" s="65" t="s">
        <v>18</v>
      </c>
      <c r="E429" s="31" t="s">
        <v>1845</v>
      </c>
      <c r="F429" s="29"/>
      <c r="G429" s="480"/>
      <c r="H429" s="60">
        <v>6116577724.9899998</v>
      </c>
      <c r="I429" s="525" t="s">
        <v>1846</v>
      </c>
      <c r="J429" s="481">
        <f t="shared" si="49"/>
        <v>2396</v>
      </c>
      <c r="K429" s="479" t="str">
        <f t="shared" si="43"/>
        <v/>
      </c>
      <c r="L429" s="479" t="str">
        <f t="shared" si="44"/>
        <v/>
      </c>
      <c r="M429" s="487" t="str">
        <f t="shared" si="45"/>
        <v/>
      </c>
      <c r="N429" s="479" t="str">
        <f t="shared" si="46"/>
        <v/>
      </c>
      <c r="O429" s="479" t="str">
        <f t="shared" si="47"/>
        <v/>
      </c>
      <c r="P429" s="479">
        <f t="shared" si="48"/>
        <v>6116577724.9899998</v>
      </c>
    </row>
    <row r="430" spans="2:16" s="477" customFormat="1">
      <c r="B430" s="530"/>
      <c r="C430" s="489"/>
      <c r="D430" s="65"/>
      <c r="E430" s="31"/>
      <c r="F430" s="29"/>
      <c r="G430" s="480"/>
      <c r="H430" s="60"/>
      <c r="I430" s="523"/>
      <c r="J430" s="481"/>
      <c r="K430" s="479" t="str">
        <f t="shared" si="43"/>
        <v/>
      </c>
      <c r="L430" s="479" t="str">
        <f t="shared" si="44"/>
        <v/>
      </c>
      <c r="M430" s="487" t="str">
        <f t="shared" si="45"/>
        <v/>
      </c>
      <c r="N430" s="479" t="str">
        <f t="shared" si="46"/>
        <v/>
      </c>
      <c r="O430" s="479" t="str">
        <f t="shared" si="47"/>
        <v/>
      </c>
      <c r="P430" s="479" t="str">
        <f t="shared" si="48"/>
        <v/>
      </c>
    </row>
    <row r="431" spans="2:16" s="477" customFormat="1">
      <c r="B431" s="530"/>
      <c r="C431" s="489"/>
      <c r="D431" s="65"/>
      <c r="E431" s="66"/>
      <c r="F431" s="492"/>
      <c r="G431" s="480"/>
      <c r="H431" s="60"/>
      <c r="I431" s="525"/>
      <c r="J431" s="481"/>
      <c r="K431" s="479" t="str">
        <f t="shared" si="43"/>
        <v/>
      </c>
      <c r="L431" s="479" t="str">
        <f t="shared" si="44"/>
        <v/>
      </c>
      <c r="M431" s="487" t="str">
        <f t="shared" si="45"/>
        <v/>
      </c>
      <c r="N431" s="479" t="str">
        <f t="shared" si="46"/>
        <v/>
      </c>
      <c r="O431" s="479" t="str">
        <f t="shared" si="47"/>
        <v/>
      </c>
      <c r="P431" s="479" t="str">
        <f t="shared" si="48"/>
        <v/>
      </c>
    </row>
    <row r="432" spans="2:16" s="477" customFormat="1">
      <c r="B432" s="530"/>
      <c r="C432" s="489"/>
      <c r="D432" s="65"/>
      <c r="E432" s="31"/>
      <c r="F432" s="29"/>
      <c r="G432" s="480"/>
      <c r="H432" s="60"/>
      <c r="I432" s="525"/>
      <c r="J432" s="481"/>
      <c r="K432" s="479" t="str">
        <f t="shared" si="43"/>
        <v/>
      </c>
      <c r="L432" s="479" t="str">
        <f t="shared" si="44"/>
        <v/>
      </c>
      <c r="M432" s="487" t="str">
        <f t="shared" si="45"/>
        <v/>
      </c>
      <c r="N432" s="479" t="str">
        <f t="shared" si="46"/>
        <v/>
      </c>
      <c r="O432" s="479" t="str">
        <f t="shared" si="47"/>
        <v/>
      </c>
      <c r="P432" s="479" t="str">
        <f t="shared" si="48"/>
        <v/>
      </c>
    </row>
    <row r="433" spans="2:16" s="477" customFormat="1">
      <c r="B433" s="530"/>
      <c r="C433" s="489"/>
      <c r="D433" s="65"/>
      <c r="E433" s="31"/>
      <c r="F433" s="29"/>
      <c r="G433" s="480"/>
      <c r="H433" s="60"/>
      <c r="I433" s="525"/>
      <c r="J433" s="481"/>
      <c r="K433" s="479" t="str">
        <f t="shared" si="43"/>
        <v/>
      </c>
      <c r="L433" s="479" t="str">
        <f t="shared" si="44"/>
        <v/>
      </c>
      <c r="M433" s="487" t="str">
        <f t="shared" si="45"/>
        <v/>
      </c>
      <c r="N433" s="479" t="str">
        <f t="shared" si="46"/>
        <v/>
      </c>
      <c r="O433" s="479" t="str">
        <f t="shared" si="47"/>
        <v/>
      </c>
      <c r="P433" s="479" t="str">
        <f t="shared" si="48"/>
        <v/>
      </c>
    </row>
    <row r="434" spans="2:16" s="477" customFormat="1">
      <c r="B434" s="530"/>
      <c r="C434" s="489"/>
      <c r="D434" s="65"/>
      <c r="E434" s="31" t="s">
        <v>136</v>
      </c>
      <c r="F434" s="29"/>
      <c r="G434" s="480"/>
      <c r="H434" s="60">
        <v>284910763.03999996</v>
      </c>
      <c r="I434" s="523"/>
      <c r="J434" s="481"/>
      <c r="K434" s="479" t="str">
        <f t="shared" si="43"/>
        <v/>
      </c>
      <c r="L434" s="479" t="str">
        <f t="shared" si="44"/>
        <v/>
      </c>
      <c r="M434" s="487" t="str">
        <f t="shared" si="45"/>
        <v/>
      </c>
      <c r="N434" s="479" t="str">
        <f t="shared" si="46"/>
        <v/>
      </c>
      <c r="O434" s="479" t="str">
        <f t="shared" si="47"/>
        <v/>
      </c>
      <c r="P434" s="479" t="str">
        <f t="shared" si="48"/>
        <v/>
      </c>
    </row>
    <row r="435" spans="2:16" s="477" customFormat="1">
      <c r="B435" s="530">
        <v>10000555</v>
      </c>
      <c r="C435" s="489" t="s">
        <v>10</v>
      </c>
      <c r="D435" s="65" t="s">
        <v>11</v>
      </c>
      <c r="E435" s="66" t="s">
        <v>1276</v>
      </c>
      <c r="F435" s="492" t="s">
        <v>71</v>
      </c>
      <c r="G435" s="480"/>
      <c r="H435" s="60">
        <v>51950518.93</v>
      </c>
      <c r="I435" s="525">
        <v>41806</v>
      </c>
      <c r="J435" s="481">
        <f t="shared" si="49"/>
        <v>2565</v>
      </c>
      <c r="K435" s="479" t="str">
        <f t="shared" si="43"/>
        <v/>
      </c>
      <c r="L435" s="479" t="str">
        <f t="shared" si="44"/>
        <v/>
      </c>
      <c r="M435" s="487" t="str">
        <f t="shared" si="45"/>
        <v/>
      </c>
      <c r="N435" s="479" t="str">
        <f t="shared" si="46"/>
        <v/>
      </c>
      <c r="O435" s="479" t="str">
        <f t="shared" si="47"/>
        <v/>
      </c>
      <c r="P435" s="479">
        <f t="shared" si="48"/>
        <v>51950518.93</v>
      </c>
    </row>
    <row r="436" spans="2:16" s="477" customFormat="1">
      <c r="B436" s="530">
        <v>10000555</v>
      </c>
      <c r="C436" s="489" t="s">
        <v>10</v>
      </c>
      <c r="D436" s="65" t="s">
        <v>11</v>
      </c>
      <c r="E436" s="31" t="s">
        <v>1282</v>
      </c>
      <c r="F436" s="29" t="s">
        <v>223</v>
      </c>
      <c r="G436" s="480"/>
      <c r="H436" s="60">
        <v>48383430.670000002</v>
      </c>
      <c r="I436" s="525">
        <v>41866</v>
      </c>
      <c r="J436" s="481">
        <f t="shared" si="49"/>
        <v>2505</v>
      </c>
      <c r="K436" s="479" t="str">
        <f t="shared" si="43"/>
        <v/>
      </c>
      <c r="L436" s="479" t="str">
        <f t="shared" si="44"/>
        <v/>
      </c>
      <c r="M436" s="487" t="str">
        <f t="shared" si="45"/>
        <v/>
      </c>
      <c r="N436" s="479" t="str">
        <f t="shared" si="46"/>
        <v/>
      </c>
      <c r="O436" s="479" t="str">
        <f t="shared" si="47"/>
        <v/>
      </c>
      <c r="P436" s="479">
        <f t="shared" si="48"/>
        <v>48383430.670000002</v>
      </c>
    </row>
    <row r="437" spans="2:16" s="477" customFormat="1">
      <c r="B437" s="530">
        <v>10000555</v>
      </c>
      <c r="C437" s="489" t="s">
        <v>10</v>
      </c>
      <c r="D437" s="65" t="s">
        <v>11</v>
      </c>
      <c r="E437" s="31" t="s">
        <v>1285</v>
      </c>
      <c r="F437" s="29" t="s">
        <v>367</v>
      </c>
      <c r="G437" s="480"/>
      <c r="H437" s="60">
        <v>42924554.740000002</v>
      </c>
      <c r="I437" s="523">
        <v>41876</v>
      </c>
      <c r="J437" s="481">
        <f t="shared" si="49"/>
        <v>2495</v>
      </c>
      <c r="K437" s="479" t="str">
        <f t="shared" si="43"/>
        <v/>
      </c>
      <c r="L437" s="479" t="str">
        <f t="shared" si="44"/>
        <v/>
      </c>
      <c r="M437" s="487" t="str">
        <f t="shared" si="45"/>
        <v/>
      </c>
      <c r="N437" s="479" t="str">
        <f t="shared" si="46"/>
        <v/>
      </c>
      <c r="O437" s="479" t="str">
        <f t="shared" si="47"/>
        <v/>
      </c>
      <c r="P437" s="479">
        <f t="shared" si="48"/>
        <v>42924554.740000002</v>
      </c>
    </row>
    <row r="438" spans="2:16" s="477" customFormat="1">
      <c r="B438" s="530">
        <v>10000555</v>
      </c>
      <c r="C438" s="489" t="s">
        <v>10</v>
      </c>
      <c r="D438" s="65" t="s">
        <v>11</v>
      </c>
      <c r="E438" s="66" t="s">
        <v>1287</v>
      </c>
      <c r="F438" s="492" t="s">
        <v>368</v>
      </c>
      <c r="G438" s="480"/>
      <c r="H438" s="60">
        <v>78149301.769999996</v>
      </c>
      <c r="I438" s="525">
        <v>41923</v>
      </c>
      <c r="J438" s="481">
        <f t="shared" si="49"/>
        <v>2448</v>
      </c>
      <c r="K438" s="479" t="str">
        <f t="shared" si="43"/>
        <v/>
      </c>
      <c r="L438" s="479" t="str">
        <f t="shared" si="44"/>
        <v/>
      </c>
      <c r="M438" s="487" t="str">
        <f t="shared" si="45"/>
        <v/>
      </c>
      <c r="N438" s="479" t="str">
        <f t="shared" si="46"/>
        <v/>
      </c>
      <c r="O438" s="479" t="str">
        <f t="shared" si="47"/>
        <v/>
      </c>
      <c r="P438" s="479">
        <f t="shared" si="48"/>
        <v>78149301.769999996</v>
      </c>
    </row>
    <row r="439" spans="2:16" s="477" customFormat="1">
      <c r="B439" s="530">
        <v>10000555</v>
      </c>
      <c r="C439" s="489" t="s">
        <v>10</v>
      </c>
      <c r="D439" s="65" t="s">
        <v>11</v>
      </c>
      <c r="E439" s="31" t="s">
        <v>1557</v>
      </c>
      <c r="F439" s="29" t="s">
        <v>370</v>
      </c>
      <c r="G439" s="480"/>
      <c r="H439" s="60">
        <v>104110475.72</v>
      </c>
      <c r="I439" s="525">
        <v>41962</v>
      </c>
      <c r="J439" s="481">
        <f t="shared" si="49"/>
        <v>2409</v>
      </c>
      <c r="K439" s="479" t="str">
        <f t="shared" si="43"/>
        <v/>
      </c>
      <c r="L439" s="479" t="str">
        <f t="shared" si="44"/>
        <v/>
      </c>
      <c r="M439" s="487" t="str">
        <f t="shared" si="45"/>
        <v/>
      </c>
      <c r="N439" s="479" t="str">
        <f t="shared" si="46"/>
        <v/>
      </c>
      <c r="O439" s="479" t="str">
        <f t="shared" si="47"/>
        <v/>
      </c>
      <c r="P439" s="479">
        <f t="shared" si="48"/>
        <v>104110475.72</v>
      </c>
    </row>
    <row r="440" spans="2:16" s="477" customFormat="1">
      <c r="B440" s="530">
        <v>10000555</v>
      </c>
      <c r="C440" s="489" t="s">
        <v>10</v>
      </c>
      <c r="D440" s="65" t="s">
        <v>11</v>
      </c>
      <c r="E440" s="31" t="s">
        <v>1559</v>
      </c>
      <c r="F440" s="29" t="s">
        <v>371</v>
      </c>
      <c r="G440" s="480"/>
      <c r="H440" s="60">
        <v>66861014.93</v>
      </c>
      <c r="I440" s="523">
        <v>41987</v>
      </c>
      <c r="J440" s="481">
        <f t="shared" si="49"/>
        <v>2384</v>
      </c>
      <c r="K440" s="479" t="str">
        <f t="shared" si="43"/>
        <v/>
      </c>
      <c r="L440" s="479" t="str">
        <f t="shared" si="44"/>
        <v/>
      </c>
      <c r="M440" s="487" t="str">
        <f t="shared" si="45"/>
        <v/>
      </c>
      <c r="N440" s="479" t="str">
        <f t="shared" si="46"/>
        <v/>
      </c>
      <c r="O440" s="479" t="str">
        <f t="shared" si="47"/>
        <v/>
      </c>
      <c r="P440" s="479">
        <f t="shared" si="48"/>
        <v>66861014.93</v>
      </c>
    </row>
    <row r="441" spans="2:16" s="477" customFormat="1">
      <c r="B441" s="530">
        <v>10000555</v>
      </c>
      <c r="C441" s="489" t="s">
        <v>10</v>
      </c>
      <c r="D441" s="65" t="s">
        <v>11</v>
      </c>
      <c r="E441" s="66" t="s">
        <v>1858</v>
      </c>
      <c r="F441" s="492" t="s">
        <v>372</v>
      </c>
      <c r="G441" s="480"/>
      <c r="H441" s="60">
        <v>95536887.25</v>
      </c>
      <c r="I441" s="525">
        <v>42016</v>
      </c>
      <c r="J441" s="481">
        <f t="shared" si="49"/>
        <v>2355</v>
      </c>
      <c r="K441" s="479" t="str">
        <f t="shared" si="43"/>
        <v/>
      </c>
      <c r="L441" s="479" t="str">
        <f t="shared" si="44"/>
        <v/>
      </c>
      <c r="M441" s="487" t="str">
        <f t="shared" si="45"/>
        <v/>
      </c>
      <c r="N441" s="479" t="str">
        <f t="shared" si="46"/>
        <v/>
      </c>
      <c r="O441" s="479" t="str">
        <f t="shared" si="47"/>
        <v/>
      </c>
      <c r="P441" s="479">
        <f t="shared" si="48"/>
        <v>95536887.25</v>
      </c>
    </row>
    <row r="442" spans="2:16" s="477" customFormat="1">
      <c r="B442" s="530">
        <v>10000555</v>
      </c>
      <c r="C442" s="489" t="s">
        <v>10</v>
      </c>
      <c r="D442" s="65" t="s">
        <v>11</v>
      </c>
      <c r="E442" s="31" t="s">
        <v>1860</v>
      </c>
      <c r="F442" s="29" t="s">
        <v>373</v>
      </c>
      <c r="G442" s="480"/>
      <c r="H442" s="60">
        <v>36328448.289999999</v>
      </c>
      <c r="I442" s="525">
        <v>42049</v>
      </c>
      <c r="J442" s="481">
        <f t="shared" si="49"/>
        <v>2322</v>
      </c>
      <c r="K442" s="479" t="str">
        <f t="shared" si="43"/>
        <v/>
      </c>
      <c r="L442" s="479" t="str">
        <f t="shared" si="44"/>
        <v/>
      </c>
      <c r="M442" s="487" t="str">
        <f t="shared" si="45"/>
        <v/>
      </c>
      <c r="N442" s="479" t="str">
        <f t="shared" si="46"/>
        <v/>
      </c>
      <c r="O442" s="479" t="str">
        <f t="shared" si="47"/>
        <v/>
      </c>
      <c r="P442" s="479">
        <f t="shared" si="48"/>
        <v>36328448.289999999</v>
      </c>
    </row>
    <row r="443" spans="2:16" s="477" customFormat="1">
      <c r="B443" s="530">
        <v>10000555</v>
      </c>
      <c r="C443" s="489" t="s">
        <v>10</v>
      </c>
      <c r="D443" s="65" t="s">
        <v>11</v>
      </c>
      <c r="E443" s="31" t="s">
        <v>1862</v>
      </c>
      <c r="F443" s="29" t="s">
        <v>92</v>
      </c>
      <c r="G443" s="480"/>
      <c r="H443" s="60">
        <v>25191902.559999999</v>
      </c>
      <c r="I443" s="523">
        <v>42077</v>
      </c>
      <c r="J443" s="481">
        <f t="shared" si="49"/>
        <v>2294</v>
      </c>
      <c r="K443" s="479" t="str">
        <f t="shared" si="43"/>
        <v/>
      </c>
      <c r="L443" s="479" t="str">
        <f t="shared" si="44"/>
        <v/>
      </c>
      <c r="M443" s="487" t="str">
        <f t="shared" si="45"/>
        <v/>
      </c>
      <c r="N443" s="479" t="str">
        <f t="shared" si="46"/>
        <v/>
      </c>
      <c r="O443" s="479" t="str">
        <f t="shared" si="47"/>
        <v/>
      </c>
      <c r="P443" s="479">
        <f t="shared" si="48"/>
        <v>25191902.559999999</v>
      </c>
    </row>
    <row r="444" spans="2:16" s="477" customFormat="1">
      <c r="B444" s="530">
        <v>10000555</v>
      </c>
      <c r="C444" s="489" t="s">
        <v>10</v>
      </c>
      <c r="D444" s="65" t="s">
        <v>11</v>
      </c>
      <c r="E444" s="66" t="s">
        <v>1864</v>
      </c>
      <c r="F444" s="492" t="s">
        <v>63</v>
      </c>
      <c r="G444" s="480"/>
      <c r="H444" s="60">
        <v>3268816.52</v>
      </c>
      <c r="I444" s="525">
        <v>42225</v>
      </c>
      <c r="J444" s="481">
        <f t="shared" si="49"/>
        <v>2146</v>
      </c>
      <c r="K444" s="479" t="str">
        <f t="shared" si="43"/>
        <v/>
      </c>
      <c r="L444" s="479" t="str">
        <f t="shared" si="44"/>
        <v/>
      </c>
      <c r="M444" s="487" t="str">
        <f t="shared" si="45"/>
        <v/>
      </c>
      <c r="N444" s="479" t="str">
        <f t="shared" si="46"/>
        <v/>
      </c>
      <c r="O444" s="479" t="str">
        <f t="shared" si="47"/>
        <v/>
      </c>
      <c r="P444" s="479">
        <f t="shared" si="48"/>
        <v>3268816.52</v>
      </c>
    </row>
    <row r="445" spans="2:16" s="477" customFormat="1">
      <c r="B445" s="530"/>
      <c r="C445" s="489"/>
      <c r="D445" s="65"/>
      <c r="E445" s="31"/>
      <c r="F445" s="29"/>
      <c r="G445" s="480"/>
      <c r="H445" s="60"/>
      <c r="I445" s="525"/>
      <c r="J445" s="481"/>
      <c r="K445" s="479" t="str">
        <f t="shared" si="43"/>
        <v/>
      </c>
      <c r="L445" s="479" t="str">
        <f t="shared" si="44"/>
        <v/>
      </c>
      <c r="M445" s="487" t="str">
        <f t="shared" si="45"/>
        <v/>
      </c>
      <c r="N445" s="479" t="str">
        <f t="shared" si="46"/>
        <v/>
      </c>
      <c r="O445" s="479" t="str">
        <f t="shared" si="47"/>
        <v/>
      </c>
      <c r="P445" s="479" t="str">
        <f t="shared" si="48"/>
        <v/>
      </c>
    </row>
    <row r="446" spans="2:16" s="477" customFormat="1">
      <c r="B446" s="530"/>
      <c r="C446" s="489"/>
      <c r="D446" s="65"/>
      <c r="E446" s="31"/>
      <c r="F446" s="29"/>
      <c r="G446" s="480"/>
      <c r="H446" s="60"/>
      <c r="I446" s="523"/>
      <c r="J446" s="481"/>
      <c r="K446" s="479" t="str">
        <f t="shared" si="43"/>
        <v/>
      </c>
      <c r="L446" s="479" t="str">
        <f t="shared" si="44"/>
        <v/>
      </c>
      <c r="M446" s="487" t="str">
        <f t="shared" si="45"/>
        <v/>
      </c>
      <c r="N446" s="479" t="str">
        <f t="shared" si="46"/>
        <v/>
      </c>
      <c r="O446" s="479" t="str">
        <f t="shared" si="47"/>
        <v/>
      </c>
      <c r="P446" s="479" t="str">
        <f t="shared" si="48"/>
        <v/>
      </c>
    </row>
    <row r="447" spans="2:16" s="477" customFormat="1">
      <c r="B447" s="530"/>
      <c r="C447" s="489"/>
      <c r="D447" s="65"/>
      <c r="E447" s="66"/>
      <c r="F447" s="492"/>
      <c r="G447" s="480"/>
      <c r="H447" s="60"/>
      <c r="I447" s="525"/>
      <c r="J447" s="481"/>
      <c r="K447" s="479" t="str">
        <f t="shared" si="43"/>
        <v/>
      </c>
      <c r="L447" s="479" t="str">
        <f t="shared" si="44"/>
        <v/>
      </c>
      <c r="M447" s="487" t="str">
        <f t="shared" si="45"/>
        <v/>
      </c>
      <c r="N447" s="479" t="str">
        <f t="shared" si="46"/>
        <v/>
      </c>
      <c r="O447" s="479" t="str">
        <f t="shared" si="47"/>
        <v/>
      </c>
      <c r="P447" s="479" t="str">
        <f t="shared" si="48"/>
        <v/>
      </c>
    </row>
    <row r="448" spans="2:16" s="477" customFormat="1">
      <c r="B448" s="530">
        <v>10000557</v>
      </c>
      <c r="C448" s="489" t="s">
        <v>10</v>
      </c>
      <c r="D448" s="65" t="s">
        <v>12</v>
      </c>
      <c r="E448" s="31" t="s">
        <v>494</v>
      </c>
      <c r="F448" s="29" t="s">
        <v>1921</v>
      </c>
      <c r="G448" s="480"/>
      <c r="H448" s="60">
        <v>3620725370.3800001</v>
      </c>
      <c r="I448" s="525">
        <v>42963</v>
      </c>
      <c r="J448" s="481">
        <f t="shared" si="49"/>
        <v>1408</v>
      </c>
      <c r="K448" s="479" t="str">
        <f t="shared" si="43"/>
        <v/>
      </c>
      <c r="L448" s="479" t="str">
        <f t="shared" si="44"/>
        <v/>
      </c>
      <c r="M448" s="487" t="str">
        <f t="shared" si="45"/>
        <v/>
      </c>
      <c r="N448" s="479" t="str">
        <f t="shared" si="46"/>
        <v/>
      </c>
      <c r="O448" s="479" t="str">
        <f t="shared" si="47"/>
        <v/>
      </c>
      <c r="P448" s="479">
        <f t="shared" si="48"/>
        <v>3620725370.3800001</v>
      </c>
    </row>
    <row r="449" spans="2:16" s="477" customFormat="1">
      <c r="B449" s="530">
        <v>10000557</v>
      </c>
      <c r="C449" s="489" t="s">
        <v>10</v>
      </c>
      <c r="D449" s="65" t="s">
        <v>12</v>
      </c>
      <c r="E449" s="31" t="s">
        <v>497</v>
      </c>
      <c r="F449" s="29" t="s">
        <v>1922</v>
      </c>
      <c r="G449" s="480"/>
      <c r="H449" s="60">
        <v>3535421568</v>
      </c>
      <c r="I449" s="523">
        <v>42994</v>
      </c>
      <c r="J449" s="481">
        <f t="shared" si="49"/>
        <v>1377</v>
      </c>
      <c r="K449" s="479" t="str">
        <f t="shared" si="43"/>
        <v/>
      </c>
      <c r="L449" s="479" t="str">
        <f t="shared" si="44"/>
        <v/>
      </c>
      <c r="M449" s="487" t="str">
        <f t="shared" si="45"/>
        <v/>
      </c>
      <c r="N449" s="479" t="str">
        <f t="shared" si="46"/>
        <v/>
      </c>
      <c r="O449" s="479" t="str">
        <f t="shared" si="47"/>
        <v/>
      </c>
      <c r="P449" s="479">
        <f t="shared" si="48"/>
        <v>3535421568</v>
      </c>
    </row>
    <row r="450" spans="2:16" s="477" customFormat="1">
      <c r="B450" s="530">
        <v>10000557</v>
      </c>
      <c r="C450" s="489" t="s">
        <v>10</v>
      </c>
      <c r="D450" s="65" t="s">
        <v>12</v>
      </c>
      <c r="E450" s="66" t="s">
        <v>498</v>
      </c>
      <c r="F450" s="492" t="s">
        <v>1923</v>
      </c>
      <c r="G450" s="480"/>
      <c r="H450" s="60">
        <f>4246397820-2023659016.61</f>
        <v>2222738803.3900003</v>
      </c>
      <c r="I450" s="525">
        <v>43008</v>
      </c>
      <c r="J450" s="481">
        <f t="shared" si="49"/>
        <v>1363</v>
      </c>
      <c r="K450" s="479" t="str">
        <f t="shared" si="43"/>
        <v/>
      </c>
      <c r="L450" s="479" t="str">
        <f t="shared" si="44"/>
        <v/>
      </c>
      <c r="M450" s="487" t="str">
        <f t="shared" si="45"/>
        <v/>
      </c>
      <c r="N450" s="479" t="str">
        <f t="shared" si="46"/>
        <v/>
      </c>
      <c r="O450" s="479" t="str">
        <f t="shared" si="47"/>
        <v/>
      </c>
      <c r="P450" s="479">
        <f t="shared" si="48"/>
        <v>2222738803.3900003</v>
      </c>
    </row>
    <row r="451" spans="2:16" s="477" customFormat="1">
      <c r="B451" s="530">
        <v>10000557</v>
      </c>
      <c r="C451" s="489" t="s">
        <v>10</v>
      </c>
      <c r="D451" s="65" t="s">
        <v>12</v>
      </c>
      <c r="E451" s="31" t="s">
        <v>564</v>
      </c>
      <c r="F451" s="29" t="s">
        <v>1924</v>
      </c>
      <c r="G451" s="480"/>
      <c r="H451" s="60">
        <v>2688944930.52</v>
      </c>
      <c r="I451" s="525">
        <v>43013</v>
      </c>
      <c r="J451" s="481">
        <f t="shared" si="49"/>
        <v>1358</v>
      </c>
      <c r="K451" s="479" t="str">
        <f t="shared" si="43"/>
        <v/>
      </c>
      <c r="L451" s="479" t="str">
        <f t="shared" si="44"/>
        <v/>
      </c>
      <c r="M451" s="487" t="str">
        <f t="shared" si="45"/>
        <v/>
      </c>
      <c r="N451" s="479" t="str">
        <f t="shared" si="46"/>
        <v/>
      </c>
      <c r="O451" s="479" t="str">
        <f t="shared" si="47"/>
        <v/>
      </c>
      <c r="P451" s="479">
        <f t="shared" si="48"/>
        <v>2688944930.52</v>
      </c>
    </row>
    <row r="452" spans="2:16" s="477" customFormat="1">
      <c r="B452" s="530">
        <v>10000557</v>
      </c>
      <c r="C452" s="489" t="s">
        <v>10</v>
      </c>
      <c r="D452" s="65" t="s">
        <v>12</v>
      </c>
      <c r="E452" s="31" t="s">
        <v>500</v>
      </c>
      <c r="F452" s="29" t="s">
        <v>1925</v>
      </c>
      <c r="G452" s="480"/>
      <c r="H452" s="60">
        <v>2957189829.9899998</v>
      </c>
      <c r="I452" s="523">
        <v>43044</v>
      </c>
      <c r="J452" s="481">
        <f t="shared" si="49"/>
        <v>1327</v>
      </c>
      <c r="K452" s="479" t="str">
        <f t="shared" si="43"/>
        <v/>
      </c>
      <c r="L452" s="479" t="str">
        <f t="shared" si="44"/>
        <v/>
      </c>
      <c r="M452" s="487" t="str">
        <f t="shared" si="45"/>
        <v/>
      </c>
      <c r="N452" s="479" t="str">
        <f t="shared" si="46"/>
        <v/>
      </c>
      <c r="O452" s="479" t="str">
        <f t="shared" si="47"/>
        <v/>
      </c>
      <c r="P452" s="479">
        <f t="shared" si="48"/>
        <v>2957189829.9899998</v>
      </c>
    </row>
    <row r="453" spans="2:16" s="477" customFormat="1">
      <c r="B453" s="530">
        <v>10000557</v>
      </c>
      <c r="C453" s="489" t="s">
        <v>10</v>
      </c>
      <c r="D453" s="65" t="s">
        <v>12</v>
      </c>
      <c r="E453" s="66" t="s">
        <v>501</v>
      </c>
      <c r="F453" s="492" t="s">
        <v>1926</v>
      </c>
      <c r="G453" s="480"/>
      <c r="H453" s="60">
        <v>3337450832.0999999</v>
      </c>
      <c r="I453" s="525">
        <v>43115</v>
      </c>
      <c r="J453" s="481">
        <f t="shared" si="49"/>
        <v>1256</v>
      </c>
      <c r="K453" s="479" t="str">
        <f t="shared" si="43"/>
        <v/>
      </c>
      <c r="L453" s="479" t="str">
        <f t="shared" si="44"/>
        <v/>
      </c>
      <c r="M453" s="487" t="str">
        <f t="shared" si="45"/>
        <v/>
      </c>
      <c r="N453" s="479" t="str">
        <f t="shared" si="46"/>
        <v/>
      </c>
      <c r="O453" s="479" t="str">
        <f t="shared" si="47"/>
        <v/>
      </c>
      <c r="P453" s="479">
        <f t="shared" si="48"/>
        <v>3337450832.0999999</v>
      </c>
    </row>
    <row r="454" spans="2:16" s="477" customFormat="1">
      <c r="B454" s="530">
        <v>10000557</v>
      </c>
      <c r="C454" s="489" t="s">
        <v>10</v>
      </c>
      <c r="D454" s="65" t="s">
        <v>12</v>
      </c>
      <c r="E454" s="31" t="s">
        <v>504</v>
      </c>
      <c r="F454" s="29" t="s">
        <v>1927</v>
      </c>
      <c r="G454" s="480"/>
      <c r="H454" s="60">
        <v>5062387312.6199999</v>
      </c>
      <c r="I454" s="525">
        <v>43375</v>
      </c>
      <c r="J454" s="481">
        <f t="shared" si="49"/>
        <v>996</v>
      </c>
      <c r="K454" s="479" t="str">
        <f t="shared" si="43"/>
        <v/>
      </c>
      <c r="L454" s="479" t="str">
        <f t="shared" si="44"/>
        <v/>
      </c>
      <c r="M454" s="487" t="str">
        <f t="shared" si="45"/>
        <v/>
      </c>
      <c r="N454" s="479" t="str">
        <f t="shared" si="46"/>
        <v/>
      </c>
      <c r="O454" s="479" t="str">
        <f t="shared" si="47"/>
        <v/>
      </c>
      <c r="P454" s="479">
        <f t="shared" si="48"/>
        <v>5062387312.6199999</v>
      </c>
    </row>
    <row r="455" spans="2:16" s="477" customFormat="1">
      <c r="B455" s="530">
        <v>10000557</v>
      </c>
      <c r="C455" s="489" t="s">
        <v>10</v>
      </c>
      <c r="D455" s="65" t="s">
        <v>12</v>
      </c>
      <c r="E455" s="31" t="s">
        <v>506</v>
      </c>
      <c r="F455" s="29" t="s">
        <v>1928</v>
      </c>
      <c r="G455" s="480"/>
      <c r="H455" s="60">
        <v>3383130348.23</v>
      </c>
      <c r="I455" s="523">
        <v>43187</v>
      </c>
      <c r="J455" s="481">
        <f t="shared" si="49"/>
        <v>1184</v>
      </c>
      <c r="K455" s="479" t="str">
        <f t="shared" ref="K455:K518" si="50">IF(AND(J455&gt;=16,J455&lt;=30),H455,"")</f>
        <v/>
      </c>
      <c r="L455" s="479" t="str">
        <f t="shared" ref="L455:L518" si="51">IF(AND(J455&gt;=31,J455&lt;=60),H455,"")</f>
        <v/>
      </c>
      <c r="M455" s="487" t="str">
        <f t="shared" ref="M455:M518" si="52">IF(AND(J455&gt;=61,J455&lt;=90),H455,"")</f>
        <v/>
      </c>
      <c r="N455" s="479" t="str">
        <f t="shared" ref="N455:N518" si="53">IF(AND(J455&gt;=91,J455&lt;=180),H455,"")</f>
        <v/>
      </c>
      <c r="O455" s="479" t="str">
        <f t="shared" ref="O455:O518" si="54">IF(AND(J455&gt;=181,J455&lt;=360),H455,"")</f>
        <v/>
      </c>
      <c r="P455" s="479">
        <f t="shared" ref="P455:P518" si="55">IF(J455&gt;=360,H455,"")</f>
        <v>3383130348.23</v>
      </c>
    </row>
    <row r="456" spans="2:16" s="477" customFormat="1">
      <c r="B456" s="530">
        <v>10000557</v>
      </c>
      <c r="C456" s="489" t="s">
        <v>10</v>
      </c>
      <c r="D456" s="65" t="s">
        <v>12</v>
      </c>
      <c r="E456" s="66" t="s">
        <v>508</v>
      </c>
      <c r="F456" s="492" t="s">
        <v>1929</v>
      </c>
      <c r="G456" s="480"/>
      <c r="H456" s="60">
        <v>4105167974.77</v>
      </c>
      <c r="I456" s="525">
        <v>43205</v>
      </c>
      <c r="J456" s="481">
        <f t="shared" ref="J456:J519" si="56">DATEDIF(I456,$J$4,"D")</f>
        <v>1166</v>
      </c>
      <c r="K456" s="479" t="str">
        <f t="shared" si="50"/>
        <v/>
      </c>
      <c r="L456" s="479" t="str">
        <f t="shared" si="51"/>
        <v/>
      </c>
      <c r="M456" s="487" t="str">
        <f t="shared" si="52"/>
        <v/>
      </c>
      <c r="N456" s="479" t="str">
        <f t="shared" si="53"/>
        <v/>
      </c>
      <c r="O456" s="479" t="str">
        <f t="shared" si="54"/>
        <v/>
      </c>
      <c r="P456" s="479">
        <f t="shared" si="55"/>
        <v>4105167974.77</v>
      </c>
    </row>
    <row r="457" spans="2:16" s="477" customFormat="1">
      <c r="B457" s="530">
        <v>10000557</v>
      </c>
      <c r="C457" s="489" t="s">
        <v>10</v>
      </c>
      <c r="D457" s="65" t="s">
        <v>12</v>
      </c>
      <c r="E457" s="31" t="s">
        <v>355</v>
      </c>
      <c r="F457" s="29" t="s">
        <v>1930</v>
      </c>
      <c r="G457" s="480"/>
      <c r="H457" s="60">
        <v>4600751666.9735985</v>
      </c>
      <c r="I457" s="525">
        <v>43250</v>
      </c>
      <c r="J457" s="481">
        <f t="shared" si="56"/>
        <v>1121</v>
      </c>
      <c r="K457" s="479" t="str">
        <f t="shared" si="50"/>
        <v/>
      </c>
      <c r="L457" s="479" t="str">
        <f t="shared" si="51"/>
        <v/>
      </c>
      <c r="M457" s="487" t="str">
        <f t="shared" si="52"/>
        <v/>
      </c>
      <c r="N457" s="479" t="str">
        <f t="shared" si="53"/>
        <v/>
      </c>
      <c r="O457" s="479" t="str">
        <f t="shared" si="54"/>
        <v/>
      </c>
      <c r="P457" s="479">
        <f t="shared" si="55"/>
        <v>4600751666.9735985</v>
      </c>
    </row>
    <row r="458" spans="2:16" s="477" customFormat="1">
      <c r="B458" s="530">
        <v>10000557</v>
      </c>
      <c r="C458" s="489" t="s">
        <v>10</v>
      </c>
      <c r="D458" s="65" t="s">
        <v>12</v>
      </c>
      <c r="E458" s="31" t="s">
        <v>234</v>
      </c>
      <c r="F458" s="29" t="s">
        <v>1932</v>
      </c>
      <c r="G458" s="480"/>
      <c r="H458" s="60">
        <v>4504762423.1599617</v>
      </c>
      <c r="I458" s="523">
        <v>43271</v>
      </c>
      <c r="J458" s="481">
        <f t="shared" si="56"/>
        <v>1100</v>
      </c>
      <c r="K458" s="479" t="str">
        <f t="shared" si="50"/>
        <v/>
      </c>
      <c r="L458" s="479" t="str">
        <f t="shared" si="51"/>
        <v/>
      </c>
      <c r="M458" s="487" t="str">
        <f t="shared" si="52"/>
        <v/>
      </c>
      <c r="N458" s="479" t="str">
        <f t="shared" si="53"/>
        <v/>
      </c>
      <c r="O458" s="479" t="str">
        <f t="shared" si="54"/>
        <v/>
      </c>
      <c r="P458" s="479">
        <f t="shared" si="55"/>
        <v>4504762423.1599617</v>
      </c>
    </row>
    <row r="459" spans="2:16" s="477" customFormat="1">
      <c r="B459" s="530">
        <v>10000557</v>
      </c>
      <c r="C459" s="489" t="s">
        <v>10</v>
      </c>
      <c r="D459" s="65" t="s">
        <v>12</v>
      </c>
      <c r="E459" s="66" t="s">
        <v>1748</v>
      </c>
      <c r="F459" s="492" t="s">
        <v>1933</v>
      </c>
      <c r="G459" s="480"/>
      <c r="H459" s="60">
        <v>4297088629.879962</v>
      </c>
      <c r="I459" s="525">
        <v>43306</v>
      </c>
      <c r="J459" s="481">
        <f t="shared" si="56"/>
        <v>1065</v>
      </c>
      <c r="K459" s="479" t="str">
        <f t="shared" si="50"/>
        <v/>
      </c>
      <c r="L459" s="479" t="str">
        <f t="shared" si="51"/>
        <v/>
      </c>
      <c r="M459" s="487" t="str">
        <f t="shared" si="52"/>
        <v/>
      </c>
      <c r="N459" s="479" t="str">
        <f t="shared" si="53"/>
        <v/>
      </c>
      <c r="O459" s="479" t="str">
        <f t="shared" si="54"/>
        <v/>
      </c>
      <c r="P459" s="479">
        <f t="shared" si="55"/>
        <v>4297088629.879962</v>
      </c>
    </row>
    <row r="460" spans="2:16" s="477" customFormat="1">
      <c r="B460" s="530"/>
      <c r="C460" s="489"/>
      <c r="D460" s="65"/>
      <c r="E460" s="31"/>
      <c r="F460" s="29"/>
      <c r="G460" s="480"/>
      <c r="H460" s="60"/>
      <c r="I460" s="525"/>
      <c r="J460" s="481"/>
      <c r="K460" s="479" t="str">
        <f t="shared" si="50"/>
        <v/>
      </c>
      <c r="L460" s="479" t="str">
        <f t="shared" si="51"/>
        <v/>
      </c>
      <c r="M460" s="487" t="str">
        <f t="shared" si="52"/>
        <v/>
      </c>
      <c r="N460" s="479" t="str">
        <f t="shared" si="53"/>
        <v/>
      </c>
      <c r="O460" s="479" t="str">
        <f t="shared" si="54"/>
        <v/>
      </c>
      <c r="P460" s="479" t="str">
        <f t="shared" si="55"/>
        <v/>
      </c>
    </row>
    <row r="461" spans="2:16" s="477" customFormat="1">
      <c r="B461" s="530"/>
      <c r="C461" s="489"/>
      <c r="D461" s="65"/>
      <c r="E461" s="31"/>
      <c r="F461" s="29"/>
      <c r="G461" s="480"/>
      <c r="H461" s="60"/>
      <c r="I461" s="523"/>
      <c r="J461" s="481"/>
      <c r="K461" s="479" t="str">
        <f t="shared" si="50"/>
        <v/>
      </c>
      <c r="L461" s="479" t="str">
        <f t="shared" si="51"/>
        <v/>
      </c>
      <c r="M461" s="487" t="str">
        <f t="shared" si="52"/>
        <v/>
      </c>
      <c r="N461" s="479" t="str">
        <f t="shared" si="53"/>
        <v/>
      </c>
      <c r="O461" s="479" t="str">
        <f t="shared" si="54"/>
        <v/>
      </c>
      <c r="P461" s="479" t="str">
        <f t="shared" si="55"/>
        <v/>
      </c>
    </row>
    <row r="462" spans="2:16" s="477" customFormat="1">
      <c r="B462" s="530">
        <v>10000558</v>
      </c>
      <c r="C462" s="489" t="s">
        <v>10</v>
      </c>
      <c r="D462" s="65" t="s">
        <v>13</v>
      </c>
      <c r="E462" s="66" t="s">
        <v>1412</v>
      </c>
      <c r="F462" s="492" t="s">
        <v>44</v>
      </c>
      <c r="G462" s="480"/>
      <c r="H462" s="60">
        <v>1007107884.6799999</v>
      </c>
      <c r="I462" s="525">
        <v>42655</v>
      </c>
      <c r="J462" s="481">
        <f t="shared" si="56"/>
        <v>1716</v>
      </c>
      <c r="K462" s="479" t="str">
        <f t="shared" si="50"/>
        <v/>
      </c>
      <c r="L462" s="479" t="str">
        <f t="shared" si="51"/>
        <v/>
      </c>
      <c r="M462" s="487" t="str">
        <f t="shared" si="52"/>
        <v/>
      </c>
      <c r="N462" s="479" t="str">
        <f t="shared" si="53"/>
        <v/>
      </c>
      <c r="O462" s="479" t="str">
        <f t="shared" si="54"/>
        <v/>
      </c>
      <c r="P462" s="479">
        <f t="shared" si="55"/>
        <v>1007107884.6799999</v>
      </c>
    </row>
    <row r="463" spans="2:16" s="477" customFormat="1">
      <c r="B463" s="530">
        <v>10000558</v>
      </c>
      <c r="C463" s="489" t="s">
        <v>10</v>
      </c>
      <c r="D463" s="65" t="s">
        <v>13</v>
      </c>
      <c r="E463" s="31" t="s">
        <v>609</v>
      </c>
      <c r="F463" s="29" t="s">
        <v>326</v>
      </c>
      <c r="G463" s="480"/>
      <c r="H463" s="60">
        <f>823779376.73955+102650784.21</f>
        <v>926430160.94955003</v>
      </c>
      <c r="I463" s="525">
        <v>42716</v>
      </c>
      <c r="J463" s="481">
        <f t="shared" si="56"/>
        <v>1655</v>
      </c>
      <c r="K463" s="479" t="str">
        <f t="shared" si="50"/>
        <v/>
      </c>
      <c r="L463" s="479" t="str">
        <f t="shared" si="51"/>
        <v/>
      </c>
      <c r="M463" s="487" t="str">
        <f t="shared" si="52"/>
        <v/>
      </c>
      <c r="N463" s="479" t="str">
        <f t="shared" si="53"/>
        <v/>
      </c>
      <c r="O463" s="479" t="str">
        <f t="shared" si="54"/>
        <v/>
      </c>
      <c r="P463" s="479">
        <f t="shared" si="55"/>
        <v>926430160.94955003</v>
      </c>
    </row>
    <row r="464" spans="2:16" s="477" customFormat="1">
      <c r="B464" s="530">
        <v>10000558</v>
      </c>
      <c r="C464" s="489" t="s">
        <v>10</v>
      </c>
      <c r="D464" s="65" t="s">
        <v>13</v>
      </c>
      <c r="E464" s="31" t="s">
        <v>611</v>
      </c>
      <c r="F464" s="29" t="s">
        <v>328</v>
      </c>
      <c r="G464" s="480"/>
      <c r="H464" s="60">
        <v>895743705.03999996</v>
      </c>
      <c r="I464" s="523">
        <v>42809</v>
      </c>
      <c r="J464" s="481">
        <f t="shared" si="56"/>
        <v>1562</v>
      </c>
      <c r="K464" s="479" t="str">
        <f t="shared" si="50"/>
        <v/>
      </c>
      <c r="L464" s="479" t="str">
        <f t="shared" si="51"/>
        <v/>
      </c>
      <c r="M464" s="487" t="str">
        <f t="shared" si="52"/>
        <v/>
      </c>
      <c r="N464" s="479" t="str">
        <f t="shared" si="53"/>
        <v/>
      </c>
      <c r="O464" s="479" t="str">
        <f t="shared" si="54"/>
        <v/>
      </c>
      <c r="P464" s="479">
        <f t="shared" si="55"/>
        <v>895743705.03999996</v>
      </c>
    </row>
    <row r="465" spans="2:16" s="477" customFormat="1">
      <c r="B465" s="530">
        <v>10000558</v>
      </c>
      <c r="C465" s="489" t="s">
        <v>10</v>
      </c>
      <c r="D465" s="65" t="s">
        <v>13</v>
      </c>
      <c r="E465" s="66" t="s">
        <v>1964</v>
      </c>
      <c r="F465" s="492" t="s">
        <v>330</v>
      </c>
      <c r="G465" s="480"/>
      <c r="H465" s="60">
        <v>1067263760.58</v>
      </c>
      <c r="I465" s="525">
        <v>42797</v>
      </c>
      <c r="J465" s="481">
        <f t="shared" si="56"/>
        <v>1574</v>
      </c>
      <c r="K465" s="479" t="str">
        <f t="shared" si="50"/>
        <v/>
      </c>
      <c r="L465" s="479" t="str">
        <f t="shared" si="51"/>
        <v/>
      </c>
      <c r="M465" s="487" t="str">
        <f t="shared" si="52"/>
        <v/>
      </c>
      <c r="N465" s="479" t="str">
        <f t="shared" si="53"/>
        <v/>
      </c>
      <c r="O465" s="479" t="str">
        <f t="shared" si="54"/>
        <v/>
      </c>
      <c r="P465" s="479">
        <f t="shared" si="55"/>
        <v>1067263760.58</v>
      </c>
    </row>
    <row r="466" spans="2:16" s="477" customFormat="1">
      <c r="B466" s="530">
        <v>10000558</v>
      </c>
      <c r="C466" s="489" t="s">
        <v>10</v>
      </c>
      <c r="D466" s="65" t="s">
        <v>13</v>
      </c>
      <c r="E466" s="31" t="s">
        <v>489</v>
      </c>
      <c r="F466" s="29" t="s">
        <v>332</v>
      </c>
      <c r="G466" s="480"/>
      <c r="H466" s="60">
        <v>1181670085.71</v>
      </c>
      <c r="I466" s="525">
        <v>42842</v>
      </c>
      <c r="J466" s="481">
        <f t="shared" si="56"/>
        <v>1529</v>
      </c>
      <c r="K466" s="479" t="str">
        <f t="shared" si="50"/>
        <v/>
      </c>
      <c r="L466" s="479" t="str">
        <f t="shared" si="51"/>
        <v/>
      </c>
      <c r="M466" s="487" t="str">
        <f t="shared" si="52"/>
        <v/>
      </c>
      <c r="N466" s="479" t="str">
        <f t="shared" si="53"/>
        <v/>
      </c>
      <c r="O466" s="479" t="str">
        <f t="shared" si="54"/>
        <v/>
      </c>
      <c r="P466" s="479">
        <f t="shared" si="55"/>
        <v>1181670085.71</v>
      </c>
    </row>
    <row r="467" spans="2:16" s="477" customFormat="1">
      <c r="B467" s="530">
        <v>10000558</v>
      </c>
      <c r="C467" s="489" t="s">
        <v>10</v>
      </c>
      <c r="D467" s="65" t="s">
        <v>13</v>
      </c>
      <c r="E467" s="31" t="s">
        <v>490</v>
      </c>
      <c r="F467" s="29" t="s">
        <v>333</v>
      </c>
      <c r="G467" s="480"/>
      <c r="H467" s="60">
        <v>1147242985.3</v>
      </c>
      <c r="I467" s="523">
        <v>42873</v>
      </c>
      <c r="J467" s="481">
        <f t="shared" si="56"/>
        <v>1498</v>
      </c>
      <c r="K467" s="479" t="str">
        <f t="shared" si="50"/>
        <v/>
      </c>
      <c r="L467" s="479" t="str">
        <f t="shared" si="51"/>
        <v/>
      </c>
      <c r="M467" s="487" t="str">
        <f t="shared" si="52"/>
        <v/>
      </c>
      <c r="N467" s="479" t="str">
        <f t="shared" si="53"/>
        <v/>
      </c>
      <c r="O467" s="479" t="str">
        <f t="shared" si="54"/>
        <v/>
      </c>
      <c r="P467" s="479">
        <f t="shared" si="55"/>
        <v>1147242985.3</v>
      </c>
    </row>
    <row r="468" spans="2:16" s="477" customFormat="1">
      <c r="B468" s="530">
        <v>10000558</v>
      </c>
      <c r="C468" s="489" t="s">
        <v>10</v>
      </c>
      <c r="D468" s="65" t="s">
        <v>13</v>
      </c>
      <c r="E468" s="66" t="s">
        <v>560</v>
      </c>
      <c r="F468" s="492" t="s">
        <v>1423</v>
      </c>
      <c r="G468" s="480"/>
      <c r="H468" s="60">
        <v>1569732235.48</v>
      </c>
      <c r="I468" s="525">
        <v>43014</v>
      </c>
      <c r="J468" s="481">
        <f t="shared" si="56"/>
        <v>1357</v>
      </c>
      <c r="K468" s="479" t="str">
        <f t="shared" si="50"/>
        <v/>
      </c>
      <c r="L468" s="479" t="str">
        <f t="shared" si="51"/>
        <v/>
      </c>
      <c r="M468" s="487" t="str">
        <f t="shared" si="52"/>
        <v/>
      </c>
      <c r="N468" s="479" t="str">
        <f t="shared" si="53"/>
        <v/>
      </c>
      <c r="O468" s="479" t="str">
        <f t="shared" si="54"/>
        <v/>
      </c>
      <c r="P468" s="479">
        <f t="shared" si="55"/>
        <v>1569732235.48</v>
      </c>
    </row>
    <row r="469" spans="2:16" s="477" customFormat="1">
      <c r="B469" s="530">
        <v>10000558</v>
      </c>
      <c r="C469" s="489" t="s">
        <v>10</v>
      </c>
      <c r="D469" s="65" t="s">
        <v>13</v>
      </c>
      <c r="E469" s="31" t="s">
        <v>562</v>
      </c>
      <c r="F469" s="29" t="s">
        <v>1966</v>
      </c>
      <c r="G469" s="480"/>
      <c r="H469" s="60">
        <v>1749135466.9200001</v>
      </c>
      <c r="I469" s="525">
        <v>42931</v>
      </c>
      <c r="J469" s="481">
        <f t="shared" si="56"/>
        <v>1440</v>
      </c>
      <c r="K469" s="479" t="str">
        <f t="shared" si="50"/>
        <v/>
      </c>
      <c r="L469" s="479" t="str">
        <f t="shared" si="51"/>
        <v/>
      </c>
      <c r="M469" s="487" t="str">
        <f t="shared" si="52"/>
        <v/>
      </c>
      <c r="N469" s="479" t="str">
        <f t="shared" si="53"/>
        <v/>
      </c>
      <c r="O469" s="479" t="str">
        <f t="shared" si="54"/>
        <v/>
      </c>
      <c r="P469" s="479">
        <f t="shared" si="55"/>
        <v>1749135466.9200001</v>
      </c>
    </row>
    <row r="470" spans="2:16" s="477" customFormat="1">
      <c r="B470" s="530"/>
      <c r="C470" s="489"/>
      <c r="D470" s="65"/>
      <c r="E470" s="31"/>
      <c r="F470" s="29"/>
      <c r="G470" s="480"/>
      <c r="H470" s="60"/>
      <c r="I470" s="523"/>
      <c r="J470" s="481"/>
      <c r="K470" s="479" t="str">
        <f t="shared" si="50"/>
        <v/>
      </c>
      <c r="L470" s="479" t="str">
        <f t="shared" si="51"/>
        <v/>
      </c>
      <c r="M470" s="487" t="str">
        <f t="shared" si="52"/>
        <v/>
      </c>
      <c r="N470" s="479" t="str">
        <f t="shared" si="53"/>
        <v/>
      </c>
      <c r="O470" s="479" t="str">
        <f t="shared" si="54"/>
        <v/>
      </c>
      <c r="P470" s="479" t="str">
        <f t="shared" si="55"/>
        <v/>
      </c>
    </row>
    <row r="471" spans="2:16" s="477" customFormat="1">
      <c r="B471" s="530"/>
      <c r="C471" s="489"/>
      <c r="D471" s="65"/>
      <c r="E471" s="66"/>
      <c r="F471" s="492"/>
      <c r="G471" s="480"/>
      <c r="H471" s="60"/>
      <c r="I471" s="525"/>
      <c r="J471" s="481"/>
      <c r="K471" s="479" t="str">
        <f t="shared" si="50"/>
        <v/>
      </c>
      <c r="L471" s="479" t="str">
        <f t="shared" si="51"/>
        <v/>
      </c>
      <c r="M471" s="487" t="str">
        <f t="shared" si="52"/>
        <v/>
      </c>
      <c r="N471" s="479" t="str">
        <f t="shared" si="53"/>
        <v/>
      </c>
      <c r="O471" s="479" t="str">
        <f t="shared" si="54"/>
        <v/>
      </c>
      <c r="P471" s="479" t="str">
        <f t="shared" si="55"/>
        <v/>
      </c>
    </row>
    <row r="472" spans="2:16" s="477" customFormat="1">
      <c r="B472" s="530"/>
      <c r="C472" s="489"/>
      <c r="D472" s="65"/>
      <c r="E472" s="31"/>
      <c r="F472" s="29"/>
      <c r="G472" s="480"/>
      <c r="H472" s="60"/>
      <c r="I472" s="525"/>
      <c r="J472" s="481"/>
      <c r="K472" s="479" t="str">
        <f t="shared" si="50"/>
        <v/>
      </c>
      <c r="L472" s="479" t="str">
        <f t="shared" si="51"/>
        <v/>
      </c>
      <c r="M472" s="487" t="str">
        <f t="shared" si="52"/>
        <v/>
      </c>
      <c r="N472" s="479" t="str">
        <f t="shared" si="53"/>
        <v/>
      </c>
      <c r="O472" s="479" t="str">
        <f t="shared" si="54"/>
        <v/>
      </c>
      <c r="P472" s="479" t="str">
        <f t="shared" si="55"/>
        <v/>
      </c>
    </row>
    <row r="473" spans="2:16" s="477" customFormat="1">
      <c r="B473" s="530">
        <v>10000560</v>
      </c>
      <c r="C473" s="489" t="s">
        <v>10</v>
      </c>
      <c r="D473" s="65" t="s">
        <v>15</v>
      </c>
      <c r="E473" s="31" t="s">
        <v>562</v>
      </c>
      <c r="F473" s="29" t="s">
        <v>1423</v>
      </c>
      <c r="G473" s="480"/>
      <c r="H473" s="60">
        <v>1178765753.4300001</v>
      </c>
      <c r="I473" s="523">
        <v>42931</v>
      </c>
      <c r="J473" s="481">
        <f t="shared" si="56"/>
        <v>1440</v>
      </c>
      <c r="K473" s="479" t="str">
        <f t="shared" si="50"/>
        <v/>
      </c>
      <c r="L473" s="479" t="str">
        <f t="shared" si="51"/>
        <v/>
      </c>
      <c r="M473" s="487" t="str">
        <f t="shared" si="52"/>
        <v/>
      </c>
      <c r="N473" s="479" t="str">
        <f t="shared" si="53"/>
        <v/>
      </c>
      <c r="O473" s="479" t="str">
        <f t="shared" si="54"/>
        <v/>
      </c>
      <c r="P473" s="479">
        <f t="shared" si="55"/>
        <v>1178765753.4300001</v>
      </c>
    </row>
    <row r="474" spans="2:16" s="477" customFormat="1">
      <c r="B474" s="530">
        <v>10000560</v>
      </c>
      <c r="C474" s="489" t="s">
        <v>10</v>
      </c>
      <c r="D474" s="65" t="s">
        <v>15</v>
      </c>
      <c r="E474" s="66" t="s">
        <v>494</v>
      </c>
      <c r="F474" s="492" t="s">
        <v>1966</v>
      </c>
      <c r="G474" s="480"/>
      <c r="H474" s="60">
        <v>1470125955.97</v>
      </c>
      <c r="I474" s="525">
        <v>42957</v>
      </c>
      <c r="J474" s="481">
        <f t="shared" si="56"/>
        <v>1414</v>
      </c>
      <c r="K474" s="479" t="str">
        <f t="shared" si="50"/>
        <v/>
      </c>
      <c r="L474" s="479" t="str">
        <f t="shared" si="51"/>
        <v/>
      </c>
      <c r="M474" s="487" t="str">
        <f t="shared" si="52"/>
        <v/>
      </c>
      <c r="N474" s="479" t="str">
        <f t="shared" si="53"/>
        <v/>
      </c>
      <c r="O474" s="479" t="str">
        <f t="shared" si="54"/>
        <v/>
      </c>
      <c r="P474" s="479">
        <f t="shared" si="55"/>
        <v>1470125955.97</v>
      </c>
    </row>
    <row r="475" spans="2:16" s="477" customFormat="1">
      <c r="B475" s="530">
        <v>10000560</v>
      </c>
      <c r="C475" s="489" t="s">
        <v>10</v>
      </c>
      <c r="D475" s="65" t="s">
        <v>15</v>
      </c>
      <c r="E475" s="31" t="s">
        <v>497</v>
      </c>
      <c r="F475" s="29" t="s">
        <v>1991</v>
      </c>
      <c r="G475" s="480"/>
      <c r="H475" s="60">
        <v>1077001734.97</v>
      </c>
      <c r="I475" s="525">
        <v>42988</v>
      </c>
      <c r="J475" s="481">
        <f t="shared" si="56"/>
        <v>1383</v>
      </c>
      <c r="K475" s="479" t="str">
        <f t="shared" si="50"/>
        <v/>
      </c>
      <c r="L475" s="479" t="str">
        <f t="shared" si="51"/>
        <v/>
      </c>
      <c r="M475" s="487" t="str">
        <f t="shared" si="52"/>
        <v/>
      </c>
      <c r="N475" s="479" t="str">
        <f t="shared" si="53"/>
        <v/>
      </c>
      <c r="O475" s="479" t="str">
        <f t="shared" si="54"/>
        <v/>
      </c>
      <c r="P475" s="479">
        <f t="shared" si="55"/>
        <v>1077001734.97</v>
      </c>
    </row>
    <row r="476" spans="2:16" s="477" customFormat="1">
      <c r="B476" s="530">
        <v>10000560</v>
      </c>
      <c r="C476" s="489" t="s">
        <v>10</v>
      </c>
      <c r="D476" s="65" t="s">
        <v>15</v>
      </c>
      <c r="E476" s="31" t="s">
        <v>498</v>
      </c>
      <c r="F476" s="29" t="s">
        <v>1992</v>
      </c>
      <c r="G476" s="480"/>
      <c r="H476" s="60">
        <v>852919253</v>
      </c>
      <c r="I476" s="523">
        <v>42988</v>
      </c>
      <c r="J476" s="481">
        <f t="shared" si="56"/>
        <v>1383</v>
      </c>
      <c r="K476" s="479" t="str">
        <f t="shared" si="50"/>
        <v/>
      </c>
      <c r="L476" s="479" t="str">
        <f t="shared" si="51"/>
        <v/>
      </c>
      <c r="M476" s="487" t="str">
        <f t="shared" si="52"/>
        <v/>
      </c>
      <c r="N476" s="479" t="str">
        <f t="shared" si="53"/>
        <v/>
      </c>
      <c r="O476" s="479" t="str">
        <f t="shared" si="54"/>
        <v/>
      </c>
      <c r="P476" s="479">
        <f t="shared" si="55"/>
        <v>852919253</v>
      </c>
    </row>
    <row r="477" spans="2:16" s="477" customFormat="1">
      <c r="B477" s="530">
        <v>10000560</v>
      </c>
      <c r="C477" s="489" t="s">
        <v>10</v>
      </c>
      <c r="D477" s="65" t="s">
        <v>15</v>
      </c>
      <c r="E477" s="66" t="s">
        <v>564</v>
      </c>
      <c r="F477" s="492" t="s">
        <v>1993</v>
      </c>
      <c r="G477" s="480"/>
      <c r="H477" s="60">
        <v>927429248.94000006</v>
      </c>
      <c r="I477" s="525">
        <v>43044</v>
      </c>
      <c r="J477" s="481">
        <f t="shared" si="56"/>
        <v>1327</v>
      </c>
      <c r="K477" s="479" t="str">
        <f t="shared" si="50"/>
        <v/>
      </c>
      <c r="L477" s="479" t="str">
        <f t="shared" si="51"/>
        <v/>
      </c>
      <c r="M477" s="487" t="str">
        <f t="shared" si="52"/>
        <v/>
      </c>
      <c r="N477" s="479" t="str">
        <f t="shared" si="53"/>
        <v/>
      </c>
      <c r="O477" s="479" t="str">
        <f t="shared" si="54"/>
        <v/>
      </c>
      <c r="P477" s="479">
        <f t="shared" si="55"/>
        <v>927429248.94000006</v>
      </c>
    </row>
    <row r="478" spans="2:16" s="477" customFormat="1">
      <c r="B478" s="530">
        <v>10000560</v>
      </c>
      <c r="C478" s="489" t="s">
        <v>10</v>
      </c>
      <c r="D478" s="65" t="s">
        <v>15</v>
      </c>
      <c r="E478" s="31" t="s">
        <v>500</v>
      </c>
      <c r="F478" s="29" t="s">
        <v>1994</v>
      </c>
      <c r="G478" s="480"/>
      <c r="H478" s="60">
        <v>1289929606.95</v>
      </c>
      <c r="I478" s="525">
        <v>43044</v>
      </c>
      <c r="J478" s="481">
        <f t="shared" si="56"/>
        <v>1327</v>
      </c>
      <c r="K478" s="479" t="str">
        <f t="shared" si="50"/>
        <v/>
      </c>
      <c r="L478" s="479" t="str">
        <f t="shared" si="51"/>
        <v/>
      </c>
      <c r="M478" s="487" t="str">
        <f t="shared" si="52"/>
        <v/>
      </c>
      <c r="N478" s="479" t="str">
        <f t="shared" si="53"/>
        <v/>
      </c>
      <c r="O478" s="479" t="str">
        <f t="shared" si="54"/>
        <v/>
      </c>
      <c r="P478" s="479">
        <f t="shared" si="55"/>
        <v>1289929606.95</v>
      </c>
    </row>
    <row r="479" spans="2:16" s="477" customFormat="1">
      <c r="B479" s="530">
        <v>10000560</v>
      </c>
      <c r="C479" s="489" t="s">
        <v>10</v>
      </c>
      <c r="D479" s="65" t="s">
        <v>15</v>
      </c>
      <c r="E479" s="31" t="s">
        <v>501</v>
      </c>
      <c r="F479" s="29" t="s">
        <v>1993</v>
      </c>
      <c r="G479" s="480"/>
      <c r="H479" s="60">
        <v>1326112062.9300001</v>
      </c>
      <c r="I479" s="523">
        <v>43115</v>
      </c>
      <c r="J479" s="481">
        <f t="shared" si="56"/>
        <v>1256</v>
      </c>
      <c r="K479" s="479" t="str">
        <f t="shared" si="50"/>
        <v/>
      </c>
      <c r="L479" s="479" t="str">
        <f t="shared" si="51"/>
        <v/>
      </c>
      <c r="M479" s="487" t="str">
        <f t="shared" si="52"/>
        <v/>
      </c>
      <c r="N479" s="479" t="str">
        <f t="shared" si="53"/>
        <v/>
      </c>
      <c r="O479" s="479" t="str">
        <f t="shared" si="54"/>
        <v/>
      </c>
      <c r="P479" s="479">
        <f t="shared" si="55"/>
        <v>1326112062.9300001</v>
      </c>
    </row>
    <row r="480" spans="2:16" s="477" customFormat="1">
      <c r="B480" s="530">
        <v>10000560</v>
      </c>
      <c r="C480" s="489" t="s">
        <v>10</v>
      </c>
      <c r="D480" s="65" t="s">
        <v>15</v>
      </c>
      <c r="E480" s="66" t="s">
        <v>504</v>
      </c>
      <c r="F480" s="492" t="s">
        <v>1994</v>
      </c>
      <c r="G480" s="480"/>
      <c r="H480" s="60">
        <v>1393707795.25</v>
      </c>
      <c r="I480" s="525">
        <v>43375</v>
      </c>
      <c r="J480" s="481">
        <f t="shared" si="56"/>
        <v>996</v>
      </c>
      <c r="K480" s="479" t="str">
        <f t="shared" si="50"/>
        <v/>
      </c>
      <c r="L480" s="479" t="str">
        <f t="shared" si="51"/>
        <v/>
      </c>
      <c r="M480" s="487" t="str">
        <f t="shared" si="52"/>
        <v/>
      </c>
      <c r="N480" s="479" t="str">
        <f t="shared" si="53"/>
        <v/>
      </c>
      <c r="O480" s="479" t="str">
        <f t="shared" si="54"/>
        <v/>
      </c>
      <c r="P480" s="479">
        <f t="shared" si="55"/>
        <v>1393707795.25</v>
      </c>
    </row>
    <row r="481" spans="2:16" s="477" customFormat="1">
      <c r="B481" s="530">
        <v>10000560</v>
      </c>
      <c r="C481" s="489" t="s">
        <v>10</v>
      </c>
      <c r="D481" s="65" t="s">
        <v>15</v>
      </c>
      <c r="E481" s="31" t="s">
        <v>506</v>
      </c>
      <c r="F481" s="29" t="s">
        <v>1995</v>
      </c>
      <c r="G481" s="480"/>
      <c r="H481" s="60">
        <v>866707282.60000002</v>
      </c>
      <c r="I481" s="525">
        <v>43174</v>
      </c>
      <c r="J481" s="481">
        <f t="shared" si="56"/>
        <v>1197</v>
      </c>
      <c r="K481" s="479" t="str">
        <f t="shared" si="50"/>
        <v/>
      </c>
      <c r="L481" s="479" t="str">
        <f t="shared" si="51"/>
        <v/>
      </c>
      <c r="M481" s="487" t="str">
        <f t="shared" si="52"/>
        <v/>
      </c>
      <c r="N481" s="479" t="str">
        <f t="shared" si="53"/>
        <v/>
      </c>
      <c r="O481" s="479" t="str">
        <f t="shared" si="54"/>
        <v/>
      </c>
      <c r="P481" s="479">
        <f t="shared" si="55"/>
        <v>866707282.60000002</v>
      </c>
    </row>
    <row r="482" spans="2:16" s="477" customFormat="1">
      <c r="B482" s="530">
        <v>10000560</v>
      </c>
      <c r="C482" s="489" t="s">
        <v>10</v>
      </c>
      <c r="D482" s="65" t="s">
        <v>15</v>
      </c>
      <c r="E482" s="31" t="s">
        <v>508</v>
      </c>
      <c r="F482" s="29" t="s">
        <v>1996</v>
      </c>
      <c r="G482" s="480"/>
      <c r="H482" s="60">
        <v>1065866584.84</v>
      </c>
      <c r="I482" s="523">
        <v>43205</v>
      </c>
      <c r="J482" s="481">
        <f t="shared" si="56"/>
        <v>1166</v>
      </c>
      <c r="K482" s="479" t="str">
        <f t="shared" si="50"/>
        <v/>
      </c>
      <c r="L482" s="479" t="str">
        <f t="shared" si="51"/>
        <v/>
      </c>
      <c r="M482" s="487" t="str">
        <f t="shared" si="52"/>
        <v/>
      </c>
      <c r="N482" s="479" t="str">
        <f t="shared" si="53"/>
        <v/>
      </c>
      <c r="O482" s="479" t="str">
        <f t="shared" si="54"/>
        <v/>
      </c>
      <c r="P482" s="479">
        <f t="shared" si="55"/>
        <v>1065866584.84</v>
      </c>
    </row>
    <row r="483" spans="2:16" s="477" customFormat="1">
      <c r="B483" s="530">
        <v>10000560</v>
      </c>
      <c r="C483" s="489" t="s">
        <v>10</v>
      </c>
      <c r="D483" s="65" t="s">
        <v>15</v>
      </c>
      <c r="E483" s="66" t="s">
        <v>231</v>
      </c>
      <c r="F483" s="492" t="s">
        <v>1997</v>
      </c>
      <c r="G483" s="480"/>
      <c r="H483" s="60">
        <v>1380153199.0210967</v>
      </c>
      <c r="I483" s="525">
        <v>43250</v>
      </c>
      <c r="J483" s="481">
        <f t="shared" si="56"/>
        <v>1121</v>
      </c>
      <c r="K483" s="479" t="str">
        <f t="shared" si="50"/>
        <v/>
      </c>
      <c r="L483" s="479" t="str">
        <f t="shared" si="51"/>
        <v/>
      </c>
      <c r="M483" s="487" t="str">
        <f t="shared" si="52"/>
        <v/>
      </c>
      <c r="N483" s="479" t="str">
        <f t="shared" si="53"/>
        <v/>
      </c>
      <c r="O483" s="479" t="str">
        <f t="shared" si="54"/>
        <v/>
      </c>
      <c r="P483" s="479">
        <f t="shared" si="55"/>
        <v>1380153199.0210967</v>
      </c>
    </row>
    <row r="484" spans="2:16" s="477" customFormat="1">
      <c r="B484" s="530">
        <v>10000560</v>
      </c>
      <c r="C484" s="489" t="s">
        <v>10</v>
      </c>
      <c r="D484" s="65" t="s">
        <v>15</v>
      </c>
      <c r="E484" s="31" t="s">
        <v>234</v>
      </c>
      <c r="F484" s="29" t="s">
        <v>1998</v>
      </c>
      <c r="G484" s="480"/>
      <c r="H484" s="60">
        <v>1446739837.597131</v>
      </c>
      <c r="I484" s="525">
        <v>43273</v>
      </c>
      <c r="J484" s="481">
        <f t="shared" si="56"/>
        <v>1098</v>
      </c>
      <c r="K484" s="479" t="str">
        <f t="shared" si="50"/>
        <v/>
      </c>
      <c r="L484" s="479" t="str">
        <f t="shared" si="51"/>
        <v/>
      </c>
      <c r="M484" s="487" t="str">
        <f t="shared" si="52"/>
        <v/>
      </c>
      <c r="N484" s="479" t="str">
        <f t="shared" si="53"/>
        <v/>
      </c>
      <c r="O484" s="479" t="str">
        <f t="shared" si="54"/>
        <v/>
      </c>
      <c r="P484" s="479">
        <f t="shared" si="55"/>
        <v>1446739837.597131</v>
      </c>
    </row>
    <row r="485" spans="2:16" s="477" customFormat="1">
      <c r="B485" s="530">
        <v>10000560</v>
      </c>
      <c r="C485" s="489" t="s">
        <v>10</v>
      </c>
      <c r="D485" s="65" t="s">
        <v>15</v>
      </c>
      <c r="E485" s="31" t="s">
        <v>416</v>
      </c>
      <c r="F485" s="29" t="s">
        <v>1999</v>
      </c>
      <c r="G485" s="480"/>
      <c r="H485" s="60">
        <v>1152474551.9768879</v>
      </c>
      <c r="I485" s="523">
        <v>43303</v>
      </c>
      <c r="J485" s="481">
        <f t="shared" si="56"/>
        <v>1068</v>
      </c>
      <c r="K485" s="479" t="str">
        <f t="shared" si="50"/>
        <v/>
      </c>
      <c r="L485" s="479" t="str">
        <f t="shared" si="51"/>
        <v/>
      </c>
      <c r="M485" s="487" t="str">
        <f t="shared" si="52"/>
        <v/>
      </c>
      <c r="N485" s="479" t="str">
        <f t="shared" si="53"/>
        <v/>
      </c>
      <c r="O485" s="479" t="str">
        <f t="shared" si="54"/>
        <v/>
      </c>
      <c r="P485" s="479">
        <f t="shared" si="55"/>
        <v>1152474551.9768879</v>
      </c>
    </row>
    <row r="486" spans="2:16" s="477" customFormat="1">
      <c r="B486" s="530">
        <v>10000560</v>
      </c>
      <c r="C486" s="489" t="s">
        <v>10</v>
      </c>
      <c r="D486" s="65" t="s">
        <v>15</v>
      </c>
      <c r="E486" s="66" t="s">
        <v>238</v>
      </c>
      <c r="F486" s="492" t="s">
        <v>746</v>
      </c>
      <c r="G486" s="480"/>
      <c r="H486" s="60">
        <f>317401407.59+887040594.62</f>
        <v>1204442002.21</v>
      </c>
      <c r="I486" s="525">
        <v>43340</v>
      </c>
      <c r="J486" s="481">
        <f t="shared" si="56"/>
        <v>1031</v>
      </c>
      <c r="K486" s="479" t="str">
        <f t="shared" si="50"/>
        <v/>
      </c>
      <c r="L486" s="479" t="str">
        <f t="shared" si="51"/>
        <v/>
      </c>
      <c r="M486" s="487" t="str">
        <f t="shared" si="52"/>
        <v/>
      </c>
      <c r="N486" s="479" t="str">
        <f t="shared" si="53"/>
        <v/>
      </c>
      <c r="O486" s="479" t="str">
        <f t="shared" si="54"/>
        <v/>
      </c>
      <c r="P486" s="479">
        <f t="shared" si="55"/>
        <v>1204442002.21</v>
      </c>
    </row>
    <row r="487" spans="2:16" s="477" customFormat="1">
      <c r="B487" s="530">
        <v>10000560</v>
      </c>
      <c r="C487" s="489" t="s">
        <v>10</v>
      </c>
      <c r="D487" s="65" t="s">
        <v>15</v>
      </c>
      <c r="E487" s="31" t="s">
        <v>517</v>
      </c>
      <c r="F487" s="29" t="s">
        <v>1296</v>
      </c>
      <c r="G487" s="480"/>
      <c r="H487" s="60">
        <v>252081434.67162597</v>
      </c>
      <c r="I487" s="525">
        <v>43371</v>
      </c>
      <c r="J487" s="481">
        <f t="shared" si="56"/>
        <v>1000</v>
      </c>
      <c r="K487" s="479" t="str">
        <f t="shared" si="50"/>
        <v/>
      </c>
      <c r="L487" s="479" t="str">
        <f t="shared" si="51"/>
        <v/>
      </c>
      <c r="M487" s="487" t="str">
        <f t="shared" si="52"/>
        <v/>
      </c>
      <c r="N487" s="479" t="str">
        <f t="shared" si="53"/>
        <v/>
      </c>
      <c r="O487" s="479" t="str">
        <f t="shared" si="54"/>
        <v/>
      </c>
      <c r="P487" s="479">
        <f t="shared" si="55"/>
        <v>252081434.67162597</v>
      </c>
    </row>
    <row r="488" spans="2:16" s="477" customFormat="1">
      <c r="B488" s="530">
        <v>10000560</v>
      </c>
      <c r="C488" s="489" t="s">
        <v>10</v>
      </c>
      <c r="D488" s="65" t="s">
        <v>15</v>
      </c>
      <c r="E488" s="31" t="s">
        <v>243</v>
      </c>
      <c r="F488" s="29" t="s">
        <v>1299</v>
      </c>
      <c r="G488" s="480"/>
      <c r="H488" s="60">
        <v>408304771.33318949</v>
      </c>
      <c r="I488" s="523">
        <v>43401</v>
      </c>
      <c r="J488" s="481">
        <f t="shared" si="56"/>
        <v>970</v>
      </c>
      <c r="K488" s="479" t="str">
        <f t="shared" si="50"/>
        <v/>
      </c>
      <c r="L488" s="479" t="str">
        <f t="shared" si="51"/>
        <v/>
      </c>
      <c r="M488" s="487" t="str">
        <f t="shared" si="52"/>
        <v/>
      </c>
      <c r="N488" s="479" t="str">
        <f t="shared" si="53"/>
        <v/>
      </c>
      <c r="O488" s="479" t="str">
        <f t="shared" si="54"/>
        <v/>
      </c>
      <c r="P488" s="479">
        <f t="shared" si="55"/>
        <v>408304771.33318949</v>
      </c>
    </row>
    <row r="489" spans="2:16" s="477" customFormat="1">
      <c r="B489" s="530">
        <v>10000560</v>
      </c>
      <c r="C489" s="489" t="s">
        <v>10</v>
      </c>
      <c r="D489" s="65" t="s">
        <v>15</v>
      </c>
      <c r="E489" s="66" t="s">
        <v>246</v>
      </c>
      <c r="F489" s="492" t="s">
        <v>1300</v>
      </c>
      <c r="G489" s="480"/>
      <c r="H489" s="60">
        <v>412433056.45999998</v>
      </c>
      <c r="I489" s="525">
        <v>43432</v>
      </c>
      <c r="J489" s="481">
        <f t="shared" si="56"/>
        <v>939</v>
      </c>
      <c r="K489" s="479" t="str">
        <f t="shared" si="50"/>
        <v/>
      </c>
      <c r="L489" s="479" t="str">
        <f t="shared" si="51"/>
        <v/>
      </c>
      <c r="M489" s="487" t="str">
        <f t="shared" si="52"/>
        <v/>
      </c>
      <c r="N489" s="479" t="str">
        <f t="shared" si="53"/>
        <v/>
      </c>
      <c r="O489" s="479" t="str">
        <f t="shared" si="54"/>
        <v/>
      </c>
      <c r="P489" s="479">
        <f t="shared" si="55"/>
        <v>412433056.45999998</v>
      </c>
    </row>
    <row r="490" spans="2:16" s="477" customFormat="1">
      <c r="B490" s="530">
        <v>10000560</v>
      </c>
      <c r="C490" s="489" t="s">
        <v>10</v>
      </c>
      <c r="D490" s="65" t="s">
        <v>15</v>
      </c>
      <c r="E490" s="31" t="s">
        <v>522</v>
      </c>
      <c r="F490" s="29" t="s">
        <v>1301</v>
      </c>
      <c r="G490" s="480"/>
      <c r="H490" s="60">
        <v>144375245.7180154</v>
      </c>
      <c r="I490" s="525">
        <v>43462</v>
      </c>
      <c r="J490" s="481">
        <f t="shared" si="56"/>
        <v>909</v>
      </c>
      <c r="K490" s="479" t="str">
        <f t="shared" si="50"/>
        <v/>
      </c>
      <c r="L490" s="479" t="str">
        <f t="shared" si="51"/>
        <v/>
      </c>
      <c r="M490" s="487" t="str">
        <f t="shared" si="52"/>
        <v/>
      </c>
      <c r="N490" s="479" t="str">
        <f t="shared" si="53"/>
        <v/>
      </c>
      <c r="O490" s="479" t="str">
        <f t="shared" si="54"/>
        <v/>
      </c>
      <c r="P490" s="479">
        <f t="shared" si="55"/>
        <v>144375245.7180154</v>
      </c>
    </row>
    <row r="491" spans="2:16" s="477" customFormat="1">
      <c r="B491" s="530">
        <v>10000560</v>
      </c>
      <c r="C491" s="489" t="s">
        <v>10</v>
      </c>
      <c r="D491" s="65" t="s">
        <v>15</v>
      </c>
      <c r="E491" s="31" t="s">
        <v>250</v>
      </c>
      <c r="F491" s="29" t="s">
        <v>1113</v>
      </c>
      <c r="G491" s="480"/>
      <c r="H491" s="60">
        <v>84142182.519999996</v>
      </c>
      <c r="I491" s="523">
        <v>43493</v>
      </c>
      <c r="J491" s="481">
        <f t="shared" si="56"/>
        <v>878</v>
      </c>
      <c r="K491" s="479" t="str">
        <f t="shared" si="50"/>
        <v/>
      </c>
      <c r="L491" s="479" t="str">
        <f t="shared" si="51"/>
        <v/>
      </c>
      <c r="M491" s="487" t="str">
        <f t="shared" si="52"/>
        <v/>
      </c>
      <c r="N491" s="479" t="str">
        <f t="shared" si="53"/>
        <v/>
      </c>
      <c r="O491" s="479" t="str">
        <f t="shared" si="54"/>
        <v/>
      </c>
      <c r="P491" s="479">
        <f t="shared" si="55"/>
        <v>84142182.519999996</v>
      </c>
    </row>
    <row r="492" spans="2:16" s="477" customFormat="1">
      <c r="B492" s="530">
        <v>10000560</v>
      </c>
      <c r="C492" s="489" t="s">
        <v>10</v>
      </c>
      <c r="D492" s="65" t="s">
        <v>15</v>
      </c>
      <c r="E492" s="66" t="s">
        <v>139</v>
      </c>
      <c r="F492" s="492" t="s">
        <v>1114</v>
      </c>
      <c r="G492" s="480"/>
      <c r="H492" s="60">
        <v>94939014.530000001</v>
      </c>
      <c r="I492" s="525">
        <v>43524</v>
      </c>
      <c r="J492" s="481">
        <f t="shared" si="56"/>
        <v>847</v>
      </c>
      <c r="K492" s="479" t="str">
        <f t="shared" si="50"/>
        <v/>
      </c>
      <c r="L492" s="479" t="str">
        <f t="shared" si="51"/>
        <v/>
      </c>
      <c r="M492" s="487" t="str">
        <f t="shared" si="52"/>
        <v/>
      </c>
      <c r="N492" s="479" t="str">
        <f t="shared" si="53"/>
        <v/>
      </c>
      <c r="O492" s="479" t="str">
        <f t="shared" si="54"/>
        <v/>
      </c>
      <c r="P492" s="479">
        <f t="shared" si="55"/>
        <v>94939014.530000001</v>
      </c>
    </row>
    <row r="493" spans="2:16" s="477" customFormat="1">
      <c r="B493" s="530">
        <v>10000560</v>
      </c>
      <c r="C493" s="489" t="s">
        <v>10</v>
      </c>
      <c r="D493" s="65" t="s">
        <v>15</v>
      </c>
      <c r="E493" s="31" t="s">
        <v>142</v>
      </c>
      <c r="F493" s="29" t="s">
        <v>2003</v>
      </c>
      <c r="G493" s="480"/>
      <c r="H493" s="60">
        <v>72292478.493127197</v>
      </c>
      <c r="I493" s="525">
        <v>43552</v>
      </c>
      <c r="J493" s="481">
        <f t="shared" si="56"/>
        <v>819</v>
      </c>
      <c r="K493" s="479" t="str">
        <f t="shared" si="50"/>
        <v/>
      </c>
      <c r="L493" s="479" t="str">
        <f t="shared" si="51"/>
        <v/>
      </c>
      <c r="M493" s="487" t="str">
        <f t="shared" si="52"/>
        <v/>
      </c>
      <c r="N493" s="479" t="str">
        <f t="shared" si="53"/>
        <v/>
      </c>
      <c r="O493" s="479" t="str">
        <f t="shared" si="54"/>
        <v/>
      </c>
      <c r="P493" s="479">
        <f t="shared" si="55"/>
        <v>72292478.493127197</v>
      </c>
    </row>
    <row r="494" spans="2:16" s="477" customFormat="1">
      <c r="B494" s="530">
        <v>10000560</v>
      </c>
      <c r="C494" s="489" t="s">
        <v>10</v>
      </c>
      <c r="D494" s="65" t="s">
        <v>15</v>
      </c>
      <c r="E494" s="31" t="s">
        <v>154</v>
      </c>
      <c r="F494" s="29" t="s">
        <v>1116</v>
      </c>
      <c r="G494" s="480"/>
      <c r="H494" s="60">
        <v>239654047.99295402</v>
      </c>
      <c r="I494" s="525">
        <v>43647</v>
      </c>
      <c r="J494" s="481">
        <f t="shared" si="56"/>
        <v>724</v>
      </c>
      <c r="K494" s="479" t="str">
        <f t="shared" si="50"/>
        <v/>
      </c>
      <c r="L494" s="479" t="str">
        <f t="shared" si="51"/>
        <v/>
      </c>
      <c r="M494" s="487" t="str">
        <f t="shared" si="52"/>
        <v/>
      </c>
      <c r="N494" s="479" t="str">
        <f t="shared" si="53"/>
        <v/>
      </c>
      <c r="O494" s="479" t="str">
        <f t="shared" si="54"/>
        <v/>
      </c>
      <c r="P494" s="479">
        <f t="shared" si="55"/>
        <v>239654047.99295402</v>
      </c>
    </row>
    <row r="495" spans="2:16" s="477" customFormat="1">
      <c r="B495" s="530">
        <v>10000560</v>
      </c>
      <c r="C495" s="489" t="s">
        <v>10</v>
      </c>
      <c r="D495" s="65" t="s">
        <v>15</v>
      </c>
      <c r="E495" s="31" t="s">
        <v>158</v>
      </c>
      <c r="F495" s="29" t="s">
        <v>1437</v>
      </c>
      <c r="G495" s="480"/>
      <c r="H495" s="60">
        <v>423464829.49968743</v>
      </c>
      <c r="I495" s="523">
        <v>43678</v>
      </c>
      <c r="J495" s="481">
        <f t="shared" si="56"/>
        <v>693</v>
      </c>
      <c r="K495" s="479" t="str">
        <f t="shared" si="50"/>
        <v/>
      </c>
      <c r="L495" s="479" t="str">
        <f t="shared" si="51"/>
        <v/>
      </c>
      <c r="M495" s="487" t="str">
        <f t="shared" si="52"/>
        <v/>
      </c>
      <c r="N495" s="479" t="str">
        <f t="shared" si="53"/>
        <v/>
      </c>
      <c r="O495" s="479" t="str">
        <f t="shared" si="54"/>
        <v/>
      </c>
      <c r="P495" s="479">
        <f t="shared" si="55"/>
        <v>423464829.49968743</v>
      </c>
    </row>
    <row r="496" spans="2:16" s="477" customFormat="1">
      <c r="B496" s="530">
        <v>10000560</v>
      </c>
      <c r="C496" s="489" t="s">
        <v>10</v>
      </c>
      <c r="D496" s="65" t="s">
        <v>15</v>
      </c>
      <c r="E496" s="66" t="s">
        <v>162</v>
      </c>
      <c r="F496" s="492" t="s">
        <v>1118</v>
      </c>
      <c r="G496" s="480"/>
      <c r="H496" s="60">
        <v>539023843.20805657</v>
      </c>
      <c r="I496" s="525" t="s">
        <v>164</v>
      </c>
      <c r="J496" s="481">
        <f t="shared" si="56"/>
        <v>897</v>
      </c>
      <c r="K496" s="479" t="str">
        <f t="shared" si="50"/>
        <v/>
      </c>
      <c r="L496" s="479" t="str">
        <f t="shared" si="51"/>
        <v/>
      </c>
      <c r="M496" s="487" t="str">
        <f t="shared" si="52"/>
        <v/>
      </c>
      <c r="N496" s="479" t="str">
        <f t="shared" si="53"/>
        <v/>
      </c>
      <c r="O496" s="479" t="str">
        <f t="shared" si="54"/>
        <v/>
      </c>
      <c r="P496" s="479">
        <f t="shared" si="55"/>
        <v>539023843.20805657</v>
      </c>
    </row>
    <row r="497" spans="2:16" s="477" customFormat="1">
      <c r="B497" s="530">
        <v>10000560</v>
      </c>
      <c r="C497" s="489" t="s">
        <v>10</v>
      </c>
      <c r="D497" s="65" t="s">
        <v>15</v>
      </c>
      <c r="E497" s="31" t="s">
        <v>166</v>
      </c>
      <c r="F497" s="29" t="s">
        <v>1119</v>
      </c>
      <c r="G497" s="480"/>
      <c r="H497" s="60">
        <v>427411238.04329997</v>
      </c>
      <c r="I497" s="525">
        <v>43739</v>
      </c>
      <c r="J497" s="481">
        <f t="shared" si="56"/>
        <v>632</v>
      </c>
      <c r="K497" s="479" t="str">
        <f t="shared" si="50"/>
        <v/>
      </c>
      <c r="L497" s="479" t="str">
        <f t="shared" si="51"/>
        <v/>
      </c>
      <c r="M497" s="487" t="str">
        <f t="shared" si="52"/>
        <v/>
      </c>
      <c r="N497" s="479" t="str">
        <f t="shared" si="53"/>
        <v/>
      </c>
      <c r="O497" s="479" t="str">
        <f t="shared" si="54"/>
        <v/>
      </c>
      <c r="P497" s="479">
        <f t="shared" si="55"/>
        <v>427411238.04329997</v>
      </c>
    </row>
    <row r="498" spans="2:16" s="477" customFormat="1">
      <c r="B498" s="530">
        <v>10000560</v>
      </c>
      <c r="C498" s="489" t="s">
        <v>10</v>
      </c>
      <c r="D498" s="65" t="s">
        <v>15</v>
      </c>
      <c r="E498" s="31" t="s">
        <v>170</v>
      </c>
      <c r="F498" s="29" t="s">
        <v>827</v>
      </c>
      <c r="G498" s="480"/>
      <c r="H498" s="60">
        <v>176464623.23280001</v>
      </c>
      <c r="I498" s="523">
        <v>43779</v>
      </c>
      <c r="J498" s="481">
        <f t="shared" si="56"/>
        <v>592</v>
      </c>
      <c r="K498" s="479" t="str">
        <f t="shared" si="50"/>
        <v/>
      </c>
      <c r="L498" s="479" t="str">
        <f t="shared" si="51"/>
        <v/>
      </c>
      <c r="M498" s="487" t="str">
        <f t="shared" si="52"/>
        <v/>
      </c>
      <c r="N498" s="479" t="str">
        <f t="shared" si="53"/>
        <v/>
      </c>
      <c r="O498" s="479" t="str">
        <f t="shared" si="54"/>
        <v/>
      </c>
      <c r="P498" s="479">
        <f t="shared" si="55"/>
        <v>176464623.23280001</v>
      </c>
    </row>
    <row r="499" spans="2:16" s="477" customFormat="1">
      <c r="B499" s="530">
        <v>10000560</v>
      </c>
      <c r="C499" s="489" t="s">
        <v>10</v>
      </c>
      <c r="D499" s="65" t="s">
        <v>15</v>
      </c>
      <c r="E499" s="66" t="s">
        <v>174</v>
      </c>
      <c r="F499" s="492" t="s">
        <v>829</v>
      </c>
      <c r="G499" s="480"/>
      <c r="H499" s="60">
        <v>151415898.25999999</v>
      </c>
      <c r="I499" s="525">
        <v>43814</v>
      </c>
      <c r="J499" s="481">
        <f t="shared" si="56"/>
        <v>557</v>
      </c>
      <c r="K499" s="479" t="str">
        <f t="shared" si="50"/>
        <v/>
      </c>
      <c r="L499" s="479" t="str">
        <f t="shared" si="51"/>
        <v/>
      </c>
      <c r="M499" s="487" t="str">
        <f t="shared" si="52"/>
        <v/>
      </c>
      <c r="N499" s="479" t="str">
        <f t="shared" si="53"/>
        <v/>
      </c>
      <c r="O499" s="479" t="str">
        <f t="shared" si="54"/>
        <v/>
      </c>
      <c r="P499" s="479">
        <f t="shared" si="55"/>
        <v>151415898.25999999</v>
      </c>
    </row>
    <row r="500" spans="2:16" s="477" customFormat="1">
      <c r="B500" s="530">
        <v>10000560</v>
      </c>
      <c r="C500" s="489" t="s">
        <v>10</v>
      </c>
      <c r="D500" s="65" t="s">
        <v>15</v>
      </c>
      <c r="E500" s="31" t="s">
        <v>778</v>
      </c>
      <c r="F500" s="29" t="s">
        <v>830</v>
      </c>
      <c r="G500" s="480"/>
      <c r="H500" s="60">
        <v>109313348.40089999</v>
      </c>
      <c r="I500" s="525" t="s">
        <v>179</v>
      </c>
      <c r="J500" s="481">
        <f t="shared" si="56"/>
        <v>540</v>
      </c>
      <c r="K500" s="479" t="str">
        <f t="shared" si="50"/>
        <v/>
      </c>
      <c r="L500" s="479" t="str">
        <f t="shared" si="51"/>
        <v/>
      </c>
      <c r="M500" s="487" t="str">
        <f t="shared" si="52"/>
        <v/>
      </c>
      <c r="N500" s="479" t="str">
        <f t="shared" si="53"/>
        <v/>
      </c>
      <c r="O500" s="479" t="str">
        <f t="shared" si="54"/>
        <v/>
      </c>
      <c r="P500" s="479">
        <f t="shared" si="55"/>
        <v>109313348.40089999</v>
      </c>
    </row>
    <row r="501" spans="2:16" s="477" customFormat="1">
      <c r="B501" s="530"/>
      <c r="C501" s="489"/>
      <c r="D501" s="65"/>
      <c r="E501" s="31"/>
      <c r="F501" s="29"/>
      <c r="G501" s="480"/>
      <c r="H501" s="60"/>
      <c r="I501" s="523"/>
      <c r="J501" s="481"/>
      <c r="K501" s="479" t="str">
        <f t="shared" si="50"/>
        <v/>
      </c>
      <c r="L501" s="479" t="str">
        <f t="shared" si="51"/>
        <v/>
      </c>
      <c r="M501" s="487" t="str">
        <f t="shared" si="52"/>
        <v/>
      </c>
      <c r="N501" s="479" t="str">
        <f t="shared" si="53"/>
        <v/>
      </c>
      <c r="O501" s="479" t="str">
        <f t="shared" si="54"/>
        <v/>
      </c>
      <c r="P501" s="479" t="str">
        <f t="shared" si="55"/>
        <v/>
      </c>
    </row>
    <row r="502" spans="2:16" s="477" customFormat="1">
      <c r="B502" s="530"/>
      <c r="C502" s="489"/>
      <c r="D502" s="65"/>
      <c r="E502" s="66"/>
      <c r="F502" s="492"/>
      <c r="G502" s="480"/>
      <c r="H502" s="60"/>
      <c r="I502" s="525"/>
      <c r="J502" s="481"/>
      <c r="K502" s="479" t="str">
        <f t="shared" si="50"/>
        <v/>
      </c>
      <c r="L502" s="479" t="str">
        <f t="shared" si="51"/>
        <v/>
      </c>
      <c r="M502" s="487" t="str">
        <f t="shared" si="52"/>
        <v/>
      </c>
      <c r="N502" s="479" t="str">
        <f t="shared" si="53"/>
        <v/>
      </c>
      <c r="O502" s="479" t="str">
        <f t="shared" si="54"/>
        <v/>
      </c>
      <c r="P502" s="479" t="str">
        <f t="shared" si="55"/>
        <v/>
      </c>
    </row>
    <row r="503" spans="2:16" s="477" customFormat="1">
      <c r="B503" s="530"/>
      <c r="C503" s="489"/>
      <c r="D503" s="65"/>
      <c r="E503" s="31"/>
      <c r="F503" s="29"/>
      <c r="G503" s="480"/>
      <c r="H503" s="60"/>
      <c r="I503" s="525"/>
      <c r="J503" s="481"/>
      <c r="K503" s="479" t="str">
        <f t="shared" si="50"/>
        <v/>
      </c>
      <c r="L503" s="479" t="str">
        <f t="shared" si="51"/>
        <v/>
      </c>
      <c r="M503" s="487" t="str">
        <f t="shared" si="52"/>
        <v/>
      </c>
      <c r="N503" s="479" t="str">
        <f t="shared" si="53"/>
        <v/>
      </c>
      <c r="O503" s="479" t="str">
        <f t="shared" si="54"/>
        <v/>
      </c>
      <c r="P503" s="479" t="str">
        <f t="shared" si="55"/>
        <v/>
      </c>
    </row>
    <row r="504" spans="2:16" s="477" customFormat="1">
      <c r="B504" s="530">
        <v>10000559</v>
      </c>
      <c r="C504" s="489" t="s">
        <v>10</v>
      </c>
      <c r="D504" s="65" t="s">
        <v>14</v>
      </c>
      <c r="E504" s="31" t="s">
        <v>494</v>
      </c>
      <c r="F504" s="29" t="s">
        <v>2031</v>
      </c>
      <c r="G504" s="480"/>
      <c r="H504" s="60">
        <v>1543037404.4400001</v>
      </c>
      <c r="I504" s="525">
        <v>42962</v>
      </c>
      <c r="J504" s="481">
        <f t="shared" si="56"/>
        <v>1409</v>
      </c>
      <c r="K504" s="479" t="str">
        <f t="shared" si="50"/>
        <v/>
      </c>
      <c r="L504" s="479" t="str">
        <f t="shared" si="51"/>
        <v/>
      </c>
      <c r="M504" s="487" t="str">
        <f t="shared" si="52"/>
        <v/>
      </c>
      <c r="N504" s="479" t="str">
        <f t="shared" si="53"/>
        <v/>
      </c>
      <c r="O504" s="479" t="str">
        <f t="shared" si="54"/>
        <v/>
      </c>
      <c r="P504" s="479">
        <f t="shared" si="55"/>
        <v>1543037404.4400001</v>
      </c>
    </row>
    <row r="505" spans="2:16" s="477" customFormat="1">
      <c r="B505" s="530">
        <v>10000559</v>
      </c>
      <c r="C505" s="489" t="s">
        <v>10</v>
      </c>
      <c r="D505" s="65" t="s">
        <v>14</v>
      </c>
      <c r="E505" s="31" t="s">
        <v>497</v>
      </c>
      <c r="F505" s="29" t="s">
        <v>2032</v>
      </c>
      <c r="G505" s="480"/>
      <c r="H505" s="60">
        <v>1087889889.45</v>
      </c>
      <c r="I505" s="523">
        <v>42993</v>
      </c>
      <c r="J505" s="481">
        <f t="shared" si="56"/>
        <v>1378</v>
      </c>
      <c r="K505" s="479" t="str">
        <f t="shared" si="50"/>
        <v/>
      </c>
      <c r="L505" s="479" t="str">
        <f t="shared" si="51"/>
        <v/>
      </c>
      <c r="M505" s="487" t="str">
        <f t="shared" si="52"/>
        <v/>
      </c>
      <c r="N505" s="479" t="str">
        <f t="shared" si="53"/>
        <v/>
      </c>
      <c r="O505" s="479" t="str">
        <f t="shared" si="54"/>
        <v/>
      </c>
      <c r="P505" s="479">
        <f t="shared" si="55"/>
        <v>1087889889.45</v>
      </c>
    </row>
    <row r="506" spans="2:16" s="477" customFormat="1">
      <c r="B506" s="530">
        <v>10000559</v>
      </c>
      <c r="C506" s="489" t="s">
        <v>10</v>
      </c>
      <c r="D506" s="65" t="s">
        <v>14</v>
      </c>
      <c r="E506" s="66" t="s">
        <v>498</v>
      </c>
      <c r="F506" s="492" t="s">
        <v>2033</v>
      </c>
      <c r="G506" s="480"/>
      <c r="H506" s="60">
        <v>996948675.65999997</v>
      </c>
      <c r="I506" s="525">
        <v>42865</v>
      </c>
      <c r="J506" s="481">
        <f t="shared" si="56"/>
        <v>1506</v>
      </c>
      <c r="K506" s="479" t="str">
        <f t="shared" si="50"/>
        <v/>
      </c>
      <c r="L506" s="479" t="str">
        <f t="shared" si="51"/>
        <v/>
      </c>
      <c r="M506" s="487" t="str">
        <f t="shared" si="52"/>
        <v/>
      </c>
      <c r="N506" s="479" t="str">
        <f t="shared" si="53"/>
        <v/>
      </c>
      <c r="O506" s="479" t="str">
        <f t="shared" si="54"/>
        <v/>
      </c>
      <c r="P506" s="479">
        <f t="shared" si="55"/>
        <v>996948675.65999997</v>
      </c>
    </row>
    <row r="507" spans="2:16" s="477" customFormat="1">
      <c r="B507" s="530">
        <v>10000559</v>
      </c>
      <c r="C507" s="489" t="s">
        <v>10</v>
      </c>
      <c r="D507" s="65" t="s">
        <v>14</v>
      </c>
      <c r="E507" s="31" t="s">
        <v>564</v>
      </c>
      <c r="F507" s="29" t="s">
        <v>2034</v>
      </c>
      <c r="G507" s="480"/>
      <c r="H507" s="60">
        <v>1088243302.1300001</v>
      </c>
      <c r="I507" s="525">
        <v>43044</v>
      </c>
      <c r="J507" s="481">
        <f t="shared" si="56"/>
        <v>1327</v>
      </c>
      <c r="K507" s="479" t="str">
        <f t="shared" si="50"/>
        <v/>
      </c>
      <c r="L507" s="479" t="str">
        <f t="shared" si="51"/>
        <v/>
      </c>
      <c r="M507" s="487" t="str">
        <f t="shared" si="52"/>
        <v/>
      </c>
      <c r="N507" s="479" t="str">
        <f t="shared" si="53"/>
        <v/>
      </c>
      <c r="O507" s="479" t="str">
        <f t="shared" si="54"/>
        <v/>
      </c>
      <c r="P507" s="479">
        <f t="shared" si="55"/>
        <v>1088243302.1300001</v>
      </c>
    </row>
    <row r="508" spans="2:16" s="477" customFormat="1">
      <c r="B508" s="530">
        <v>10000559</v>
      </c>
      <c r="C508" s="489" t="s">
        <v>10</v>
      </c>
      <c r="D508" s="65" t="s">
        <v>14</v>
      </c>
      <c r="E508" s="31" t="s">
        <v>500</v>
      </c>
      <c r="F508" s="29" t="s">
        <v>2035</v>
      </c>
      <c r="G508" s="480"/>
      <c r="H508" s="60">
        <v>1265270582.0999999</v>
      </c>
      <c r="I508" s="523">
        <v>43044</v>
      </c>
      <c r="J508" s="481">
        <f t="shared" si="56"/>
        <v>1327</v>
      </c>
      <c r="K508" s="479" t="str">
        <f t="shared" si="50"/>
        <v/>
      </c>
      <c r="L508" s="479" t="str">
        <f t="shared" si="51"/>
        <v/>
      </c>
      <c r="M508" s="487" t="str">
        <f t="shared" si="52"/>
        <v/>
      </c>
      <c r="N508" s="479" t="str">
        <f t="shared" si="53"/>
        <v/>
      </c>
      <c r="O508" s="479" t="str">
        <f t="shared" si="54"/>
        <v/>
      </c>
      <c r="P508" s="479">
        <f t="shared" si="55"/>
        <v>1265270582.0999999</v>
      </c>
    </row>
    <row r="509" spans="2:16" s="477" customFormat="1">
      <c r="B509" s="530">
        <v>10000559</v>
      </c>
      <c r="C509" s="489" t="s">
        <v>10</v>
      </c>
      <c r="D509" s="65" t="s">
        <v>14</v>
      </c>
      <c r="E509" s="66" t="s">
        <v>501</v>
      </c>
      <c r="F509" s="492" t="s">
        <v>2036</v>
      </c>
      <c r="G509" s="480"/>
      <c r="H509" s="60">
        <v>1294973385.72</v>
      </c>
      <c r="I509" s="525">
        <v>43115</v>
      </c>
      <c r="J509" s="481">
        <f t="shared" si="56"/>
        <v>1256</v>
      </c>
      <c r="K509" s="479" t="str">
        <f t="shared" si="50"/>
        <v/>
      </c>
      <c r="L509" s="479" t="str">
        <f t="shared" si="51"/>
        <v/>
      </c>
      <c r="M509" s="487" t="str">
        <f t="shared" si="52"/>
        <v/>
      </c>
      <c r="N509" s="479" t="str">
        <f t="shared" si="53"/>
        <v/>
      </c>
      <c r="O509" s="479" t="str">
        <f t="shared" si="54"/>
        <v/>
      </c>
      <c r="P509" s="479">
        <f t="shared" si="55"/>
        <v>1294973385.72</v>
      </c>
    </row>
    <row r="510" spans="2:16" s="477" customFormat="1">
      <c r="B510" s="530">
        <v>10000559</v>
      </c>
      <c r="C510" s="489" t="s">
        <v>10</v>
      </c>
      <c r="D510" s="65" t="s">
        <v>14</v>
      </c>
      <c r="E510" s="31" t="s">
        <v>504</v>
      </c>
      <c r="F510" s="29" t="s">
        <v>2037</v>
      </c>
      <c r="G510" s="480"/>
      <c r="H510" s="60">
        <v>1322196546.0899999</v>
      </c>
      <c r="I510" s="525">
        <v>43375</v>
      </c>
      <c r="J510" s="481">
        <f t="shared" si="56"/>
        <v>996</v>
      </c>
      <c r="K510" s="479" t="str">
        <f t="shared" si="50"/>
        <v/>
      </c>
      <c r="L510" s="479" t="str">
        <f t="shared" si="51"/>
        <v/>
      </c>
      <c r="M510" s="487" t="str">
        <f t="shared" si="52"/>
        <v/>
      </c>
      <c r="N510" s="479" t="str">
        <f t="shared" si="53"/>
        <v/>
      </c>
      <c r="O510" s="479" t="str">
        <f t="shared" si="54"/>
        <v/>
      </c>
      <c r="P510" s="479">
        <f t="shared" si="55"/>
        <v>1322196546.0899999</v>
      </c>
    </row>
    <row r="511" spans="2:16" s="477" customFormat="1">
      <c r="B511" s="530">
        <v>10000559</v>
      </c>
      <c r="C511" s="489" t="s">
        <v>10</v>
      </c>
      <c r="D511" s="65" t="s">
        <v>14</v>
      </c>
      <c r="E511" s="31" t="s">
        <v>506</v>
      </c>
      <c r="F511" s="29" t="s">
        <v>2038</v>
      </c>
      <c r="G511" s="480"/>
      <c r="H511" s="60">
        <v>991046347.83000004</v>
      </c>
      <c r="I511" s="523">
        <v>43187</v>
      </c>
      <c r="J511" s="481">
        <f t="shared" si="56"/>
        <v>1184</v>
      </c>
      <c r="K511" s="479" t="str">
        <f t="shared" si="50"/>
        <v/>
      </c>
      <c r="L511" s="479" t="str">
        <f t="shared" si="51"/>
        <v/>
      </c>
      <c r="M511" s="487" t="str">
        <f t="shared" si="52"/>
        <v/>
      </c>
      <c r="N511" s="479" t="str">
        <f t="shared" si="53"/>
        <v/>
      </c>
      <c r="O511" s="479" t="str">
        <f t="shared" si="54"/>
        <v/>
      </c>
      <c r="P511" s="479">
        <f t="shared" si="55"/>
        <v>991046347.83000004</v>
      </c>
    </row>
    <row r="512" spans="2:16" s="477" customFormat="1">
      <c r="B512" s="530">
        <v>10000559</v>
      </c>
      <c r="C512" s="489" t="s">
        <v>10</v>
      </c>
      <c r="D512" s="65" t="s">
        <v>14</v>
      </c>
      <c r="E512" s="66" t="s">
        <v>508</v>
      </c>
      <c r="F512" s="492" t="s">
        <v>2039</v>
      </c>
      <c r="G512" s="480"/>
      <c r="H512" s="60">
        <v>1177687003.5</v>
      </c>
      <c r="I512" s="525">
        <v>43205</v>
      </c>
      <c r="J512" s="481">
        <f t="shared" si="56"/>
        <v>1166</v>
      </c>
      <c r="K512" s="479" t="str">
        <f t="shared" si="50"/>
        <v/>
      </c>
      <c r="L512" s="479" t="str">
        <f t="shared" si="51"/>
        <v/>
      </c>
      <c r="M512" s="487" t="str">
        <f t="shared" si="52"/>
        <v/>
      </c>
      <c r="N512" s="479" t="str">
        <f t="shared" si="53"/>
        <v/>
      </c>
      <c r="O512" s="479" t="str">
        <f t="shared" si="54"/>
        <v/>
      </c>
      <c r="P512" s="479">
        <f t="shared" si="55"/>
        <v>1177687003.5</v>
      </c>
    </row>
    <row r="513" spans="2:16" s="477" customFormat="1">
      <c r="B513" s="530">
        <v>10000559</v>
      </c>
      <c r="C513" s="489" t="s">
        <v>10</v>
      </c>
      <c r="D513" s="65" t="s">
        <v>14</v>
      </c>
      <c r="E513" s="31" t="s">
        <v>231</v>
      </c>
      <c r="F513" s="29" t="s">
        <v>2040</v>
      </c>
      <c r="G513" s="480"/>
      <c r="H513" s="60">
        <v>1096123199.5350001</v>
      </c>
      <c r="I513" s="525">
        <v>43250</v>
      </c>
      <c r="J513" s="481">
        <f t="shared" si="56"/>
        <v>1121</v>
      </c>
      <c r="K513" s="479" t="str">
        <f t="shared" si="50"/>
        <v/>
      </c>
      <c r="L513" s="479" t="str">
        <f t="shared" si="51"/>
        <v/>
      </c>
      <c r="M513" s="487" t="str">
        <f t="shared" si="52"/>
        <v/>
      </c>
      <c r="N513" s="479" t="str">
        <f t="shared" si="53"/>
        <v/>
      </c>
      <c r="O513" s="479" t="str">
        <f t="shared" si="54"/>
        <v/>
      </c>
      <c r="P513" s="479">
        <f t="shared" si="55"/>
        <v>1096123199.5350001</v>
      </c>
    </row>
    <row r="514" spans="2:16" s="477" customFormat="1">
      <c r="B514" s="530">
        <v>10000559</v>
      </c>
      <c r="C514" s="489" t="s">
        <v>10</v>
      </c>
      <c r="D514" s="65" t="s">
        <v>14</v>
      </c>
      <c r="E514" s="31" t="s">
        <v>234</v>
      </c>
      <c r="F514" s="29" t="s">
        <v>2041</v>
      </c>
      <c r="G514" s="480"/>
      <c r="H514" s="60">
        <v>1216184501.0700002</v>
      </c>
      <c r="I514" s="525">
        <v>43273</v>
      </c>
      <c r="J514" s="481">
        <f t="shared" si="56"/>
        <v>1098</v>
      </c>
      <c r="K514" s="479" t="str">
        <f t="shared" si="50"/>
        <v/>
      </c>
      <c r="L514" s="479" t="str">
        <f t="shared" si="51"/>
        <v/>
      </c>
      <c r="M514" s="487" t="str">
        <f t="shared" si="52"/>
        <v/>
      </c>
      <c r="N514" s="479" t="str">
        <f t="shared" si="53"/>
        <v/>
      </c>
      <c r="O514" s="479" t="str">
        <f t="shared" si="54"/>
        <v/>
      </c>
      <c r="P514" s="479">
        <f t="shared" si="55"/>
        <v>1216184501.0700002</v>
      </c>
    </row>
    <row r="515" spans="2:16" s="477" customFormat="1">
      <c r="B515" s="530">
        <v>10000559</v>
      </c>
      <c r="C515" s="489" t="s">
        <v>10</v>
      </c>
      <c r="D515" s="65" t="s">
        <v>14</v>
      </c>
      <c r="E515" s="31" t="s">
        <v>416</v>
      </c>
      <c r="F515" s="29" t="s">
        <v>1423</v>
      </c>
      <c r="G515" s="480"/>
      <c r="H515" s="60">
        <v>1129765171.1010001</v>
      </c>
      <c r="I515" s="523">
        <v>43303</v>
      </c>
      <c r="J515" s="481">
        <f t="shared" si="56"/>
        <v>1068</v>
      </c>
      <c r="K515" s="479" t="str">
        <f t="shared" si="50"/>
        <v/>
      </c>
      <c r="L515" s="479" t="str">
        <f t="shared" si="51"/>
        <v/>
      </c>
      <c r="M515" s="487" t="str">
        <f t="shared" si="52"/>
        <v/>
      </c>
      <c r="N515" s="479" t="str">
        <f t="shared" si="53"/>
        <v/>
      </c>
      <c r="O515" s="479" t="str">
        <f t="shared" si="54"/>
        <v/>
      </c>
      <c r="P515" s="479">
        <f t="shared" si="55"/>
        <v>1129765171.1010001</v>
      </c>
    </row>
    <row r="516" spans="2:16" s="477" customFormat="1">
      <c r="B516" s="530">
        <v>10000559</v>
      </c>
      <c r="C516" s="489" t="s">
        <v>10</v>
      </c>
      <c r="D516" s="65" t="s">
        <v>14</v>
      </c>
      <c r="E516" s="66" t="s">
        <v>238</v>
      </c>
      <c r="F516" s="492" t="s">
        <v>1966</v>
      </c>
      <c r="G516" s="480"/>
      <c r="H516" s="60">
        <v>277139635.1636489</v>
      </c>
      <c r="I516" s="525">
        <v>43303</v>
      </c>
      <c r="J516" s="481">
        <f t="shared" si="56"/>
        <v>1068</v>
      </c>
      <c r="K516" s="479" t="str">
        <f t="shared" si="50"/>
        <v/>
      </c>
      <c r="L516" s="479" t="str">
        <f t="shared" si="51"/>
        <v/>
      </c>
      <c r="M516" s="487" t="str">
        <f t="shared" si="52"/>
        <v/>
      </c>
      <c r="N516" s="479" t="str">
        <f t="shared" si="53"/>
        <v/>
      </c>
      <c r="O516" s="479" t="str">
        <f t="shared" si="54"/>
        <v/>
      </c>
      <c r="P516" s="479">
        <f t="shared" si="55"/>
        <v>277139635.1636489</v>
      </c>
    </row>
    <row r="517" spans="2:16" s="477" customFormat="1">
      <c r="B517" s="530">
        <v>10000559</v>
      </c>
      <c r="C517" s="489" t="s">
        <v>10</v>
      </c>
      <c r="D517" s="65" t="s">
        <v>14</v>
      </c>
      <c r="E517" s="31" t="s">
        <v>517</v>
      </c>
      <c r="F517" s="29" t="s">
        <v>2042</v>
      </c>
      <c r="G517" s="480"/>
      <c r="H517" s="60">
        <v>163140638.25162598</v>
      </c>
      <c r="I517" s="525">
        <v>43365</v>
      </c>
      <c r="J517" s="481">
        <f t="shared" si="56"/>
        <v>1006</v>
      </c>
      <c r="K517" s="479" t="str">
        <f t="shared" si="50"/>
        <v/>
      </c>
      <c r="L517" s="479" t="str">
        <f t="shared" si="51"/>
        <v/>
      </c>
      <c r="M517" s="487" t="str">
        <f t="shared" si="52"/>
        <v/>
      </c>
      <c r="N517" s="479" t="str">
        <f t="shared" si="53"/>
        <v/>
      </c>
      <c r="O517" s="479" t="str">
        <f t="shared" si="54"/>
        <v/>
      </c>
      <c r="P517" s="479">
        <f t="shared" si="55"/>
        <v>163140638.25162598</v>
      </c>
    </row>
    <row r="518" spans="2:16" s="477" customFormat="1">
      <c r="B518" s="530">
        <v>10000559</v>
      </c>
      <c r="C518" s="489" t="s">
        <v>10</v>
      </c>
      <c r="D518" s="65" t="s">
        <v>14</v>
      </c>
      <c r="E518" s="31" t="s">
        <v>243</v>
      </c>
      <c r="F518" s="29" t="s">
        <v>1992</v>
      </c>
      <c r="G518" s="480"/>
      <c r="H518" s="60">
        <v>336504253.45999998</v>
      </c>
      <c r="I518" s="523">
        <v>43395</v>
      </c>
      <c r="J518" s="481">
        <f t="shared" si="56"/>
        <v>976</v>
      </c>
      <c r="K518" s="479" t="str">
        <f t="shared" si="50"/>
        <v/>
      </c>
      <c r="L518" s="479" t="str">
        <f t="shared" si="51"/>
        <v/>
      </c>
      <c r="M518" s="487" t="str">
        <f t="shared" si="52"/>
        <v/>
      </c>
      <c r="N518" s="479" t="str">
        <f t="shared" si="53"/>
        <v/>
      </c>
      <c r="O518" s="479" t="str">
        <f t="shared" si="54"/>
        <v/>
      </c>
      <c r="P518" s="479">
        <f t="shared" si="55"/>
        <v>336504253.45999998</v>
      </c>
    </row>
    <row r="519" spans="2:16" s="477" customFormat="1">
      <c r="B519" s="530">
        <v>10000559</v>
      </c>
      <c r="C519" s="489" t="s">
        <v>10</v>
      </c>
      <c r="D519" s="65" t="s">
        <v>14</v>
      </c>
      <c r="E519" s="66" t="s">
        <v>246</v>
      </c>
      <c r="F519" s="492" t="s">
        <v>2044</v>
      </c>
      <c r="G519" s="480"/>
      <c r="H519" s="60">
        <v>302037760.55000001</v>
      </c>
      <c r="I519" s="525">
        <v>43426</v>
      </c>
      <c r="J519" s="481">
        <f t="shared" si="56"/>
        <v>945</v>
      </c>
      <c r="K519" s="479" t="str">
        <f t="shared" ref="K519:K582" si="57">IF(AND(J519&gt;=16,J519&lt;=30),H519,"")</f>
        <v/>
      </c>
      <c r="L519" s="479" t="str">
        <f t="shared" ref="L519:L582" si="58">IF(AND(J519&gt;=31,J519&lt;=60),H519,"")</f>
        <v/>
      </c>
      <c r="M519" s="487" t="str">
        <f t="shared" ref="M519:M582" si="59">IF(AND(J519&gt;=61,J519&lt;=90),H519,"")</f>
        <v/>
      </c>
      <c r="N519" s="479" t="str">
        <f t="shared" ref="N519:N582" si="60">IF(AND(J519&gt;=91,J519&lt;=180),H519,"")</f>
        <v/>
      </c>
      <c r="O519" s="479" t="str">
        <f t="shared" ref="O519:O582" si="61">IF(AND(J519&gt;=181,J519&lt;=360),H519,"")</f>
        <v/>
      </c>
      <c r="P519" s="479">
        <f t="shared" ref="P519:P582" si="62">IF(J519&gt;=360,H519,"")</f>
        <v>302037760.55000001</v>
      </c>
    </row>
    <row r="520" spans="2:16" s="477" customFormat="1">
      <c r="B520" s="530">
        <v>10000559</v>
      </c>
      <c r="C520" s="489" t="s">
        <v>10</v>
      </c>
      <c r="D520" s="65" t="s">
        <v>14</v>
      </c>
      <c r="E520" s="31" t="s">
        <v>522</v>
      </c>
      <c r="F520" s="29" t="s">
        <v>1993</v>
      </c>
      <c r="G520" s="480"/>
      <c r="H520" s="60">
        <v>276057096.74094033</v>
      </c>
      <c r="I520" s="525">
        <v>43456</v>
      </c>
      <c r="J520" s="481">
        <f t="shared" ref="J520:J583" si="63">DATEDIF(I520,$J$4,"D")</f>
        <v>915</v>
      </c>
      <c r="K520" s="479" t="str">
        <f t="shared" si="57"/>
        <v/>
      </c>
      <c r="L520" s="479" t="str">
        <f t="shared" si="58"/>
        <v/>
      </c>
      <c r="M520" s="487" t="str">
        <f t="shared" si="59"/>
        <v/>
      </c>
      <c r="N520" s="479" t="str">
        <f t="shared" si="60"/>
        <v/>
      </c>
      <c r="O520" s="479" t="str">
        <f t="shared" si="61"/>
        <v/>
      </c>
      <c r="P520" s="479">
        <f t="shared" si="62"/>
        <v>276057096.74094033</v>
      </c>
    </row>
    <row r="521" spans="2:16" s="477" customFormat="1">
      <c r="B521" s="530">
        <v>10000559</v>
      </c>
      <c r="C521" s="489" t="s">
        <v>10</v>
      </c>
      <c r="D521" s="65" t="s">
        <v>14</v>
      </c>
      <c r="E521" s="31" t="s">
        <v>250</v>
      </c>
      <c r="F521" s="29" t="s">
        <v>344</v>
      </c>
      <c r="G521" s="480"/>
      <c r="H521" s="60">
        <v>29506253.32</v>
      </c>
      <c r="I521" s="523">
        <v>43485</v>
      </c>
      <c r="J521" s="481">
        <f t="shared" si="63"/>
        <v>886</v>
      </c>
      <c r="K521" s="479" t="str">
        <f t="shared" si="57"/>
        <v/>
      </c>
      <c r="L521" s="479" t="str">
        <f t="shared" si="58"/>
        <v/>
      </c>
      <c r="M521" s="487" t="str">
        <f t="shared" si="59"/>
        <v/>
      </c>
      <c r="N521" s="479" t="str">
        <f t="shared" si="60"/>
        <v/>
      </c>
      <c r="O521" s="479" t="str">
        <f t="shared" si="61"/>
        <v/>
      </c>
      <c r="P521" s="479">
        <f t="shared" si="62"/>
        <v>29506253.32</v>
      </c>
    </row>
    <row r="522" spans="2:16" s="477" customFormat="1">
      <c r="B522" s="530">
        <v>10000559</v>
      </c>
      <c r="C522" s="489" t="s">
        <v>10</v>
      </c>
      <c r="D522" s="65" t="s">
        <v>14</v>
      </c>
      <c r="E522" s="66" t="s">
        <v>139</v>
      </c>
      <c r="F522" s="492" t="s">
        <v>345</v>
      </c>
      <c r="G522" s="480"/>
      <c r="H522" s="60">
        <v>105926591.8</v>
      </c>
      <c r="I522" s="525">
        <v>43516</v>
      </c>
      <c r="J522" s="481">
        <f t="shared" si="63"/>
        <v>855</v>
      </c>
      <c r="K522" s="479" t="str">
        <f t="shared" si="57"/>
        <v/>
      </c>
      <c r="L522" s="479" t="str">
        <f t="shared" si="58"/>
        <v/>
      </c>
      <c r="M522" s="487" t="str">
        <f t="shared" si="59"/>
        <v/>
      </c>
      <c r="N522" s="479" t="str">
        <f t="shared" si="60"/>
        <v/>
      </c>
      <c r="O522" s="479" t="str">
        <f t="shared" si="61"/>
        <v/>
      </c>
      <c r="P522" s="479">
        <f t="shared" si="62"/>
        <v>105926591.8</v>
      </c>
    </row>
    <row r="523" spans="2:16" s="477" customFormat="1">
      <c r="B523" s="530">
        <v>10000559</v>
      </c>
      <c r="C523" s="489" t="s">
        <v>10</v>
      </c>
      <c r="D523" s="65" t="s">
        <v>14</v>
      </c>
      <c r="E523" s="31" t="s">
        <v>142</v>
      </c>
      <c r="F523" s="29" t="s">
        <v>2045</v>
      </c>
      <c r="G523" s="480"/>
      <c r="H523" s="60">
        <v>463305406.62823498</v>
      </c>
      <c r="I523" s="525">
        <v>43539</v>
      </c>
      <c r="J523" s="481">
        <f t="shared" si="63"/>
        <v>832</v>
      </c>
      <c r="K523" s="479" t="str">
        <f t="shared" si="57"/>
        <v/>
      </c>
      <c r="L523" s="479" t="str">
        <f t="shared" si="58"/>
        <v/>
      </c>
      <c r="M523" s="487" t="str">
        <f t="shared" si="59"/>
        <v/>
      </c>
      <c r="N523" s="479" t="str">
        <f t="shared" si="60"/>
        <v/>
      </c>
      <c r="O523" s="479" t="str">
        <f t="shared" si="61"/>
        <v/>
      </c>
      <c r="P523" s="479">
        <f t="shared" si="62"/>
        <v>463305406.62823498</v>
      </c>
    </row>
    <row r="524" spans="2:16" s="477" customFormat="1">
      <c r="B524" s="530">
        <v>10000559</v>
      </c>
      <c r="C524" s="489" t="s">
        <v>10</v>
      </c>
      <c r="D524" s="65" t="s">
        <v>14</v>
      </c>
      <c r="E524" s="31" t="s">
        <v>154</v>
      </c>
      <c r="F524" s="29" t="s">
        <v>347</v>
      </c>
      <c r="G524" s="480"/>
      <c r="H524" s="60">
        <v>263292329.45819998</v>
      </c>
      <c r="I524" s="525">
        <v>43647</v>
      </c>
      <c r="J524" s="481">
        <f t="shared" si="63"/>
        <v>724</v>
      </c>
      <c r="K524" s="479" t="str">
        <f t="shared" si="57"/>
        <v/>
      </c>
      <c r="L524" s="479" t="str">
        <f t="shared" si="58"/>
        <v/>
      </c>
      <c r="M524" s="487" t="str">
        <f t="shared" si="59"/>
        <v/>
      </c>
      <c r="N524" s="479" t="str">
        <f t="shared" si="60"/>
        <v/>
      </c>
      <c r="O524" s="479" t="str">
        <f t="shared" si="61"/>
        <v/>
      </c>
      <c r="P524" s="479">
        <f t="shared" si="62"/>
        <v>263292329.45819998</v>
      </c>
    </row>
    <row r="525" spans="2:16" s="477" customFormat="1">
      <c r="B525" s="530">
        <v>10000559</v>
      </c>
      <c r="C525" s="489" t="s">
        <v>10</v>
      </c>
      <c r="D525" s="65" t="s">
        <v>14</v>
      </c>
      <c r="E525" s="31" t="s">
        <v>158</v>
      </c>
      <c r="F525" s="29" t="s">
        <v>350</v>
      </c>
      <c r="G525" s="480"/>
      <c r="H525" s="60">
        <v>580616766.56025004</v>
      </c>
      <c r="I525" s="523">
        <v>43678</v>
      </c>
      <c r="J525" s="481">
        <f t="shared" si="63"/>
        <v>693</v>
      </c>
      <c r="K525" s="479" t="str">
        <f t="shared" si="57"/>
        <v/>
      </c>
      <c r="L525" s="479" t="str">
        <f t="shared" si="58"/>
        <v/>
      </c>
      <c r="M525" s="487" t="str">
        <f t="shared" si="59"/>
        <v/>
      </c>
      <c r="N525" s="479" t="str">
        <f t="shared" si="60"/>
        <v/>
      </c>
      <c r="O525" s="479" t="str">
        <f t="shared" si="61"/>
        <v/>
      </c>
      <c r="P525" s="479">
        <f t="shared" si="62"/>
        <v>580616766.56025004</v>
      </c>
    </row>
    <row r="526" spans="2:16" s="477" customFormat="1">
      <c r="B526" s="530">
        <v>10000559</v>
      </c>
      <c r="C526" s="489" t="s">
        <v>10</v>
      </c>
      <c r="D526" s="65" t="s">
        <v>14</v>
      </c>
      <c r="E526" s="66" t="s">
        <v>162</v>
      </c>
      <c r="F526" s="492" t="s">
        <v>1106</v>
      </c>
      <c r="G526" s="480"/>
      <c r="H526" s="60">
        <v>806810841.79150343</v>
      </c>
      <c r="I526" s="525">
        <v>43709</v>
      </c>
      <c r="J526" s="481">
        <f t="shared" si="63"/>
        <v>662</v>
      </c>
      <c r="K526" s="479" t="str">
        <f t="shared" si="57"/>
        <v/>
      </c>
      <c r="L526" s="479" t="str">
        <f t="shared" si="58"/>
        <v/>
      </c>
      <c r="M526" s="487" t="str">
        <f t="shared" si="59"/>
        <v/>
      </c>
      <c r="N526" s="479" t="str">
        <f t="shared" si="60"/>
        <v/>
      </c>
      <c r="O526" s="479" t="str">
        <f t="shared" si="61"/>
        <v/>
      </c>
      <c r="P526" s="479">
        <f t="shared" si="62"/>
        <v>806810841.79150343</v>
      </c>
    </row>
    <row r="527" spans="2:16" s="477" customFormat="1">
      <c r="B527" s="530">
        <v>10000559</v>
      </c>
      <c r="C527" s="489" t="s">
        <v>10</v>
      </c>
      <c r="D527" s="65" t="s">
        <v>14</v>
      </c>
      <c r="E527" s="31" t="s">
        <v>166</v>
      </c>
      <c r="F527" s="29" t="s">
        <v>1107</v>
      </c>
      <c r="G527" s="480"/>
      <c r="H527" s="60">
        <v>828995553.74580002</v>
      </c>
      <c r="I527" s="525">
        <v>43739</v>
      </c>
      <c r="J527" s="481">
        <f t="shared" si="63"/>
        <v>632</v>
      </c>
      <c r="K527" s="479" t="str">
        <f t="shared" si="57"/>
        <v/>
      </c>
      <c r="L527" s="479" t="str">
        <f t="shared" si="58"/>
        <v/>
      </c>
      <c r="M527" s="487" t="str">
        <f t="shared" si="59"/>
        <v/>
      </c>
      <c r="N527" s="479" t="str">
        <f t="shared" si="60"/>
        <v/>
      </c>
      <c r="O527" s="479" t="str">
        <f t="shared" si="61"/>
        <v/>
      </c>
      <c r="P527" s="479">
        <f t="shared" si="62"/>
        <v>828995553.74580002</v>
      </c>
    </row>
    <row r="528" spans="2:16" s="477" customFormat="1">
      <c r="B528" s="530">
        <v>10000559</v>
      </c>
      <c r="C528" s="489" t="s">
        <v>10</v>
      </c>
      <c r="D528" s="65" t="s">
        <v>14</v>
      </c>
      <c r="E528" s="31" t="s">
        <v>170</v>
      </c>
      <c r="F528" s="29" t="s">
        <v>1108</v>
      </c>
      <c r="G528" s="480"/>
      <c r="H528" s="60">
        <v>77092559.562899992</v>
      </c>
      <c r="I528" s="523">
        <v>43779</v>
      </c>
      <c r="J528" s="481">
        <f t="shared" si="63"/>
        <v>592</v>
      </c>
      <c r="K528" s="479" t="str">
        <f t="shared" si="57"/>
        <v/>
      </c>
      <c r="L528" s="479" t="str">
        <f t="shared" si="58"/>
        <v/>
      </c>
      <c r="M528" s="487" t="str">
        <f t="shared" si="59"/>
        <v/>
      </c>
      <c r="N528" s="479" t="str">
        <f t="shared" si="60"/>
        <v/>
      </c>
      <c r="O528" s="479" t="str">
        <f t="shared" si="61"/>
        <v/>
      </c>
      <c r="P528" s="479">
        <f t="shared" si="62"/>
        <v>77092559.562899992</v>
      </c>
    </row>
    <row r="529" spans="2:16" s="477" customFormat="1">
      <c r="B529" s="530">
        <v>10000559</v>
      </c>
      <c r="C529" s="489" t="s">
        <v>10</v>
      </c>
      <c r="D529" s="65" t="s">
        <v>14</v>
      </c>
      <c r="E529" s="66" t="s">
        <v>174</v>
      </c>
      <c r="F529" s="492" t="s">
        <v>1109</v>
      </c>
      <c r="G529" s="480"/>
      <c r="H529" s="60">
        <v>332924733.57999998</v>
      </c>
      <c r="I529" s="525">
        <v>43814</v>
      </c>
      <c r="J529" s="481">
        <f t="shared" si="63"/>
        <v>557</v>
      </c>
      <c r="K529" s="479" t="str">
        <f t="shared" si="57"/>
        <v/>
      </c>
      <c r="L529" s="479" t="str">
        <f t="shared" si="58"/>
        <v/>
      </c>
      <c r="M529" s="487" t="str">
        <f t="shared" si="59"/>
        <v/>
      </c>
      <c r="N529" s="479" t="str">
        <f t="shared" si="60"/>
        <v/>
      </c>
      <c r="O529" s="479" t="str">
        <f t="shared" si="61"/>
        <v/>
      </c>
      <c r="P529" s="479">
        <f t="shared" si="62"/>
        <v>332924733.57999998</v>
      </c>
    </row>
    <row r="530" spans="2:16" s="477" customFormat="1">
      <c r="B530" s="530">
        <v>10000559</v>
      </c>
      <c r="C530" s="489" t="s">
        <v>10</v>
      </c>
      <c r="D530" s="65" t="s">
        <v>14</v>
      </c>
      <c r="E530" s="31" t="s">
        <v>778</v>
      </c>
      <c r="F530" s="29" t="s">
        <v>1110</v>
      </c>
      <c r="G530" s="480"/>
      <c r="H530" s="60">
        <v>335059721.67150003</v>
      </c>
      <c r="I530" s="525">
        <v>43831</v>
      </c>
      <c r="J530" s="481">
        <f t="shared" si="63"/>
        <v>540</v>
      </c>
      <c r="K530" s="479" t="str">
        <f t="shared" si="57"/>
        <v/>
      </c>
      <c r="L530" s="479" t="str">
        <f t="shared" si="58"/>
        <v/>
      </c>
      <c r="M530" s="487" t="str">
        <f t="shared" si="59"/>
        <v/>
      </c>
      <c r="N530" s="479" t="str">
        <f t="shared" si="60"/>
        <v/>
      </c>
      <c r="O530" s="479" t="str">
        <f t="shared" si="61"/>
        <v/>
      </c>
      <c r="P530" s="479">
        <f t="shared" si="62"/>
        <v>335059721.67150003</v>
      </c>
    </row>
    <row r="531" spans="2:16" s="477" customFormat="1">
      <c r="B531" s="530">
        <v>10000559</v>
      </c>
      <c r="C531" s="489" t="s">
        <v>10</v>
      </c>
      <c r="D531" s="65" t="s">
        <v>14</v>
      </c>
      <c r="E531" s="31" t="s">
        <v>1566</v>
      </c>
      <c r="F531" s="29" t="s">
        <v>1111</v>
      </c>
      <c r="G531" s="480"/>
      <c r="H531" s="60">
        <v>155558848.57376853</v>
      </c>
      <c r="I531" s="523" t="s">
        <v>780</v>
      </c>
      <c r="J531" s="481">
        <f t="shared" si="63"/>
        <v>508</v>
      </c>
      <c r="K531" s="479" t="str">
        <f t="shared" si="57"/>
        <v/>
      </c>
      <c r="L531" s="479" t="str">
        <f t="shared" si="58"/>
        <v/>
      </c>
      <c r="M531" s="487" t="str">
        <f t="shared" si="59"/>
        <v/>
      </c>
      <c r="N531" s="479" t="str">
        <f t="shared" si="60"/>
        <v/>
      </c>
      <c r="O531" s="479" t="str">
        <f t="shared" si="61"/>
        <v/>
      </c>
      <c r="P531" s="479">
        <f t="shared" si="62"/>
        <v>155558848.57376853</v>
      </c>
    </row>
    <row r="532" spans="2:16" s="477" customFormat="1">
      <c r="B532" s="530"/>
      <c r="C532" s="489"/>
      <c r="D532" s="65"/>
      <c r="E532" s="66"/>
      <c r="F532" s="492"/>
      <c r="G532" s="480"/>
      <c r="H532" s="60"/>
      <c r="I532" s="525"/>
      <c r="J532" s="481"/>
      <c r="K532" s="479" t="str">
        <f t="shared" si="57"/>
        <v/>
      </c>
      <c r="L532" s="479" t="str">
        <f t="shared" si="58"/>
        <v/>
      </c>
      <c r="M532" s="487" t="str">
        <f t="shared" si="59"/>
        <v/>
      </c>
      <c r="N532" s="479" t="str">
        <f t="shared" si="60"/>
        <v/>
      </c>
      <c r="O532" s="479" t="str">
        <f t="shared" si="61"/>
        <v/>
      </c>
      <c r="P532" s="479" t="str">
        <f t="shared" si="62"/>
        <v/>
      </c>
    </row>
    <row r="533" spans="2:16" s="477" customFormat="1">
      <c r="B533" s="530">
        <v>10000561</v>
      </c>
      <c r="C533" s="489" t="s">
        <v>10</v>
      </c>
      <c r="D533" s="65" t="s">
        <v>16</v>
      </c>
      <c r="E533" s="31" t="s">
        <v>404</v>
      </c>
      <c r="F533" s="29" t="s">
        <v>528</v>
      </c>
      <c r="G533" s="480"/>
      <c r="H533" s="60">
        <v>139461014.91</v>
      </c>
      <c r="I533" s="525">
        <v>42573</v>
      </c>
      <c r="J533" s="481">
        <f t="shared" si="63"/>
        <v>1798</v>
      </c>
      <c r="K533" s="479" t="str">
        <f t="shared" si="57"/>
        <v/>
      </c>
      <c r="L533" s="479" t="str">
        <f t="shared" si="58"/>
        <v/>
      </c>
      <c r="M533" s="487" t="str">
        <f t="shared" si="59"/>
        <v/>
      </c>
      <c r="N533" s="479" t="str">
        <f t="shared" si="60"/>
        <v/>
      </c>
      <c r="O533" s="479" t="str">
        <f t="shared" si="61"/>
        <v/>
      </c>
      <c r="P533" s="479">
        <f t="shared" si="62"/>
        <v>139461014.91</v>
      </c>
    </row>
    <row r="534" spans="2:16" s="477" customFormat="1">
      <c r="B534" s="530">
        <v>10000561</v>
      </c>
      <c r="C534" s="489" t="s">
        <v>10</v>
      </c>
      <c r="D534" s="65" t="s">
        <v>16</v>
      </c>
      <c r="E534" s="31" t="s">
        <v>406</v>
      </c>
      <c r="F534" s="29" t="s">
        <v>35</v>
      </c>
      <c r="G534" s="480"/>
      <c r="H534" s="60">
        <v>373543787.22000003</v>
      </c>
      <c r="I534" s="525">
        <v>42604</v>
      </c>
      <c r="J534" s="481">
        <f t="shared" si="63"/>
        <v>1767</v>
      </c>
      <c r="K534" s="479" t="str">
        <f t="shared" si="57"/>
        <v/>
      </c>
      <c r="L534" s="479" t="str">
        <f t="shared" si="58"/>
        <v/>
      </c>
      <c r="M534" s="487" t="str">
        <f t="shared" si="59"/>
        <v/>
      </c>
      <c r="N534" s="479" t="str">
        <f t="shared" si="60"/>
        <v/>
      </c>
      <c r="O534" s="479" t="str">
        <f t="shared" si="61"/>
        <v/>
      </c>
      <c r="P534" s="479">
        <f t="shared" si="62"/>
        <v>373543787.22000003</v>
      </c>
    </row>
    <row r="535" spans="2:16" s="477" customFormat="1">
      <c r="B535" s="530">
        <v>10000561</v>
      </c>
      <c r="C535" s="489" t="s">
        <v>10</v>
      </c>
      <c r="D535" s="65" t="s">
        <v>16</v>
      </c>
      <c r="E535" s="31" t="s">
        <v>409</v>
      </c>
      <c r="F535" s="29" t="s">
        <v>530</v>
      </c>
      <c r="G535" s="480"/>
      <c r="H535" s="60">
        <v>614317611.39999998</v>
      </c>
      <c r="I535" s="523">
        <v>42635</v>
      </c>
      <c r="J535" s="481">
        <f t="shared" si="63"/>
        <v>1736</v>
      </c>
      <c r="K535" s="479" t="str">
        <f t="shared" si="57"/>
        <v/>
      </c>
      <c r="L535" s="479" t="str">
        <f t="shared" si="58"/>
        <v/>
      </c>
      <c r="M535" s="487" t="str">
        <f t="shared" si="59"/>
        <v/>
      </c>
      <c r="N535" s="479" t="str">
        <f t="shared" si="60"/>
        <v/>
      </c>
      <c r="O535" s="479" t="str">
        <f t="shared" si="61"/>
        <v/>
      </c>
      <c r="P535" s="479">
        <f t="shared" si="62"/>
        <v>614317611.39999998</v>
      </c>
    </row>
    <row r="536" spans="2:16" s="477" customFormat="1">
      <c r="B536" s="530">
        <v>10000561</v>
      </c>
      <c r="C536" s="489" t="s">
        <v>10</v>
      </c>
      <c r="D536" s="65" t="s">
        <v>16</v>
      </c>
      <c r="E536" s="66" t="s">
        <v>411</v>
      </c>
      <c r="F536" s="492" t="s">
        <v>532</v>
      </c>
      <c r="G536" s="480"/>
      <c r="H536" s="60">
        <v>654012439.92999995</v>
      </c>
      <c r="I536" s="525">
        <v>42661</v>
      </c>
      <c r="J536" s="481">
        <f t="shared" si="63"/>
        <v>1710</v>
      </c>
      <c r="K536" s="479" t="str">
        <f t="shared" si="57"/>
        <v/>
      </c>
      <c r="L536" s="479" t="str">
        <f t="shared" si="58"/>
        <v/>
      </c>
      <c r="M536" s="487" t="str">
        <f t="shared" si="59"/>
        <v/>
      </c>
      <c r="N536" s="479" t="str">
        <f t="shared" si="60"/>
        <v/>
      </c>
      <c r="O536" s="479" t="str">
        <f t="shared" si="61"/>
        <v/>
      </c>
      <c r="P536" s="479">
        <f t="shared" si="62"/>
        <v>654012439.92999995</v>
      </c>
    </row>
    <row r="537" spans="2:16" s="477" customFormat="1">
      <c r="B537" s="530">
        <v>10000561</v>
      </c>
      <c r="C537" s="489" t="s">
        <v>10</v>
      </c>
      <c r="D537" s="65" t="s">
        <v>16</v>
      </c>
      <c r="E537" s="31" t="s">
        <v>414</v>
      </c>
      <c r="F537" s="29" t="s">
        <v>534</v>
      </c>
      <c r="G537" s="480"/>
      <c r="H537" s="60">
        <v>454761426.95999998</v>
      </c>
      <c r="I537" s="525">
        <v>42690</v>
      </c>
      <c r="J537" s="481">
        <f t="shared" si="63"/>
        <v>1681</v>
      </c>
      <c r="K537" s="479" t="str">
        <f t="shared" si="57"/>
        <v/>
      </c>
      <c r="L537" s="479" t="str">
        <f t="shared" si="58"/>
        <v/>
      </c>
      <c r="M537" s="487" t="str">
        <f t="shared" si="59"/>
        <v/>
      </c>
      <c r="N537" s="479" t="str">
        <f t="shared" si="60"/>
        <v/>
      </c>
      <c r="O537" s="479" t="str">
        <f t="shared" si="61"/>
        <v/>
      </c>
      <c r="P537" s="479">
        <f t="shared" si="62"/>
        <v>454761426.95999998</v>
      </c>
    </row>
    <row r="538" spans="2:16" s="477" customFormat="1">
      <c r="B538" s="530">
        <v>10000561</v>
      </c>
      <c r="C538" s="489" t="s">
        <v>10</v>
      </c>
      <c r="D538" s="65" t="s">
        <v>16</v>
      </c>
      <c r="E538" s="31" t="s">
        <v>1412</v>
      </c>
      <c r="F538" s="29" t="s">
        <v>535</v>
      </c>
      <c r="G538" s="480"/>
      <c r="H538" s="60">
        <v>608397260.96000004</v>
      </c>
      <c r="I538" s="523">
        <v>42718</v>
      </c>
      <c r="J538" s="481">
        <f t="shared" si="63"/>
        <v>1653</v>
      </c>
      <c r="K538" s="479" t="str">
        <f t="shared" si="57"/>
        <v/>
      </c>
      <c r="L538" s="479" t="str">
        <f t="shared" si="58"/>
        <v/>
      </c>
      <c r="M538" s="487" t="str">
        <f t="shared" si="59"/>
        <v/>
      </c>
      <c r="N538" s="479" t="str">
        <f t="shared" si="60"/>
        <v/>
      </c>
      <c r="O538" s="479" t="str">
        <f t="shared" si="61"/>
        <v/>
      </c>
      <c r="P538" s="479">
        <f t="shared" si="62"/>
        <v>608397260.96000004</v>
      </c>
    </row>
    <row r="539" spans="2:16" s="477" customFormat="1">
      <c r="B539" s="530">
        <v>10000561</v>
      </c>
      <c r="C539" s="489" t="s">
        <v>10</v>
      </c>
      <c r="D539" s="65" t="s">
        <v>16</v>
      </c>
      <c r="E539" s="66" t="s">
        <v>609</v>
      </c>
      <c r="F539" s="492" t="s">
        <v>536</v>
      </c>
      <c r="G539" s="480"/>
      <c r="H539" s="60">
        <v>572777774.11856925</v>
      </c>
      <c r="I539" s="525">
        <v>42750</v>
      </c>
      <c r="J539" s="481">
        <f t="shared" si="63"/>
        <v>1621</v>
      </c>
      <c r="K539" s="479" t="str">
        <f t="shared" si="57"/>
        <v/>
      </c>
      <c r="L539" s="479" t="str">
        <f t="shared" si="58"/>
        <v/>
      </c>
      <c r="M539" s="487" t="str">
        <f t="shared" si="59"/>
        <v/>
      </c>
      <c r="N539" s="479" t="str">
        <f t="shared" si="60"/>
        <v/>
      </c>
      <c r="O539" s="479" t="str">
        <f t="shared" si="61"/>
        <v/>
      </c>
      <c r="P539" s="479">
        <f t="shared" si="62"/>
        <v>572777774.11856925</v>
      </c>
    </row>
    <row r="540" spans="2:16" s="477" customFormat="1">
      <c r="B540" s="530">
        <v>10000561</v>
      </c>
      <c r="C540" s="489" t="s">
        <v>10</v>
      </c>
      <c r="D540" s="65" t="s">
        <v>16</v>
      </c>
      <c r="E540" s="31" t="s">
        <v>611</v>
      </c>
      <c r="F540" s="29" t="s">
        <v>538</v>
      </c>
      <c r="G540" s="480"/>
      <c r="H540" s="60">
        <v>637789470.34000003</v>
      </c>
      <c r="I540" s="525">
        <v>42782</v>
      </c>
      <c r="J540" s="481">
        <f t="shared" si="63"/>
        <v>1589</v>
      </c>
      <c r="K540" s="479" t="str">
        <f t="shared" si="57"/>
        <v/>
      </c>
      <c r="L540" s="479" t="str">
        <f t="shared" si="58"/>
        <v/>
      </c>
      <c r="M540" s="487" t="str">
        <f t="shared" si="59"/>
        <v/>
      </c>
      <c r="N540" s="479" t="str">
        <f t="shared" si="60"/>
        <v/>
      </c>
      <c r="O540" s="479" t="str">
        <f t="shared" si="61"/>
        <v/>
      </c>
      <c r="P540" s="479">
        <f t="shared" si="62"/>
        <v>637789470.34000003</v>
      </c>
    </row>
    <row r="541" spans="2:16" s="477" customFormat="1">
      <c r="B541" s="530">
        <v>10000561</v>
      </c>
      <c r="C541" s="489" t="s">
        <v>10</v>
      </c>
      <c r="D541" s="65" t="s">
        <v>16</v>
      </c>
      <c r="E541" s="31" t="s">
        <v>614</v>
      </c>
      <c r="F541" s="29" t="s">
        <v>43</v>
      </c>
      <c r="G541" s="480"/>
      <c r="H541" s="60">
        <v>614730238.14999998</v>
      </c>
      <c r="I541" s="523">
        <v>42814</v>
      </c>
      <c r="J541" s="481">
        <f t="shared" si="63"/>
        <v>1557</v>
      </c>
      <c r="K541" s="479" t="str">
        <f t="shared" si="57"/>
        <v/>
      </c>
      <c r="L541" s="479" t="str">
        <f t="shared" si="58"/>
        <v/>
      </c>
      <c r="M541" s="487" t="str">
        <f t="shared" si="59"/>
        <v/>
      </c>
      <c r="N541" s="479" t="str">
        <f t="shared" si="60"/>
        <v/>
      </c>
      <c r="O541" s="479" t="str">
        <f t="shared" si="61"/>
        <v/>
      </c>
      <c r="P541" s="479">
        <f t="shared" si="62"/>
        <v>614730238.14999998</v>
      </c>
    </row>
    <row r="542" spans="2:16" s="477" customFormat="1">
      <c r="B542" s="530">
        <v>10000561</v>
      </c>
      <c r="C542" s="489" t="s">
        <v>10</v>
      </c>
      <c r="D542" s="65" t="s">
        <v>16</v>
      </c>
      <c r="E542" s="66" t="s">
        <v>489</v>
      </c>
      <c r="F542" s="492" t="s">
        <v>540</v>
      </c>
      <c r="G542" s="480"/>
      <c r="H542" s="60">
        <v>537017918.64019001</v>
      </c>
      <c r="I542" s="525">
        <v>42847</v>
      </c>
      <c r="J542" s="481">
        <f t="shared" si="63"/>
        <v>1524</v>
      </c>
      <c r="K542" s="479" t="str">
        <f t="shared" si="57"/>
        <v/>
      </c>
      <c r="L542" s="479" t="str">
        <f t="shared" si="58"/>
        <v/>
      </c>
      <c r="M542" s="487" t="str">
        <f t="shared" si="59"/>
        <v/>
      </c>
      <c r="N542" s="479" t="str">
        <f t="shared" si="60"/>
        <v/>
      </c>
      <c r="O542" s="479" t="str">
        <f t="shared" si="61"/>
        <v/>
      </c>
      <c r="P542" s="479">
        <f t="shared" si="62"/>
        <v>537017918.64019001</v>
      </c>
    </row>
    <row r="543" spans="2:16" s="477" customFormat="1">
      <c r="B543" s="530">
        <v>10000561</v>
      </c>
      <c r="C543" s="489" t="s">
        <v>10</v>
      </c>
      <c r="D543" s="65" t="s">
        <v>16</v>
      </c>
      <c r="E543" s="31" t="s">
        <v>490</v>
      </c>
      <c r="F543" s="29" t="s">
        <v>542</v>
      </c>
      <c r="G543" s="480"/>
      <c r="H543" s="60">
        <v>117471687</v>
      </c>
      <c r="I543" s="525">
        <v>42869</v>
      </c>
      <c r="J543" s="481">
        <f t="shared" si="63"/>
        <v>1502</v>
      </c>
      <c r="K543" s="479" t="str">
        <f t="shared" si="57"/>
        <v/>
      </c>
      <c r="L543" s="479" t="str">
        <f t="shared" si="58"/>
        <v/>
      </c>
      <c r="M543" s="487" t="str">
        <f t="shared" si="59"/>
        <v/>
      </c>
      <c r="N543" s="479" t="str">
        <f t="shared" si="60"/>
        <v/>
      </c>
      <c r="O543" s="479" t="str">
        <f t="shared" si="61"/>
        <v/>
      </c>
      <c r="P543" s="479">
        <f t="shared" si="62"/>
        <v>117471687</v>
      </c>
    </row>
    <row r="544" spans="2:16" s="477" customFormat="1">
      <c r="B544" s="530">
        <v>10000561</v>
      </c>
      <c r="C544" s="489" t="s">
        <v>10</v>
      </c>
      <c r="D544" s="65" t="s">
        <v>16</v>
      </c>
      <c r="E544" s="31" t="s">
        <v>560</v>
      </c>
      <c r="F544" s="29" t="s">
        <v>1366</v>
      </c>
      <c r="G544" s="480"/>
      <c r="H544" s="60">
        <v>355367198.48000002</v>
      </c>
      <c r="I544" s="525">
        <v>42896</v>
      </c>
      <c r="J544" s="481">
        <f t="shared" si="63"/>
        <v>1475</v>
      </c>
      <c r="K544" s="479" t="str">
        <f t="shared" si="57"/>
        <v/>
      </c>
      <c r="L544" s="479" t="str">
        <f t="shared" si="58"/>
        <v/>
      </c>
      <c r="M544" s="487" t="str">
        <f t="shared" si="59"/>
        <v/>
      </c>
      <c r="N544" s="479" t="str">
        <f t="shared" si="60"/>
        <v/>
      </c>
      <c r="O544" s="479" t="str">
        <f t="shared" si="61"/>
        <v/>
      </c>
      <c r="P544" s="479">
        <f t="shared" si="62"/>
        <v>355367198.48000002</v>
      </c>
    </row>
    <row r="545" spans="2:16" s="477" customFormat="1">
      <c r="B545" s="530">
        <v>10000561</v>
      </c>
      <c r="C545" s="489" t="s">
        <v>10</v>
      </c>
      <c r="D545" s="65" t="s">
        <v>16</v>
      </c>
      <c r="E545" s="31" t="s">
        <v>562</v>
      </c>
      <c r="F545" s="29" t="s">
        <v>1369</v>
      </c>
      <c r="G545" s="480"/>
      <c r="H545" s="60">
        <v>662856918.68046045</v>
      </c>
      <c r="I545" s="523">
        <v>42931</v>
      </c>
      <c r="J545" s="481">
        <f t="shared" si="63"/>
        <v>1440</v>
      </c>
      <c r="K545" s="479" t="str">
        <f t="shared" si="57"/>
        <v/>
      </c>
      <c r="L545" s="479" t="str">
        <f t="shared" si="58"/>
        <v/>
      </c>
      <c r="M545" s="487" t="str">
        <f t="shared" si="59"/>
        <v/>
      </c>
      <c r="N545" s="479" t="str">
        <f t="shared" si="60"/>
        <v/>
      </c>
      <c r="O545" s="479" t="str">
        <f t="shared" si="61"/>
        <v/>
      </c>
      <c r="P545" s="479">
        <f t="shared" si="62"/>
        <v>662856918.68046045</v>
      </c>
    </row>
    <row r="546" spans="2:16" s="477" customFormat="1">
      <c r="B546" s="530">
        <v>10000561</v>
      </c>
      <c r="C546" s="489" t="s">
        <v>10</v>
      </c>
      <c r="D546" s="65" t="s">
        <v>16</v>
      </c>
      <c r="E546" s="66" t="s">
        <v>494</v>
      </c>
      <c r="F546" s="492" t="s">
        <v>1246</v>
      </c>
      <c r="G546" s="480"/>
      <c r="H546" s="60">
        <f>178203597.388548+36254277.61</f>
        <v>214457874.99854797</v>
      </c>
      <c r="I546" s="525">
        <v>42959</v>
      </c>
      <c r="J546" s="481">
        <f t="shared" si="63"/>
        <v>1412</v>
      </c>
      <c r="K546" s="479" t="str">
        <f t="shared" si="57"/>
        <v/>
      </c>
      <c r="L546" s="479" t="str">
        <f t="shared" si="58"/>
        <v/>
      </c>
      <c r="M546" s="487" t="str">
        <f t="shared" si="59"/>
        <v/>
      </c>
      <c r="N546" s="479" t="str">
        <f t="shared" si="60"/>
        <v/>
      </c>
      <c r="O546" s="479" t="str">
        <f t="shared" si="61"/>
        <v/>
      </c>
      <c r="P546" s="479">
        <f t="shared" si="62"/>
        <v>214457874.99854797</v>
      </c>
    </row>
    <row r="547" spans="2:16" s="477" customFormat="1">
      <c r="B547" s="530">
        <v>10000561</v>
      </c>
      <c r="C547" s="489" t="s">
        <v>10</v>
      </c>
      <c r="D547" s="65" t="s">
        <v>16</v>
      </c>
      <c r="E547" s="31" t="s">
        <v>497</v>
      </c>
      <c r="F547" s="29" t="s">
        <v>1247</v>
      </c>
      <c r="G547" s="480"/>
      <c r="H547" s="60">
        <v>253225114.78</v>
      </c>
      <c r="I547" s="525">
        <v>42990</v>
      </c>
      <c r="J547" s="481">
        <f t="shared" si="63"/>
        <v>1381</v>
      </c>
      <c r="K547" s="479" t="str">
        <f t="shared" si="57"/>
        <v/>
      </c>
      <c r="L547" s="479" t="str">
        <f t="shared" si="58"/>
        <v/>
      </c>
      <c r="M547" s="487" t="str">
        <f t="shared" si="59"/>
        <v/>
      </c>
      <c r="N547" s="479" t="str">
        <f t="shared" si="60"/>
        <v/>
      </c>
      <c r="O547" s="479" t="str">
        <f t="shared" si="61"/>
        <v/>
      </c>
      <c r="P547" s="479">
        <f t="shared" si="62"/>
        <v>253225114.78</v>
      </c>
    </row>
    <row r="548" spans="2:16" s="477" customFormat="1">
      <c r="B548" s="530">
        <v>10000561</v>
      </c>
      <c r="C548" s="489" t="s">
        <v>10</v>
      </c>
      <c r="D548" s="65" t="s">
        <v>16</v>
      </c>
      <c r="E548" s="31" t="s">
        <v>498</v>
      </c>
      <c r="F548" s="29" t="s">
        <v>1248</v>
      </c>
      <c r="G548" s="480"/>
      <c r="H548" s="60">
        <v>207374835</v>
      </c>
      <c r="I548" s="523">
        <v>43023</v>
      </c>
      <c r="J548" s="481">
        <f t="shared" si="63"/>
        <v>1348</v>
      </c>
      <c r="K548" s="479" t="str">
        <f t="shared" si="57"/>
        <v/>
      </c>
      <c r="L548" s="479" t="str">
        <f t="shared" si="58"/>
        <v/>
      </c>
      <c r="M548" s="487" t="str">
        <f t="shared" si="59"/>
        <v/>
      </c>
      <c r="N548" s="479" t="str">
        <f t="shared" si="60"/>
        <v/>
      </c>
      <c r="O548" s="479" t="str">
        <f t="shared" si="61"/>
        <v/>
      </c>
      <c r="P548" s="479">
        <f t="shared" si="62"/>
        <v>207374835</v>
      </c>
    </row>
    <row r="549" spans="2:16" s="477" customFormat="1">
      <c r="B549" s="530">
        <v>10000561</v>
      </c>
      <c r="C549" s="489" t="s">
        <v>10</v>
      </c>
      <c r="D549" s="65" t="s">
        <v>16</v>
      </c>
      <c r="E549" s="66" t="s">
        <v>564</v>
      </c>
      <c r="F549" s="492" t="s">
        <v>1249</v>
      </c>
      <c r="G549" s="480"/>
      <c r="H549" s="60">
        <v>160950431.78</v>
      </c>
      <c r="I549" s="525">
        <v>42990</v>
      </c>
      <c r="J549" s="481">
        <f t="shared" si="63"/>
        <v>1381</v>
      </c>
      <c r="K549" s="479" t="str">
        <f t="shared" si="57"/>
        <v/>
      </c>
      <c r="L549" s="479" t="str">
        <f t="shared" si="58"/>
        <v/>
      </c>
      <c r="M549" s="487" t="str">
        <f t="shared" si="59"/>
        <v/>
      </c>
      <c r="N549" s="479" t="str">
        <f t="shared" si="60"/>
        <v/>
      </c>
      <c r="O549" s="479" t="str">
        <f t="shared" si="61"/>
        <v/>
      </c>
      <c r="P549" s="479">
        <f t="shared" si="62"/>
        <v>160950431.78</v>
      </c>
    </row>
    <row r="550" spans="2:16" s="477" customFormat="1">
      <c r="B550" s="530">
        <v>10000561</v>
      </c>
      <c r="C550" s="489" t="s">
        <v>10</v>
      </c>
      <c r="D550" s="65" t="s">
        <v>16</v>
      </c>
      <c r="E550" s="31" t="s">
        <v>2059</v>
      </c>
      <c r="F550" s="29" t="s">
        <v>1250</v>
      </c>
      <c r="G550" s="480"/>
      <c r="H550" s="60">
        <v>135362039.47</v>
      </c>
      <c r="I550" s="525">
        <v>43085</v>
      </c>
      <c r="J550" s="481">
        <f t="shared" si="63"/>
        <v>1286</v>
      </c>
      <c r="K550" s="479" t="str">
        <f t="shared" si="57"/>
        <v/>
      </c>
      <c r="L550" s="479" t="str">
        <f t="shared" si="58"/>
        <v/>
      </c>
      <c r="M550" s="487" t="str">
        <f t="shared" si="59"/>
        <v/>
      </c>
      <c r="N550" s="479" t="str">
        <f t="shared" si="60"/>
        <v/>
      </c>
      <c r="O550" s="479" t="str">
        <f t="shared" si="61"/>
        <v/>
      </c>
      <c r="P550" s="479">
        <f t="shared" si="62"/>
        <v>135362039.47</v>
      </c>
    </row>
    <row r="551" spans="2:16" s="477" customFormat="1">
      <c r="B551" s="530">
        <v>10000561</v>
      </c>
      <c r="C551" s="489" t="s">
        <v>10</v>
      </c>
      <c r="D551" s="65" t="s">
        <v>16</v>
      </c>
      <c r="E551" s="31" t="s">
        <v>2060</v>
      </c>
      <c r="F551" s="29" t="s">
        <v>1253</v>
      </c>
      <c r="G551" s="480"/>
      <c r="H551" s="60">
        <v>19969669.920000002</v>
      </c>
      <c r="I551" s="523">
        <v>43112</v>
      </c>
      <c r="J551" s="481">
        <f t="shared" si="63"/>
        <v>1259</v>
      </c>
      <c r="K551" s="479" t="str">
        <f t="shared" si="57"/>
        <v/>
      </c>
      <c r="L551" s="479" t="str">
        <f t="shared" si="58"/>
        <v/>
      </c>
      <c r="M551" s="487" t="str">
        <f t="shared" si="59"/>
        <v/>
      </c>
      <c r="N551" s="479" t="str">
        <f t="shared" si="60"/>
        <v/>
      </c>
      <c r="O551" s="479" t="str">
        <f t="shared" si="61"/>
        <v/>
      </c>
      <c r="P551" s="479">
        <f t="shared" si="62"/>
        <v>19969669.920000002</v>
      </c>
    </row>
    <row r="552" spans="2:16" s="477" customFormat="1">
      <c r="B552" s="530">
        <v>10000561</v>
      </c>
      <c r="C552" s="489" t="s">
        <v>10</v>
      </c>
      <c r="D552" s="65" t="s">
        <v>16</v>
      </c>
      <c r="E552" s="66" t="s">
        <v>508</v>
      </c>
      <c r="F552" s="492" t="s">
        <v>1255</v>
      </c>
      <c r="G552" s="480"/>
      <c r="H552" s="60">
        <v>14682769.92</v>
      </c>
      <c r="I552" s="525">
        <v>43205</v>
      </c>
      <c r="J552" s="481">
        <f t="shared" si="63"/>
        <v>1166</v>
      </c>
      <c r="K552" s="479" t="str">
        <f t="shared" si="57"/>
        <v/>
      </c>
      <c r="L552" s="479" t="str">
        <f t="shared" si="58"/>
        <v/>
      </c>
      <c r="M552" s="487" t="str">
        <f t="shared" si="59"/>
        <v/>
      </c>
      <c r="N552" s="479" t="str">
        <f t="shared" si="60"/>
        <v/>
      </c>
      <c r="O552" s="479" t="str">
        <f t="shared" si="61"/>
        <v/>
      </c>
      <c r="P552" s="479">
        <f t="shared" si="62"/>
        <v>14682769.92</v>
      </c>
    </row>
    <row r="553" spans="2:16" s="477" customFormat="1">
      <c r="B553" s="530">
        <v>10000561</v>
      </c>
      <c r="C553" s="489" t="s">
        <v>10</v>
      </c>
      <c r="D553" s="65" t="s">
        <v>16</v>
      </c>
      <c r="E553" s="31" t="s">
        <v>231</v>
      </c>
      <c r="F553" s="29" t="s">
        <v>740</v>
      </c>
      <c r="G553" s="480"/>
      <c r="H553" s="60">
        <v>108269438.07740098</v>
      </c>
      <c r="I553" s="525">
        <v>43250</v>
      </c>
      <c r="J553" s="481">
        <f t="shared" si="63"/>
        <v>1121</v>
      </c>
      <c r="K553" s="479" t="str">
        <f t="shared" si="57"/>
        <v/>
      </c>
      <c r="L553" s="479" t="str">
        <f t="shared" si="58"/>
        <v/>
      </c>
      <c r="M553" s="487" t="str">
        <f t="shared" si="59"/>
        <v/>
      </c>
      <c r="N553" s="479" t="str">
        <f t="shared" si="60"/>
        <v/>
      </c>
      <c r="O553" s="479" t="str">
        <f t="shared" si="61"/>
        <v/>
      </c>
      <c r="P553" s="479">
        <f t="shared" si="62"/>
        <v>108269438.07740098</v>
      </c>
    </row>
    <row r="554" spans="2:16" s="477" customFormat="1">
      <c r="B554" s="530">
        <v>10000561</v>
      </c>
      <c r="C554" s="489" t="s">
        <v>10</v>
      </c>
      <c r="D554" s="65" t="s">
        <v>16</v>
      </c>
      <c r="E554" s="31" t="s">
        <v>234</v>
      </c>
      <c r="F554" s="29" t="s">
        <v>740</v>
      </c>
      <c r="G554" s="480"/>
      <c r="H554" s="60">
        <v>29173685.537107967</v>
      </c>
      <c r="I554" s="525">
        <v>43277</v>
      </c>
      <c r="J554" s="481">
        <f t="shared" si="63"/>
        <v>1094</v>
      </c>
      <c r="K554" s="479" t="str">
        <f t="shared" si="57"/>
        <v/>
      </c>
      <c r="L554" s="479" t="str">
        <f t="shared" si="58"/>
        <v/>
      </c>
      <c r="M554" s="487" t="str">
        <f t="shared" si="59"/>
        <v/>
      </c>
      <c r="N554" s="479" t="str">
        <f t="shared" si="60"/>
        <v/>
      </c>
      <c r="O554" s="479" t="str">
        <f t="shared" si="61"/>
        <v/>
      </c>
      <c r="P554" s="479">
        <f t="shared" si="62"/>
        <v>29173685.537107967</v>
      </c>
    </row>
    <row r="555" spans="2:16" s="477" customFormat="1">
      <c r="B555" s="530">
        <v>10000561</v>
      </c>
      <c r="C555" s="489" t="s">
        <v>10</v>
      </c>
      <c r="D555" s="65" t="s">
        <v>16</v>
      </c>
      <c r="E555" s="31" t="s">
        <v>416</v>
      </c>
      <c r="F555" s="29" t="s">
        <v>741</v>
      </c>
      <c r="G555" s="480"/>
      <c r="H555" s="60">
        <v>253986090.36879066</v>
      </c>
      <c r="I555" s="523">
        <v>43277</v>
      </c>
      <c r="J555" s="481">
        <f t="shared" si="63"/>
        <v>1094</v>
      </c>
      <c r="K555" s="479" t="str">
        <f t="shared" si="57"/>
        <v/>
      </c>
      <c r="L555" s="479" t="str">
        <f t="shared" si="58"/>
        <v/>
      </c>
      <c r="M555" s="487" t="str">
        <f t="shared" si="59"/>
        <v/>
      </c>
      <c r="N555" s="479" t="str">
        <f t="shared" si="60"/>
        <v/>
      </c>
      <c r="O555" s="479" t="str">
        <f t="shared" si="61"/>
        <v/>
      </c>
      <c r="P555" s="479">
        <f t="shared" si="62"/>
        <v>253986090.36879066</v>
      </c>
    </row>
    <row r="556" spans="2:16" s="477" customFormat="1">
      <c r="B556" s="530">
        <v>10000561</v>
      </c>
      <c r="C556" s="489" t="s">
        <v>10</v>
      </c>
      <c r="D556" s="65" t="s">
        <v>16</v>
      </c>
      <c r="E556" s="66" t="s">
        <v>238</v>
      </c>
      <c r="F556" s="492" t="s">
        <v>742</v>
      </c>
      <c r="G556" s="480"/>
      <c r="H556" s="60">
        <v>109521881.74916625</v>
      </c>
      <c r="I556" s="525">
        <v>43307</v>
      </c>
      <c r="J556" s="481">
        <f t="shared" si="63"/>
        <v>1064</v>
      </c>
      <c r="K556" s="479" t="str">
        <f t="shared" si="57"/>
        <v/>
      </c>
      <c r="L556" s="479" t="str">
        <f t="shared" si="58"/>
        <v/>
      </c>
      <c r="M556" s="487" t="str">
        <f t="shared" si="59"/>
        <v/>
      </c>
      <c r="N556" s="479" t="str">
        <f t="shared" si="60"/>
        <v/>
      </c>
      <c r="O556" s="479" t="str">
        <f t="shared" si="61"/>
        <v/>
      </c>
      <c r="P556" s="479">
        <f t="shared" si="62"/>
        <v>109521881.74916625</v>
      </c>
    </row>
    <row r="557" spans="2:16" s="477" customFormat="1">
      <c r="B557" s="530">
        <v>10000561</v>
      </c>
      <c r="C557" s="489" t="s">
        <v>10</v>
      </c>
      <c r="D557" s="65" t="s">
        <v>16</v>
      </c>
      <c r="E557" s="31" t="s">
        <v>240</v>
      </c>
      <c r="F557" s="29" t="s">
        <v>744</v>
      </c>
      <c r="G557" s="480"/>
      <c r="H557" s="60">
        <v>77313925.676203132</v>
      </c>
      <c r="I557" s="525">
        <v>43369</v>
      </c>
      <c r="J557" s="481">
        <f t="shared" si="63"/>
        <v>1002</v>
      </c>
      <c r="K557" s="479" t="str">
        <f t="shared" si="57"/>
        <v/>
      </c>
      <c r="L557" s="479" t="str">
        <f t="shared" si="58"/>
        <v/>
      </c>
      <c r="M557" s="487" t="str">
        <f t="shared" si="59"/>
        <v/>
      </c>
      <c r="N557" s="479" t="str">
        <f t="shared" si="60"/>
        <v/>
      </c>
      <c r="O557" s="479" t="str">
        <f t="shared" si="61"/>
        <v/>
      </c>
      <c r="P557" s="479">
        <f t="shared" si="62"/>
        <v>77313925.676203132</v>
      </c>
    </row>
    <row r="558" spans="2:16" s="477" customFormat="1">
      <c r="B558" s="530">
        <v>10000561</v>
      </c>
      <c r="C558" s="489" t="s">
        <v>10</v>
      </c>
      <c r="D558" s="65" t="s">
        <v>16</v>
      </c>
      <c r="E558" s="31" t="s">
        <v>145</v>
      </c>
      <c r="F558" s="29" t="s">
        <v>286</v>
      </c>
      <c r="G558" s="480"/>
      <c r="H558" s="60">
        <v>176511270.35340163</v>
      </c>
      <c r="I558" s="523">
        <v>43546</v>
      </c>
      <c r="J558" s="481">
        <f t="shared" si="63"/>
        <v>825</v>
      </c>
      <c r="K558" s="479" t="str">
        <f t="shared" si="57"/>
        <v/>
      </c>
      <c r="L558" s="479" t="str">
        <f t="shared" si="58"/>
        <v/>
      </c>
      <c r="M558" s="487" t="str">
        <f t="shared" si="59"/>
        <v/>
      </c>
      <c r="N558" s="479" t="str">
        <f t="shared" si="60"/>
        <v/>
      </c>
      <c r="O558" s="479" t="str">
        <f t="shared" si="61"/>
        <v/>
      </c>
      <c r="P558" s="479">
        <f t="shared" si="62"/>
        <v>176511270.35340163</v>
      </c>
    </row>
    <row r="559" spans="2:16" s="477" customFormat="1">
      <c r="B559" s="530">
        <v>10000561</v>
      </c>
      <c r="C559" s="489" t="s">
        <v>10</v>
      </c>
      <c r="D559" s="65" t="s">
        <v>16</v>
      </c>
      <c r="E559" s="66" t="s">
        <v>148</v>
      </c>
      <c r="F559" s="492" t="s">
        <v>775</v>
      </c>
      <c r="G559" s="480"/>
      <c r="H559" s="60">
        <v>160895539.65626529</v>
      </c>
      <c r="I559" s="525">
        <v>43605</v>
      </c>
      <c r="J559" s="481">
        <f t="shared" si="63"/>
        <v>766</v>
      </c>
      <c r="K559" s="479" t="str">
        <f t="shared" si="57"/>
        <v/>
      </c>
      <c r="L559" s="479" t="str">
        <f t="shared" si="58"/>
        <v/>
      </c>
      <c r="M559" s="487" t="str">
        <f t="shared" si="59"/>
        <v/>
      </c>
      <c r="N559" s="479" t="str">
        <f t="shared" si="60"/>
        <v/>
      </c>
      <c r="O559" s="479" t="str">
        <f t="shared" si="61"/>
        <v/>
      </c>
      <c r="P559" s="479">
        <f t="shared" si="62"/>
        <v>160895539.65626529</v>
      </c>
    </row>
    <row r="560" spans="2:16" s="477" customFormat="1">
      <c r="B560" s="530">
        <v>10000561</v>
      </c>
      <c r="C560" s="489" t="s">
        <v>10</v>
      </c>
      <c r="D560" s="65" t="s">
        <v>16</v>
      </c>
      <c r="E560" s="31" t="s">
        <v>154</v>
      </c>
      <c r="F560" s="29" t="s">
        <v>777</v>
      </c>
      <c r="G560" s="480"/>
      <c r="H560" s="60">
        <v>73103933.186978802</v>
      </c>
      <c r="I560" s="525">
        <v>43631</v>
      </c>
      <c r="J560" s="481">
        <f t="shared" si="63"/>
        <v>740</v>
      </c>
      <c r="K560" s="479" t="str">
        <f t="shared" si="57"/>
        <v/>
      </c>
      <c r="L560" s="479" t="str">
        <f t="shared" si="58"/>
        <v/>
      </c>
      <c r="M560" s="487" t="str">
        <f t="shared" si="59"/>
        <v/>
      </c>
      <c r="N560" s="479" t="str">
        <f t="shared" si="60"/>
        <v/>
      </c>
      <c r="O560" s="479" t="str">
        <f t="shared" si="61"/>
        <v/>
      </c>
      <c r="P560" s="479">
        <f t="shared" si="62"/>
        <v>73103933.186978802</v>
      </c>
    </row>
    <row r="561" spans="2:16" s="477" customFormat="1">
      <c r="B561" s="530">
        <v>10000561</v>
      </c>
      <c r="C561" s="489" t="s">
        <v>10</v>
      </c>
      <c r="D561" s="65" t="s">
        <v>16</v>
      </c>
      <c r="E561" s="31" t="s">
        <v>162</v>
      </c>
      <c r="F561" s="29" t="s">
        <v>74</v>
      </c>
      <c r="G561" s="480"/>
      <c r="H561" s="60">
        <v>9774320.1731070001</v>
      </c>
      <c r="I561" s="523">
        <v>43760</v>
      </c>
      <c r="J561" s="481">
        <f t="shared" si="63"/>
        <v>611</v>
      </c>
      <c r="K561" s="479" t="str">
        <f t="shared" si="57"/>
        <v/>
      </c>
      <c r="L561" s="479" t="str">
        <f t="shared" si="58"/>
        <v/>
      </c>
      <c r="M561" s="487" t="str">
        <f t="shared" si="59"/>
        <v/>
      </c>
      <c r="N561" s="479" t="str">
        <f t="shared" si="60"/>
        <v/>
      </c>
      <c r="O561" s="479" t="str">
        <f t="shared" si="61"/>
        <v/>
      </c>
      <c r="P561" s="479">
        <f t="shared" si="62"/>
        <v>9774320.1731070001</v>
      </c>
    </row>
    <row r="562" spans="2:16" s="477" customFormat="1">
      <c r="B562" s="530">
        <v>10000561</v>
      </c>
      <c r="C562" s="489" t="s">
        <v>10</v>
      </c>
      <c r="D562" s="65" t="s">
        <v>16</v>
      </c>
      <c r="E562" s="66" t="s">
        <v>181</v>
      </c>
      <c r="F562" s="492" t="s">
        <v>296</v>
      </c>
      <c r="G562" s="480"/>
      <c r="H562" s="60">
        <v>24526689.867841873</v>
      </c>
      <c r="I562" s="525">
        <v>43875</v>
      </c>
      <c r="J562" s="481">
        <f t="shared" si="63"/>
        <v>496</v>
      </c>
      <c r="K562" s="479" t="str">
        <f t="shared" si="57"/>
        <v/>
      </c>
      <c r="L562" s="479" t="str">
        <f t="shared" si="58"/>
        <v/>
      </c>
      <c r="M562" s="487" t="str">
        <f t="shared" si="59"/>
        <v/>
      </c>
      <c r="N562" s="479" t="str">
        <f t="shared" si="60"/>
        <v/>
      </c>
      <c r="O562" s="479" t="str">
        <f t="shared" si="61"/>
        <v/>
      </c>
      <c r="P562" s="479">
        <f t="shared" si="62"/>
        <v>24526689.867841873</v>
      </c>
    </row>
    <row r="563" spans="2:16" s="477" customFormat="1">
      <c r="B563" s="530"/>
      <c r="C563" s="489"/>
      <c r="D563" s="65"/>
      <c r="E563" s="31"/>
      <c r="F563" s="29"/>
      <c r="G563" s="480"/>
      <c r="H563" s="60"/>
      <c r="I563" s="525"/>
      <c r="J563" s="481"/>
      <c r="K563" s="479" t="str">
        <f t="shared" si="57"/>
        <v/>
      </c>
      <c r="L563" s="479" t="str">
        <f t="shared" si="58"/>
        <v/>
      </c>
      <c r="M563" s="487" t="str">
        <f t="shared" si="59"/>
        <v/>
      </c>
      <c r="N563" s="479" t="str">
        <f t="shared" si="60"/>
        <v/>
      </c>
      <c r="O563" s="479" t="str">
        <f t="shared" si="61"/>
        <v/>
      </c>
      <c r="P563" s="479" t="str">
        <f t="shared" si="62"/>
        <v/>
      </c>
    </row>
    <row r="564" spans="2:16" s="477" customFormat="1">
      <c r="B564" s="530"/>
      <c r="C564" s="489"/>
      <c r="D564" s="65"/>
      <c r="E564" s="31"/>
      <c r="F564" s="29"/>
      <c r="G564" s="480"/>
      <c r="H564" s="60"/>
      <c r="I564" s="525"/>
      <c r="J564" s="481"/>
      <c r="K564" s="479" t="str">
        <f t="shared" si="57"/>
        <v/>
      </c>
      <c r="L564" s="479" t="str">
        <f t="shared" si="58"/>
        <v/>
      </c>
      <c r="M564" s="487" t="str">
        <f t="shared" si="59"/>
        <v/>
      </c>
      <c r="N564" s="479" t="str">
        <f t="shared" si="60"/>
        <v/>
      </c>
      <c r="O564" s="479" t="str">
        <f t="shared" si="61"/>
        <v/>
      </c>
      <c r="P564" s="479" t="str">
        <f t="shared" si="62"/>
        <v/>
      </c>
    </row>
    <row r="565" spans="2:16" s="477" customFormat="1">
      <c r="B565" s="530"/>
      <c r="C565" s="489"/>
      <c r="D565" s="65"/>
      <c r="E565" s="31"/>
      <c r="F565" s="29"/>
      <c r="G565" s="480"/>
      <c r="H565" s="60"/>
      <c r="I565" s="523"/>
      <c r="J565" s="481"/>
      <c r="K565" s="479" t="str">
        <f t="shared" si="57"/>
        <v/>
      </c>
      <c r="L565" s="479" t="str">
        <f t="shared" si="58"/>
        <v/>
      </c>
      <c r="M565" s="487" t="str">
        <f t="shared" si="59"/>
        <v/>
      </c>
      <c r="N565" s="479" t="str">
        <f t="shared" si="60"/>
        <v/>
      </c>
      <c r="O565" s="479" t="str">
        <f t="shared" si="61"/>
        <v/>
      </c>
      <c r="P565" s="479" t="str">
        <f t="shared" si="62"/>
        <v/>
      </c>
    </row>
    <row r="566" spans="2:16" s="477" customFormat="1">
      <c r="B566" s="530">
        <v>10000556</v>
      </c>
      <c r="C566" s="489" t="s">
        <v>10</v>
      </c>
      <c r="D566" s="65" t="s">
        <v>17</v>
      </c>
      <c r="E566" s="66" t="s">
        <v>355</v>
      </c>
      <c r="F566" s="492" t="s">
        <v>2108</v>
      </c>
      <c r="G566" s="480"/>
      <c r="H566" s="60">
        <v>2950744372.2300992</v>
      </c>
      <c r="I566" s="525">
        <v>43250</v>
      </c>
      <c r="J566" s="481">
        <f t="shared" si="63"/>
        <v>1121</v>
      </c>
      <c r="K566" s="479" t="str">
        <f t="shared" si="57"/>
        <v/>
      </c>
      <c r="L566" s="479" t="str">
        <f t="shared" si="58"/>
        <v/>
      </c>
      <c r="M566" s="487" t="str">
        <f t="shared" si="59"/>
        <v/>
      </c>
      <c r="N566" s="479" t="str">
        <f t="shared" si="60"/>
        <v/>
      </c>
      <c r="O566" s="479" t="str">
        <f t="shared" si="61"/>
        <v/>
      </c>
      <c r="P566" s="479">
        <f t="shared" si="62"/>
        <v>2950744372.2300992</v>
      </c>
    </row>
    <row r="567" spans="2:16" s="477" customFormat="1">
      <c r="B567" s="530">
        <v>10000556</v>
      </c>
      <c r="C567" s="489" t="s">
        <v>10</v>
      </c>
      <c r="D567" s="65" t="s">
        <v>17</v>
      </c>
      <c r="E567" s="31" t="s">
        <v>234</v>
      </c>
      <c r="F567" s="29" t="s">
        <v>2109</v>
      </c>
      <c r="G567" s="480"/>
      <c r="H567" s="60">
        <v>2326907449.2607574</v>
      </c>
      <c r="I567" s="525">
        <v>43271</v>
      </c>
      <c r="J567" s="481">
        <f t="shared" si="63"/>
        <v>1100</v>
      </c>
      <c r="K567" s="479" t="str">
        <f t="shared" si="57"/>
        <v/>
      </c>
      <c r="L567" s="479" t="str">
        <f t="shared" si="58"/>
        <v/>
      </c>
      <c r="M567" s="487" t="str">
        <f t="shared" si="59"/>
        <v/>
      </c>
      <c r="N567" s="479" t="str">
        <f t="shared" si="60"/>
        <v/>
      </c>
      <c r="O567" s="479" t="str">
        <f t="shared" si="61"/>
        <v/>
      </c>
      <c r="P567" s="479">
        <f t="shared" si="62"/>
        <v>2326907449.2607574</v>
      </c>
    </row>
    <row r="568" spans="2:16" s="477" customFormat="1">
      <c r="B568" s="530">
        <v>10000556</v>
      </c>
      <c r="C568" s="489" t="s">
        <v>10</v>
      </c>
      <c r="D568" s="65" t="s">
        <v>17</v>
      </c>
      <c r="E568" s="31" t="s">
        <v>416</v>
      </c>
      <c r="F568" s="29" t="s">
        <v>2110</v>
      </c>
      <c r="G568" s="480"/>
      <c r="H568" s="60">
        <v>2353613529.9242945</v>
      </c>
      <c r="I568" s="523">
        <v>43301</v>
      </c>
      <c r="J568" s="481">
        <f t="shared" si="63"/>
        <v>1070</v>
      </c>
      <c r="K568" s="479" t="str">
        <f t="shared" si="57"/>
        <v/>
      </c>
      <c r="L568" s="479" t="str">
        <f t="shared" si="58"/>
        <v/>
      </c>
      <c r="M568" s="487" t="str">
        <f t="shared" si="59"/>
        <v/>
      </c>
      <c r="N568" s="479" t="str">
        <f t="shared" si="60"/>
        <v/>
      </c>
      <c r="O568" s="479" t="str">
        <f t="shared" si="61"/>
        <v/>
      </c>
      <c r="P568" s="479">
        <f t="shared" si="62"/>
        <v>2353613529.9242945</v>
      </c>
    </row>
    <row r="569" spans="2:16" s="477" customFormat="1">
      <c r="B569" s="530">
        <v>10000556</v>
      </c>
      <c r="C569" s="489" t="s">
        <v>10</v>
      </c>
      <c r="D569" s="65" t="s">
        <v>17</v>
      </c>
      <c r="E569" s="66" t="s">
        <v>238</v>
      </c>
      <c r="F569" s="492" t="s">
        <v>2111</v>
      </c>
      <c r="G569" s="480"/>
      <c r="H569" s="60">
        <f>405714880.528342-251193352.56</f>
        <v>154521527.96834201</v>
      </c>
      <c r="I569" s="525">
        <v>43340</v>
      </c>
      <c r="J569" s="481">
        <f t="shared" si="63"/>
        <v>1031</v>
      </c>
      <c r="K569" s="479" t="str">
        <f t="shared" si="57"/>
        <v/>
      </c>
      <c r="L569" s="479" t="str">
        <f t="shared" si="58"/>
        <v/>
      </c>
      <c r="M569" s="487" t="str">
        <f t="shared" si="59"/>
        <v/>
      </c>
      <c r="N569" s="479" t="str">
        <f t="shared" si="60"/>
        <v/>
      </c>
      <c r="O569" s="479" t="str">
        <f t="shared" si="61"/>
        <v/>
      </c>
      <c r="P569" s="479">
        <f t="shared" si="62"/>
        <v>154521527.96834201</v>
      </c>
    </row>
    <row r="570" spans="2:16" s="477" customFormat="1">
      <c r="B570" s="530">
        <v>10000556</v>
      </c>
      <c r="C570" s="489" t="s">
        <v>10</v>
      </c>
      <c r="D570" s="65" t="s">
        <v>17</v>
      </c>
      <c r="E570" s="31" t="s">
        <v>243</v>
      </c>
      <c r="F570" s="29" t="s">
        <v>2112</v>
      </c>
      <c r="G570" s="480"/>
      <c r="H570" s="60">
        <v>610215850.66665304</v>
      </c>
      <c r="I570" s="525">
        <v>43401</v>
      </c>
      <c r="J570" s="481">
        <f t="shared" si="63"/>
        <v>970</v>
      </c>
      <c r="K570" s="479" t="str">
        <f t="shared" si="57"/>
        <v/>
      </c>
      <c r="L570" s="479" t="str">
        <f t="shared" si="58"/>
        <v/>
      </c>
      <c r="M570" s="487" t="str">
        <f t="shared" si="59"/>
        <v/>
      </c>
      <c r="N570" s="479" t="str">
        <f t="shared" si="60"/>
        <v/>
      </c>
      <c r="O570" s="479" t="str">
        <f t="shared" si="61"/>
        <v/>
      </c>
      <c r="P570" s="479">
        <f t="shared" si="62"/>
        <v>610215850.66665304</v>
      </c>
    </row>
    <row r="571" spans="2:16" s="477" customFormat="1">
      <c r="B571" s="530">
        <v>10000556</v>
      </c>
      <c r="C571" s="489" t="s">
        <v>10</v>
      </c>
      <c r="D571" s="65" t="s">
        <v>17</v>
      </c>
      <c r="E571" s="31" t="s">
        <v>246</v>
      </c>
      <c r="F571" s="29" t="s">
        <v>2113</v>
      </c>
      <c r="G571" s="480"/>
      <c r="H571" s="60">
        <v>241871410.77434999</v>
      </c>
      <c r="I571" s="523">
        <v>43432</v>
      </c>
      <c r="J571" s="481">
        <f t="shared" si="63"/>
        <v>939</v>
      </c>
      <c r="K571" s="479" t="str">
        <f t="shared" si="57"/>
        <v/>
      </c>
      <c r="L571" s="479" t="str">
        <f t="shared" si="58"/>
        <v/>
      </c>
      <c r="M571" s="487" t="str">
        <f t="shared" si="59"/>
        <v/>
      </c>
      <c r="N571" s="479" t="str">
        <f t="shared" si="60"/>
        <v/>
      </c>
      <c r="O571" s="479" t="str">
        <f t="shared" si="61"/>
        <v/>
      </c>
      <c r="P571" s="479">
        <f t="shared" si="62"/>
        <v>241871410.77434999</v>
      </c>
    </row>
    <row r="572" spans="2:16" s="477" customFormat="1">
      <c r="B572" s="530">
        <v>10000556</v>
      </c>
      <c r="C572" s="489" t="s">
        <v>10</v>
      </c>
      <c r="D572" s="65" t="s">
        <v>17</v>
      </c>
      <c r="E572" s="66" t="s">
        <v>522</v>
      </c>
      <c r="F572" s="492" t="s">
        <v>2114</v>
      </c>
      <c r="G572" s="480"/>
      <c r="H572" s="60">
        <v>354639844.80955017</v>
      </c>
      <c r="I572" s="525">
        <v>43462</v>
      </c>
      <c r="J572" s="481">
        <f t="shared" si="63"/>
        <v>909</v>
      </c>
      <c r="K572" s="479" t="str">
        <f t="shared" si="57"/>
        <v/>
      </c>
      <c r="L572" s="479" t="str">
        <f t="shared" si="58"/>
        <v/>
      </c>
      <c r="M572" s="487" t="str">
        <f t="shared" si="59"/>
        <v/>
      </c>
      <c r="N572" s="479" t="str">
        <f t="shared" si="60"/>
        <v/>
      </c>
      <c r="O572" s="479" t="str">
        <f t="shared" si="61"/>
        <v/>
      </c>
      <c r="P572" s="479">
        <f t="shared" si="62"/>
        <v>354639844.80955017</v>
      </c>
    </row>
    <row r="573" spans="2:16" s="477" customFormat="1">
      <c r="B573" s="530">
        <v>10000556</v>
      </c>
      <c r="C573" s="489" t="s">
        <v>10</v>
      </c>
      <c r="D573" s="65" t="s">
        <v>17</v>
      </c>
      <c r="E573" s="31" t="s">
        <v>250</v>
      </c>
      <c r="F573" s="29" t="s">
        <v>255</v>
      </c>
      <c r="G573" s="480"/>
      <c r="H573" s="60">
        <v>102417286.22</v>
      </c>
      <c r="I573" s="525">
        <v>43493</v>
      </c>
      <c r="J573" s="481">
        <f t="shared" si="63"/>
        <v>878</v>
      </c>
      <c r="K573" s="479" t="str">
        <f t="shared" si="57"/>
        <v/>
      </c>
      <c r="L573" s="479" t="str">
        <f t="shared" si="58"/>
        <v/>
      </c>
      <c r="M573" s="487" t="str">
        <f t="shared" si="59"/>
        <v/>
      </c>
      <c r="N573" s="479" t="str">
        <f t="shared" si="60"/>
        <v/>
      </c>
      <c r="O573" s="479" t="str">
        <f t="shared" si="61"/>
        <v/>
      </c>
      <c r="P573" s="479">
        <f t="shared" si="62"/>
        <v>102417286.22</v>
      </c>
    </row>
    <row r="574" spans="2:16" s="477" customFormat="1">
      <c r="B574" s="530">
        <v>10000556</v>
      </c>
      <c r="C574" s="489" t="s">
        <v>10</v>
      </c>
      <c r="D574" s="65" t="s">
        <v>17</v>
      </c>
      <c r="E574" s="31" t="s">
        <v>139</v>
      </c>
      <c r="F574" s="29" t="s">
        <v>258</v>
      </c>
      <c r="G574" s="480"/>
      <c r="H574" s="60">
        <v>255944898.63</v>
      </c>
      <c r="I574" s="525">
        <v>43524</v>
      </c>
      <c r="J574" s="481">
        <f t="shared" si="63"/>
        <v>847</v>
      </c>
      <c r="K574" s="479" t="str">
        <f t="shared" si="57"/>
        <v/>
      </c>
      <c r="L574" s="479" t="str">
        <f t="shared" si="58"/>
        <v/>
      </c>
      <c r="M574" s="487" t="str">
        <f t="shared" si="59"/>
        <v/>
      </c>
      <c r="N574" s="479" t="str">
        <f t="shared" si="60"/>
        <v/>
      </c>
      <c r="O574" s="479" t="str">
        <f t="shared" si="61"/>
        <v/>
      </c>
      <c r="P574" s="479">
        <f t="shared" si="62"/>
        <v>255944898.63</v>
      </c>
    </row>
    <row r="575" spans="2:16" s="477" customFormat="1">
      <c r="B575" s="530">
        <v>10000556</v>
      </c>
      <c r="C575" s="489" t="s">
        <v>10</v>
      </c>
      <c r="D575" s="65" t="s">
        <v>17</v>
      </c>
      <c r="E575" s="31" t="s">
        <v>142</v>
      </c>
      <c r="F575" s="29" t="s">
        <v>2116</v>
      </c>
      <c r="G575" s="480"/>
      <c r="H575" s="60">
        <v>166434060.86190155</v>
      </c>
      <c r="I575" s="523">
        <v>43552</v>
      </c>
      <c r="J575" s="481">
        <f t="shared" si="63"/>
        <v>819</v>
      </c>
      <c r="K575" s="479" t="str">
        <f t="shared" si="57"/>
        <v/>
      </c>
      <c r="L575" s="479" t="str">
        <f t="shared" si="58"/>
        <v/>
      </c>
      <c r="M575" s="487" t="str">
        <f t="shared" si="59"/>
        <v/>
      </c>
      <c r="N575" s="479" t="str">
        <f t="shared" si="60"/>
        <v/>
      </c>
      <c r="O575" s="479" t="str">
        <f t="shared" si="61"/>
        <v/>
      </c>
      <c r="P575" s="479">
        <f t="shared" si="62"/>
        <v>166434060.86190155</v>
      </c>
    </row>
    <row r="576" spans="2:16" s="477" customFormat="1">
      <c r="B576" s="530">
        <v>10000556</v>
      </c>
      <c r="C576" s="489" t="s">
        <v>10</v>
      </c>
      <c r="D576" s="65" t="s">
        <v>17</v>
      </c>
      <c r="E576" s="66" t="s">
        <v>154</v>
      </c>
      <c r="F576" s="492" t="s">
        <v>263</v>
      </c>
      <c r="G576" s="480"/>
      <c r="H576" s="60">
        <v>34562376.736692004</v>
      </c>
      <c r="I576" s="525">
        <v>43665</v>
      </c>
      <c r="J576" s="481">
        <f t="shared" si="63"/>
        <v>706</v>
      </c>
      <c r="K576" s="479" t="str">
        <f t="shared" si="57"/>
        <v/>
      </c>
      <c r="L576" s="479" t="str">
        <f t="shared" si="58"/>
        <v/>
      </c>
      <c r="M576" s="487" t="str">
        <f t="shared" si="59"/>
        <v/>
      </c>
      <c r="N576" s="479" t="str">
        <f t="shared" si="60"/>
        <v/>
      </c>
      <c r="O576" s="479" t="str">
        <f t="shared" si="61"/>
        <v/>
      </c>
      <c r="P576" s="479">
        <f t="shared" si="62"/>
        <v>34562376.736692004</v>
      </c>
    </row>
    <row r="577" spans="2:16" s="477" customFormat="1">
      <c r="B577" s="530">
        <v>10000556</v>
      </c>
      <c r="C577" s="489" t="s">
        <v>10</v>
      </c>
      <c r="D577" s="65" t="s">
        <v>17</v>
      </c>
      <c r="E577" s="31" t="s">
        <v>158</v>
      </c>
      <c r="F577" s="29" t="s">
        <v>265</v>
      </c>
      <c r="G577" s="480"/>
      <c r="H577" s="60">
        <v>105362981.89199999</v>
      </c>
      <c r="I577" s="525">
        <v>43678</v>
      </c>
      <c r="J577" s="481">
        <f t="shared" si="63"/>
        <v>693</v>
      </c>
      <c r="K577" s="479" t="str">
        <f t="shared" si="57"/>
        <v/>
      </c>
      <c r="L577" s="479" t="str">
        <f t="shared" si="58"/>
        <v/>
      </c>
      <c r="M577" s="487" t="str">
        <f t="shared" si="59"/>
        <v/>
      </c>
      <c r="N577" s="479" t="str">
        <f t="shared" si="60"/>
        <v/>
      </c>
      <c r="O577" s="479" t="str">
        <f t="shared" si="61"/>
        <v/>
      </c>
      <c r="P577" s="479">
        <f t="shared" si="62"/>
        <v>105362981.89199999</v>
      </c>
    </row>
    <row r="578" spans="2:16" s="477" customFormat="1">
      <c r="B578" s="530">
        <v>10000556</v>
      </c>
      <c r="C578" s="489" t="s">
        <v>10</v>
      </c>
      <c r="D578" s="65" t="s">
        <v>17</v>
      </c>
      <c r="E578" s="31" t="s">
        <v>162</v>
      </c>
      <c r="F578" s="29" t="s">
        <v>267</v>
      </c>
      <c r="G578" s="480"/>
      <c r="H578" s="60">
        <v>319791931.90485448</v>
      </c>
      <c r="I578" s="523">
        <v>43709</v>
      </c>
      <c r="J578" s="481">
        <f t="shared" si="63"/>
        <v>662</v>
      </c>
      <c r="K578" s="479" t="str">
        <f t="shared" si="57"/>
        <v/>
      </c>
      <c r="L578" s="479" t="str">
        <f t="shared" si="58"/>
        <v/>
      </c>
      <c r="M578" s="487" t="str">
        <f t="shared" si="59"/>
        <v/>
      </c>
      <c r="N578" s="479" t="str">
        <f t="shared" si="60"/>
        <v/>
      </c>
      <c r="O578" s="479" t="str">
        <f t="shared" si="61"/>
        <v/>
      </c>
      <c r="P578" s="479">
        <f t="shared" si="62"/>
        <v>319791931.90485448</v>
      </c>
    </row>
    <row r="579" spans="2:16" s="477" customFormat="1">
      <c r="B579" s="530">
        <v>10000556</v>
      </c>
      <c r="C579" s="489" t="s">
        <v>10</v>
      </c>
      <c r="D579" s="65" t="s">
        <v>17</v>
      </c>
      <c r="E579" s="66" t="s">
        <v>166</v>
      </c>
      <c r="F579" s="492" t="s">
        <v>268</v>
      </c>
      <c r="G579" s="480"/>
      <c r="H579" s="60">
        <v>463983437.87249994</v>
      </c>
      <c r="I579" s="525">
        <v>43739</v>
      </c>
      <c r="J579" s="481">
        <f t="shared" si="63"/>
        <v>632</v>
      </c>
      <c r="K579" s="479" t="str">
        <f t="shared" si="57"/>
        <v/>
      </c>
      <c r="L579" s="479" t="str">
        <f t="shared" si="58"/>
        <v/>
      </c>
      <c r="M579" s="487" t="str">
        <f t="shared" si="59"/>
        <v/>
      </c>
      <c r="N579" s="479" t="str">
        <f t="shared" si="60"/>
        <v/>
      </c>
      <c r="O579" s="479" t="str">
        <f t="shared" si="61"/>
        <v/>
      </c>
      <c r="P579" s="479">
        <f t="shared" si="62"/>
        <v>463983437.87249994</v>
      </c>
    </row>
    <row r="580" spans="2:16" s="477" customFormat="1">
      <c r="B580" s="530"/>
      <c r="C580" s="489"/>
      <c r="D580" s="65"/>
      <c r="E580" s="31"/>
      <c r="F580" s="29"/>
      <c r="G580" s="480"/>
      <c r="H580" s="60"/>
      <c r="I580" s="525"/>
      <c r="J580" s="481"/>
      <c r="K580" s="479" t="str">
        <f t="shared" si="57"/>
        <v/>
      </c>
      <c r="L580" s="479" t="str">
        <f t="shared" si="58"/>
        <v/>
      </c>
      <c r="M580" s="487" t="str">
        <f t="shared" si="59"/>
        <v/>
      </c>
      <c r="N580" s="479" t="str">
        <f t="shared" si="60"/>
        <v/>
      </c>
      <c r="O580" s="479" t="str">
        <f t="shared" si="61"/>
        <v/>
      </c>
      <c r="P580" s="479" t="str">
        <f t="shared" si="62"/>
        <v/>
      </c>
    </row>
    <row r="581" spans="2:16" s="477" customFormat="1">
      <c r="B581" s="530"/>
      <c r="C581" s="489"/>
      <c r="D581" s="65"/>
      <c r="E581" s="31"/>
      <c r="F581" s="29"/>
      <c r="G581" s="480"/>
      <c r="H581" s="60"/>
      <c r="I581" s="523"/>
      <c r="J581" s="481"/>
      <c r="K581" s="479" t="str">
        <f t="shared" si="57"/>
        <v/>
      </c>
      <c r="L581" s="479" t="str">
        <f t="shared" si="58"/>
        <v/>
      </c>
      <c r="M581" s="487" t="str">
        <f t="shared" si="59"/>
        <v/>
      </c>
      <c r="N581" s="479" t="str">
        <f t="shared" si="60"/>
        <v/>
      </c>
      <c r="O581" s="479" t="str">
        <f t="shared" si="61"/>
        <v/>
      </c>
      <c r="P581" s="479" t="str">
        <f t="shared" si="62"/>
        <v/>
      </c>
    </row>
    <row r="582" spans="2:16" s="477" customFormat="1">
      <c r="B582" s="530"/>
      <c r="C582" s="489"/>
      <c r="D582" s="65"/>
      <c r="E582" s="66"/>
      <c r="F582" s="492"/>
      <c r="G582" s="480"/>
      <c r="H582" s="60"/>
      <c r="I582" s="525"/>
      <c r="J582" s="481"/>
      <c r="K582" s="479" t="str">
        <f t="shared" si="57"/>
        <v/>
      </c>
      <c r="L582" s="479" t="str">
        <f t="shared" si="58"/>
        <v/>
      </c>
      <c r="M582" s="487" t="str">
        <f t="shared" si="59"/>
        <v/>
      </c>
      <c r="N582" s="479" t="str">
        <f t="shared" si="60"/>
        <v/>
      </c>
      <c r="O582" s="479" t="str">
        <f t="shared" si="61"/>
        <v/>
      </c>
      <c r="P582" s="479" t="str">
        <f t="shared" si="62"/>
        <v/>
      </c>
    </row>
    <row r="583" spans="2:16" s="477" customFormat="1">
      <c r="B583" s="530">
        <v>10008691</v>
      </c>
      <c r="C583" s="489" t="s">
        <v>10</v>
      </c>
      <c r="D583" s="65" t="s">
        <v>21</v>
      </c>
      <c r="E583" s="31" t="s">
        <v>234</v>
      </c>
      <c r="F583" s="29" t="s">
        <v>1369</v>
      </c>
      <c r="G583" s="480"/>
      <c r="H583" s="60">
        <v>1241716485.24</v>
      </c>
      <c r="I583" s="525">
        <v>43271</v>
      </c>
      <c r="J583" s="481">
        <f t="shared" si="63"/>
        <v>1100</v>
      </c>
      <c r="K583" s="479" t="str">
        <f t="shared" ref="K583:K646" si="64">IF(AND(J583&gt;=16,J583&lt;=30),H583,"")</f>
        <v/>
      </c>
      <c r="L583" s="479" t="str">
        <f t="shared" ref="L583:L646" si="65">IF(AND(J583&gt;=31,J583&lt;=60),H583,"")</f>
        <v/>
      </c>
      <c r="M583" s="487" t="str">
        <f t="shared" ref="M583:M646" si="66">IF(AND(J583&gt;=61,J583&lt;=90),H583,"")</f>
        <v/>
      </c>
      <c r="N583" s="479" t="str">
        <f t="shared" ref="N583:N646" si="67">IF(AND(J583&gt;=91,J583&lt;=180),H583,"")</f>
        <v/>
      </c>
      <c r="O583" s="479" t="str">
        <f t="shared" ref="O583:O646" si="68">IF(AND(J583&gt;=181,J583&lt;=360),H583,"")</f>
        <v/>
      </c>
      <c r="P583" s="479">
        <f t="shared" ref="P583:P646" si="69">IF(J583&gt;=360,H583,"")</f>
        <v>1241716485.24</v>
      </c>
    </row>
    <row r="584" spans="2:16" s="477" customFormat="1">
      <c r="B584" s="530">
        <v>10008691</v>
      </c>
      <c r="C584" s="489" t="s">
        <v>10</v>
      </c>
      <c r="D584" s="65" t="s">
        <v>21</v>
      </c>
      <c r="E584" s="31" t="s">
        <v>416</v>
      </c>
      <c r="F584" s="29" t="s">
        <v>1246</v>
      </c>
      <c r="G584" s="480"/>
      <c r="H584" s="60">
        <v>339182994.14999998</v>
      </c>
      <c r="I584" s="525">
        <v>43301</v>
      </c>
      <c r="J584" s="481">
        <f t="shared" ref="J584:J647" si="70">DATEDIF(I584,$J$4,"D")</f>
        <v>1070</v>
      </c>
      <c r="K584" s="479" t="str">
        <f t="shared" si="64"/>
        <v/>
      </c>
      <c r="L584" s="479" t="str">
        <f t="shared" si="65"/>
        <v/>
      </c>
      <c r="M584" s="487" t="str">
        <f t="shared" si="66"/>
        <v/>
      </c>
      <c r="N584" s="479" t="str">
        <f t="shared" si="67"/>
        <v/>
      </c>
      <c r="O584" s="479" t="str">
        <f t="shared" si="68"/>
        <v/>
      </c>
      <c r="P584" s="479">
        <f t="shared" si="69"/>
        <v>339182994.14999998</v>
      </c>
    </row>
    <row r="585" spans="2:16" s="477" customFormat="1">
      <c r="B585" s="530">
        <v>10008691</v>
      </c>
      <c r="C585" s="489" t="s">
        <v>10</v>
      </c>
      <c r="D585" s="65" t="s">
        <v>21</v>
      </c>
      <c r="E585" s="31" t="s">
        <v>238</v>
      </c>
      <c r="F585" s="29" t="s">
        <v>1247</v>
      </c>
      <c r="G585" s="480"/>
      <c r="H585" s="60">
        <v>248588833.50000003</v>
      </c>
      <c r="I585" s="523">
        <v>43332</v>
      </c>
      <c r="J585" s="481">
        <f t="shared" si="70"/>
        <v>1039</v>
      </c>
      <c r="K585" s="479" t="str">
        <f t="shared" si="64"/>
        <v/>
      </c>
      <c r="L585" s="479" t="str">
        <f t="shared" si="65"/>
        <v/>
      </c>
      <c r="M585" s="487" t="str">
        <f t="shared" si="66"/>
        <v/>
      </c>
      <c r="N585" s="479" t="str">
        <f t="shared" si="67"/>
        <v/>
      </c>
      <c r="O585" s="479" t="str">
        <f t="shared" si="68"/>
        <v/>
      </c>
      <c r="P585" s="479">
        <f t="shared" si="69"/>
        <v>248588833.50000003</v>
      </c>
    </row>
    <row r="586" spans="2:16" s="477" customFormat="1">
      <c r="B586" s="530">
        <v>10008691</v>
      </c>
      <c r="C586" s="489" t="s">
        <v>10</v>
      </c>
      <c r="D586" s="65" t="s">
        <v>21</v>
      </c>
      <c r="E586" s="66" t="s">
        <v>517</v>
      </c>
      <c r="F586" s="492" t="s">
        <v>1248</v>
      </c>
      <c r="G586" s="480"/>
      <c r="H586" s="60">
        <f>728959140-447087314.43</f>
        <v>281871825.56999999</v>
      </c>
      <c r="I586" s="525">
        <v>43363</v>
      </c>
      <c r="J586" s="481">
        <f t="shared" si="70"/>
        <v>1008</v>
      </c>
      <c r="K586" s="479" t="str">
        <f t="shared" si="64"/>
        <v/>
      </c>
      <c r="L586" s="479" t="str">
        <f t="shared" si="65"/>
        <v/>
      </c>
      <c r="M586" s="487" t="str">
        <f t="shared" si="66"/>
        <v/>
      </c>
      <c r="N586" s="479" t="str">
        <f t="shared" si="67"/>
        <v/>
      </c>
      <c r="O586" s="479" t="str">
        <f t="shared" si="68"/>
        <v/>
      </c>
      <c r="P586" s="479">
        <f t="shared" si="69"/>
        <v>281871825.56999999</v>
      </c>
    </row>
    <row r="587" spans="2:16" s="477" customFormat="1">
      <c r="B587" s="530">
        <v>10008691</v>
      </c>
      <c r="C587" s="489" t="s">
        <v>10</v>
      </c>
      <c r="D587" s="65" t="s">
        <v>21</v>
      </c>
      <c r="E587" s="31" t="s">
        <v>243</v>
      </c>
      <c r="F587" s="29" t="s">
        <v>1250</v>
      </c>
      <c r="G587" s="480"/>
      <c r="H587" s="60">
        <v>119470617</v>
      </c>
      <c r="I587" s="525">
        <v>43393</v>
      </c>
      <c r="J587" s="481">
        <f t="shared" si="70"/>
        <v>978</v>
      </c>
      <c r="K587" s="479" t="str">
        <f t="shared" si="64"/>
        <v/>
      </c>
      <c r="L587" s="479" t="str">
        <f t="shared" si="65"/>
        <v/>
      </c>
      <c r="M587" s="487" t="str">
        <f t="shared" si="66"/>
        <v/>
      </c>
      <c r="N587" s="479" t="str">
        <f t="shared" si="67"/>
        <v/>
      </c>
      <c r="O587" s="479" t="str">
        <f t="shared" si="68"/>
        <v/>
      </c>
      <c r="P587" s="479">
        <f t="shared" si="69"/>
        <v>119470617</v>
      </c>
    </row>
    <row r="588" spans="2:16" s="477" customFormat="1">
      <c r="B588" s="530">
        <v>10008691</v>
      </c>
      <c r="C588" s="489" t="s">
        <v>10</v>
      </c>
      <c r="D588" s="65" t="s">
        <v>21</v>
      </c>
      <c r="E588" s="31" t="s">
        <v>250</v>
      </c>
      <c r="F588" s="29" t="s">
        <v>113</v>
      </c>
      <c r="G588" s="480"/>
      <c r="H588" s="60">
        <v>295340943.24000001</v>
      </c>
      <c r="I588" s="523">
        <v>43485</v>
      </c>
      <c r="J588" s="481">
        <f t="shared" si="70"/>
        <v>886</v>
      </c>
      <c r="K588" s="479" t="str">
        <f t="shared" si="64"/>
        <v/>
      </c>
      <c r="L588" s="479" t="str">
        <f t="shared" si="65"/>
        <v/>
      </c>
      <c r="M588" s="487" t="str">
        <f t="shared" si="66"/>
        <v/>
      </c>
      <c r="N588" s="479" t="str">
        <f t="shared" si="67"/>
        <v/>
      </c>
      <c r="O588" s="479" t="str">
        <f t="shared" si="68"/>
        <v/>
      </c>
      <c r="P588" s="479">
        <f t="shared" si="69"/>
        <v>295340943.24000001</v>
      </c>
    </row>
    <row r="589" spans="2:16" s="477" customFormat="1">
      <c r="B589" s="530">
        <v>10008691</v>
      </c>
      <c r="C589" s="489" t="s">
        <v>10</v>
      </c>
      <c r="D589" s="65" t="s">
        <v>21</v>
      </c>
      <c r="E589" s="66" t="s">
        <v>139</v>
      </c>
      <c r="F589" s="492" t="s">
        <v>229</v>
      </c>
      <c r="G589" s="480"/>
      <c r="H589" s="60">
        <v>1128022707</v>
      </c>
      <c r="I589" s="525">
        <v>43516</v>
      </c>
      <c r="J589" s="481">
        <f t="shared" si="70"/>
        <v>855</v>
      </c>
      <c r="K589" s="479" t="str">
        <f t="shared" si="64"/>
        <v/>
      </c>
      <c r="L589" s="479" t="str">
        <f t="shared" si="65"/>
        <v/>
      </c>
      <c r="M589" s="487" t="str">
        <f t="shared" si="66"/>
        <v/>
      </c>
      <c r="N589" s="479" t="str">
        <f t="shared" si="67"/>
        <v/>
      </c>
      <c r="O589" s="479" t="str">
        <f t="shared" si="68"/>
        <v/>
      </c>
      <c r="P589" s="479">
        <f t="shared" si="69"/>
        <v>1128022707</v>
      </c>
    </row>
    <row r="590" spans="2:16" s="477" customFormat="1">
      <c r="B590" s="530">
        <v>10008691</v>
      </c>
      <c r="C590" s="489" t="s">
        <v>10</v>
      </c>
      <c r="D590" s="65" t="s">
        <v>21</v>
      </c>
      <c r="E590" s="31" t="s">
        <v>142</v>
      </c>
      <c r="F590" s="29" t="s">
        <v>232</v>
      </c>
      <c r="G590" s="480"/>
      <c r="H590" s="60">
        <v>1179213411.684</v>
      </c>
      <c r="I590" s="525">
        <v>43544</v>
      </c>
      <c r="J590" s="481">
        <f t="shared" si="70"/>
        <v>827</v>
      </c>
      <c r="K590" s="479" t="str">
        <f t="shared" si="64"/>
        <v/>
      </c>
      <c r="L590" s="479" t="str">
        <f t="shared" si="65"/>
        <v/>
      </c>
      <c r="M590" s="487" t="str">
        <f t="shared" si="66"/>
        <v/>
      </c>
      <c r="N590" s="479" t="str">
        <f t="shared" si="67"/>
        <v/>
      </c>
      <c r="O590" s="479" t="str">
        <f t="shared" si="68"/>
        <v/>
      </c>
      <c r="P590" s="479">
        <f t="shared" si="69"/>
        <v>1179213411.684</v>
      </c>
    </row>
    <row r="591" spans="2:16" s="477" customFormat="1">
      <c r="B591" s="530">
        <v>10008691</v>
      </c>
      <c r="C591" s="489" t="s">
        <v>10</v>
      </c>
      <c r="D591" s="65" t="s">
        <v>21</v>
      </c>
      <c r="E591" s="31" t="s">
        <v>145</v>
      </c>
      <c r="F591" s="29" t="s">
        <v>235</v>
      </c>
      <c r="G591" s="480"/>
      <c r="H591" s="60">
        <v>1191345246</v>
      </c>
      <c r="I591" s="523">
        <v>43575</v>
      </c>
      <c r="J591" s="481">
        <f t="shared" si="70"/>
        <v>796</v>
      </c>
      <c r="K591" s="479" t="str">
        <f t="shared" si="64"/>
        <v/>
      </c>
      <c r="L591" s="479" t="str">
        <f t="shared" si="65"/>
        <v/>
      </c>
      <c r="M591" s="487" t="str">
        <f t="shared" si="66"/>
        <v/>
      </c>
      <c r="N591" s="479" t="str">
        <f t="shared" si="67"/>
        <v/>
      </c>
      <c r="O591" s="479" t="str">
        <f t="shared" si="68"/>
        <v/>
      </c>
      <c r="P591" s="479">
        <f t="shared" si="69"/>
        <v>1191345246</v>
      </c>
    </row>
    <row r="592" spans="2:16" s="477" customFormat="1">
      <c r="B592" s="530">
        <v>10008691</v>
      </c>
      <c r="C592" s="489" t="s">
        <v>10</v>
      </c>
      <c r="D592" s="65" t="s">
        <v>21</v>
      </c>
      <c r="E592" s="66" t="s">
        <v>148</v>
      </c>
      <c r="F592" s="492" t="s">
        <v>237</v>
      </c>
      <c r="G592" s="480"/>
      <c r="H592" s="60">
        <v>899605468.125</v>
      </c>
      <c r="I592" s="525">
        <v>43605</v>
      </c>
      <c r="J592" s="481">
        <f t="shared" si="70"/>
        <v>766</v>
      </c>
      <c r="K592" s="479" t="str">
        <f t="shared" si="64"/>
        <v/>
      </c>
      <c r="L592" s="479" t="str">
        <f t="shared" si="65"/>
        <v/>
      </c>
      <c r="M592" s="487" t="str">
        <f t="shared" si="66"/>
        <v/>
      </c>
      <c r="N592" s="479" t="str">
        <f t="shared" si="67"/>
        <v/>
      </c>
      <c r="O592" s="479" t="str">
        <f t="shared" si="68"/>
        <v/>
      </c>
      <c r="P592" s="479">
        <f t="shared" si="69"/>
        <v>899605468.125</v>
      </c>
    </row>
    <row r="593" spans="2:31" s="477" customFormat="1">
      <c r="B593" s="530">
        <v>10008691</v>
      </c>
      <c r="C593" s="489" t="s">
        <v>10</v>
      </c>
      <c r="D593" s="65" t="s">
        <v>21</v>
      </c>
      <c r="E593" s="31" t="s">
        <v>151</v>
      </c>
      <c r="F593" s="29" t="s">
        <v>33</v>
      </c>
      <c r="G593" s="480"/>
      <c r="H593" s="60">
        <v>1138808575.5899999</v>
      </c>
      <c r="I593" s="525">
        <v>43617</v>
      </c>
      <c r="J593" s="481">
        <f t="shared" si="70"/>
        <v>754</v>
      </c>
      <c r="K593" s="479" t="str">
        <f t="shared" si="64"/>
        <v/>
      </c>
      <c r="L593" s="479" t="str">
        <f t="shared" si="65"/>
        <v/>
      </c>
      <c r="M593" s="487" t="str">
        <f t="shared" si="66"/>
        <v/>
      </c>
      <c r="N593" s="479" t="str">
        <f t="shared" si="67"/>
        <v/>
      </c>
      <c r="O593" s="479" t="str">
        <f t="shared" si="68"/>
        <v/>
      </c>
      <c r="P593" s="479">
        <f t="shared" si="69"/>
        <v>1138808575.5899999</v>
      </c>
    </row>
    <row r="594" spans="2:31" s="477" customFormat="1">
      <c r="B594" s="530">
        <v>10008691</v>
      </c>
      <c r="C594" s="489" t="s">
        <v>10</v>
      </c>
      <c r="D594" s="65" t="s">
        <v>21</v>
      </c>
      <c r="E594" s="31" t="s">
        <v>154</v>
      </c>
      <c r="F594" s="29" t="s">
        <v>241</v>
      </c>
      <c r="G594" s="480"/>
      <c r="H594" s="60">
        <v>1163783565</v>
      </c>
      <c r="I594" s="525">
        <v>43647</v>
      </c>
      <c r="J594" s="481">
        <f t="shared" si="70"/>
        <v>724</v>
      </c>
      <c r="K594" s="479" t="str">
        <f t="shared" si="64"/>
        <v/>
      </c>
      <c r="L594" s="479" t="str">
        <f t="shared" si="65"/>
        <v/>
      </c>
      <c r="M594" s="487" t="str">
        <f t="shared" si="66"/>
        <v/>
      </c>
      <c r="N594" s="479" t="str">
        <f t="shared" si="67"/>
        <v/>
      </c>
      <c r="O594" s="479" t="str">
        <f t="shared" si="68"/>
        <v/>
      </c>
      <c r="P594" s="479">
        <f t="shared" si="69"/>
        <v>1163783565</v>
      </c>
    </row>
    <row r="595" spans="2:31" s="477" customFormat="1">
      <c r="B595" s="530">
        <v>10008691</v>
      </c>
      <c r="C595" s="489" t="s">
        <v>10</v>
      </c>
      <c r="D595" s="65" t="s">
        <v>21</v>
      </c>
      <c r="E595" s="31" t="s">
        <v>158</v>
      </c>
      <c r="F595" s="29" t="s">
        <v>244</v>
      </c>
      <c r="G595" s="480"/>
      <c r="H595" s="60">
        <v>916928900.15999997</v>
      </c>
      <c r="I595" s="523">
        <v>43678</v>
      </c>
      <c r="J595" s="481">
        <f t="shared" si="70"/>
        <v>693</v>
      </c>
      <c r="K595" s="479" t="str">
        <f t="shared" si="64"/>
        <v/>
      </c>
      <c r="L595" s="479" t="str">
        <f t="shared" si="65"/>
        <v/>
      </c>
      <c r="M595" s="487" t="str">
        <f t="shared" si="66"/>
        <v/>
      </c>
      <c r="N595" s="479" t="str">
        <f t="shared" si="67"/>
        <v/>
      </c>
      <c r="O595" s="479" t="str">
        <f t="shared" si="68"/>
        <v/>
      </c>
      <c r="P595" s="479">
        <f t="shared" si="69"/>
        <v>916928900.15999997</v>
      </c>
    </row>
    <row r="596" spans="2:31" s="477" customFormat="1">
      <c r="B596" s="530">
        <v>10008691</v>
      </c>
      <c r="C596" s="489" t="s">
        <v>10</v>
      </c>
      <c r="D596" s="65" t="s">
        <v>21</v>
      </c>
      <c r="E596" s="66" t="s">
        <v>162</v>
      </c>
      <c r="F596" s="492" t="s">
        <v>57</v>
      </c>
      <c r="G596" s="480"/>
      <c r="H596" s="60">
        <v>790229622.83999991</v>
      </c>
      <c r="I596" s="525">
        <v>43710</v>
      </c>
      <c r="J596" s="481">
        <f t="shared" si="70"/>
        <v>661</v>
      </c>
      <c r="K596" s="479" t="str">
        <f t="shared" si="64"/>
        <v/>
      </c>
      <c r="L596" s="479" t="str">
        <f t="shared" si="65"/>
        <v/>
      </c>
      <c r="M596" s="487" t="str">
        <f t="shared" si="66"/>
        <v/>
      </c>
      <c r="N596" s="479" t="str">
        <f t="shared" si="67"/>
        <v/>
      </c>
      <c r="O596" s="479" t="str">
        <f t="shared" si="68"/>
        <v/>
      </c>
      <c r="P596" s="479">
        <f t="shared" si="69"/>
        <v>790229622.83999991</v>
      </c>
    </row>
    <row r="597" spans="2:31" s="477" customFormat="1">
      <c r="B597" s="530">
        <v>10008691</v>
      </c>
      <c r="C597" s="489" t="s">
        <v>10</v>
      </c>
      <c r="D597" s="65" t="s">
        <v>21</v>
      </c>
      <c r="E597" s="31" t="s">
        <v>166</v>
      </c>
      <c r="F597" s="29" t="s">
        <v>249</v>
      </c>
      <c r="G597" s="480"/>
      <c r="H597" s="60">
        <v>682311819</v>
      </c>
      <c r="I597" s="525">
        <v>43740</v>
      </c>
      <c r="J597" s="481">
        <f t="shared" si="70"/>
        <v>631</v>
      </c>
      <c r="K597" s="479" t="str">
        <f t="shared" si="64"/>
        <v/>
      </c>
      <c r="L597" s="479" t="str">
        <f t="shared" si="65"/>
        <v/>
      </c>
      <c r="M597" s="487" t="str">
        <f t="shared" si="66"/>
        <v/>
      </c>
      <c r="N597" s="479" t="str">
        <f t="shared" si="67"/>
        <v/>
      </c>
      <c r="O597" s="479" t="str">
        <f t="shared" si="68"/>
        <v/>
      </c>
      <c r="P597" s="479">
        <f t="shared" si="69"/>
        <v>682311819</v>
      </c>
    </row>
    <row r="598" spans="2:31" s="477" customFormat="1">
      <c r="B598" s="530">
        <v>10008691</v>
      </c>
      <c r="C598" s="489" t="s">
        <v>10</v>
      </c>
      <c r="D598" s="65" t="s">
        <v>21</v>
      </c>
      <c r="E598" s="31" t="s">
        <v>170</v>
      </c>
      <c r="F598" s="29" t="s">
        <v>251</v>
      </c>
      <c r="G598" s="480"/>
      <c r="H598" s="60">
        <v>624461184.375</v>
      </c>
      <c r="I598" s="523">
        <v>43770</v>
      </c>
      <c r="J598" s="481">
        <f t="shared" si="70"/>
        <v>601</v>
      </c>
      <c r="K598" s="479" t="str">
        <f t="shared" si="64"/>
        <v/>
      </c>
      <c r="L598" s="479" t="str">
        <f t="shared" si="65"/>
        <v/>
      </c>
      <c r="M598" s="487" t="str">
        <f t="shared" si="66"/>
        <v/>
      </c>
      <c r="N598" s="479" t="str">
        <f t="shared" si="67"/>
        <v/>
      </c>
      <c r="O598" s="479" t="str">
        <f t="shared" si="68"/>
        <v/>
      </c>
      <c r="P598" s="479">
        <f t="shared" si="69"/>
        <v>624461184.375</v>
      </c>
    </row>
    <row r="599" spans="2:31" s="477" customFormat="1">
      <c r="B599" s="530">
        <v>10008691</v>
      </c>
      <c r="C599" s="489" t="s">
        <v>10</v>
      </c>
      <c r="D599" s="65" t="s">
        <v>21</v>
      </c>
      <c r="E599" s="66" t="s">
        <v>174</v>
      </c>
      <c r="F599" s="492" t="s">
        <v>253</v>
      </c>
      <c r="G599" s="480"/>
      <c r="H599" s="60">
        <v>612432975</v>
      </c>
      <c r="I599" s="525">
        <v>43801</v>
      </c>
      <c r="J599" s="481">
        <f t="shared" si="70"/>
        <v>570</v>
      </c>
      <c r="K599" s="479" t="str">
        <f t="shared" si="64"/>
        <v/>
      </c>
      <c r="L599" s="479" t="str">
        <f t="shared" si="65"/>
        <v/>
      </c>
      <c r="M599" s="487" t="str">
        <f t="shared" si="66"/>
        <v/>
      </c>
      <c r="N599" s="479" t="str">
        <f t="shared" si="67"/>
        <v/>
      </c>
      <c r="O599" s="479" t="str">
        <f t="shared" si="68"/>
        <v/>
      </c>
      <c r="P599" s="479">
        <f t="shared" si="69"/>
        <v>612432975</v>
      </c>
    </row>
    <row r="600" spans="2:31" s="477" customFormat="1">
      <c r="B600" s="530">
        <v>10008691</v>
      </c>
      <c r="C600" s="489" t="s">
        <v>10</v>
      </c>
      <c r="D600" s="65" t="s">
        <v>21</v>
      </c>
      <c r="E600" s="31" t="s">
        <v>778</v>
      </c>
      <c r="F600" s="29" t="s">
        <v>255</v>
      </c>
      <c r="G600" s="480"/>
      <c r="H600" s="60">
        <v>895418268.14999998</v>
      </c>
      <c r="I600" s="525">
        <v>43831</v>
      </c>
      <c r="J600" s="481">
        <f t="shared" si="70"/>
        <v>540</v>
      </c>
      <c r="K600" s="479" t="str">
        <f t="shared" si="64"/>
        <v/>
      </c>
      <c r="L600" s="479" t="str">
        <f t="shared" si="65"/>
        <v/>
      </c>
      <c r="M600" s="487" t="str">
        <f t="shared" si="66"/>
        <v/>
      </c>
      <c r="N600" s="479" t="str">
        <f t="shared" si="67"/>
        <v/>
      </c>
      <c r="O600" s="479" t="str">
        <f t="shared" si="68"/>
        <v/>
      </c>
      <c r="P600" s="479">
        <f t="shared" si="69"/>
        <v>895418268.14999998</v>
      </c>
    </row>
    <row r="601" spans="2:31" s="477" customFormat="1">
      <c r="B601" s="530">
        <v>10008691</v>
      </c>
      <c r="C601" s="489" t="s">
        <v>10</v>
      </c>
      <c r="D601" s="65" t="s">
        <v>21</v>
      </c>
      <c r="E601" s="31" t="s">
        <v>1566</v>
      </c>
      <c r="F601" s="29" t="s">
        <v>258</v>
      </c>
      <c r="G601" s="480"/>
      <c r="H601" s="60">
        <v>619248891.38831246</v>
      </c>
      <c r="I601" s="523" t="s">
        <v>183</v>
      </c>
      <c r="J601" s="481">
        <f t="shared" si="70"/>
        <v>539</v>
      </c>
      <c r="K601" s="479" t="str">
        <f t="shared" si="64"/>
        <v/>
      </c>
      <c r="L601" s="479" t="str">
        <f t="shared" si="65"/>
        <v/>
      </c>
      <c r="M601" s="487" t="str">
        <f t="shared" si="66"/>
        <v/>
      </c>
      <c r="N601" s="479" t="str">
        <f t="shared" si="67"/>
        <v/>
      </c>
      <c r="O601" s="479" t="str">
        <f t="shared" si="68"/>
        <v/>
      </c>
      <c r="P601" s="479">
        <f t="shared" si="69"/>
        <v>619248891.38831246</v>
      </c>
    </row>
    <row r="602" spans="2:31">
      <c r="B602" s="530"/>
      <c r="C602" s="489"/>
      <c r="D602" s="489"/>
      <c r="E602" s="489"/>
      <c r="F602" s="489"/>
      <c r="G602" s="489"/>
      <c r="H602" s="487"/>
      <c r="I602" s="522"/>
      <c r="J602" s="481"/>
      <c r="K602" s="479" t="str">
        <f t="shared" si="64"/>
        <v/>
      </c>
      <c r="L602" s="479" t="str">
        <f t="shared" si="65"/>
        <v/>
      </c>
      <c r="M602" s="487" t="str">
        <f t="shared" si="66"/>
        <v/>
      </c>
      <c r="N602" s="479" t="str">
        <f t="shared" si="67"/>
        <v/>
      </c>
      <c r="O602" s="479" t="str">
        <f t="shared" si="68"/>
        <v/>
      </c>
      <c r="P602" s="479" t="str">
        <f t="shared" si="69"/>
        <v/>
      </c>
      <c r="AE602" s="493"/>
    </row>
    <row r="603" spans="2:31">
      <c r="B603" s="530"/>
      <c r="C603" s="489"/>
      <c r="D603" s="489"/>
      <c r="E603" s="489"/>
      <c r="F603" s="489"/>
      <c r="G603" s="489"/>
      <c r="H603" s="487"/>
      <c r="I603" s="522"/>
      <c r="J603" s="481"/>
      <c r="K603" s="479" t="str">
        <f t="shared" si="64"/>
        <v/>
      </c>
      <c r="L603" s="479" t="str">
        <f t="shared" si="65"/>
        <v/>
      </c>
      <c r="M603" s="487" t="str">
        <f t="shared" si="66"/>
        <v/>
      </c>
      <c r="N603" s="479" t="str">
        <f t="shared" si="67"/>
        <v/>
      </c>
      <c r="O603" s="479" t="str">
        <f t="shared" si="68"/>
        <v/>
      </c>
      <c r="P603" s="479" t="str">
        <f t="shared" si="69"/>
        <v/>
      </c>
      <c r="AE603" s="493"/>
    </row>
    <row r="604" spans="2:31">
      <c r="B604" s="530"/>
      <c r="C604" s="489"/>
      <c r="D604" s="489"/>
      <c r="E604" s="489"/>
      <c r="F604" s="489"/>
      <c r="G604" s="489"/>
      <c r="H604" s="487"/>
      <c r="I604" s="522"/>
      <c r="J604" s="481"/>
      <c r="K604" s="479" t="str">
        <f t="shared" si="64"/>
        <v/>
      </c>
      <c r="L604" s="479" t="str">
        <f t="shared" si="65"/>
        <v/>
      </c>
      <c r="M604" s="487" t="str">
        <f t="shared" si="66"/>
        <v/>
      </c>
      <c r="N604" s="479" t="str">
        <f t="shared" si="67"/>
        <v/>
      </c>
      <c r="O604" s="479" t="str">
        <f t="shared" si="68"/>
        <v/>
      </c>
      <c r="P604" s="479" t="str">
        <f t="shared" si="69"/>
        <v/>
      </c>
      <c r="AE604" s="493"/>
    </row>
    <row r="605" spans="2:31">
      <c r="B605" s="530">
        <v>10000579</v>
      </c>
      <c r="C605" s="489" t="s">
        <v>10</v>
      </c>
      <c r="D605" s="489" t="s">
        <v>19</v>
      </c>
      <c r="E605" s="489" t="s">
        <v>2143</v>
      </c>
      <c r="F605" s="489" t="s">
        <v>374</v>
      </c>
      <c r="G605" s="489"/>
      <c r="H605" s="487">
        <v>218370915.63</v>
      </c>
      <c r="I605" s="525">
        <v>41102</v>
      </c>
      <c r="J605" s="481">
        <f t="shared" si="70"/>
        <v>3269</v>
      </c>
      <c r="K605" s="479" t="str">
        <f t="shared" si="64"/>
        <v/>
      </c>
      <c r="L605" s="479" t="str">
        <f t="shared" si="65"/>
        <v/>
      </c>
      <c r="M605" s="487" t="str">
        <f t="shared" si="66"/>
        <v/>
      </c>
      <c r="N605" s="479" t="str">
        <f t="shared" si="67"/>
        <v/>
      </c>
      <c r="O605" s="479" t="str">
        <f t="shared" si="68"/>
        <v/>
      </c>
      <c r="P605" s="479">
        <f t="shared" si="69"/>
        <v>218370915.63</v>
      </c>
      <c r="V605" s="493"/>
      <c r="AE605" s="493"/>
    </row>
    <row r="606" spans="2:31">
      <c r="B606" s="530"/>
      <c r="C606" s="489"/>
      <c r="D606" s="489"/>
      <c r="E606" s="489"/>
      <c r="F606" s="489"/>
      <c r="G606" s="489"/>
      <c r="H606" s="487"/>
      <c r="I606" s="522"/>
      <c r="J606" s="481"/>
      <c r="K606" s="479" t="str">
        <f t="shared" si="64"/>
        <v/>
      </c>
      <c r="L606" s="479" t="str">
        <f t="shared" si="65"/>
        <v/>
      </c>
      <c r="M606" s="487" t="str">
        <f t="shared" si="66"/>
        <v/>
      </c>
      <c r="N606" s="479" t="str">
        <f t="shared" si="67"/>
        <v/>
      </c>
      <c r="O606" s="479" t="str">
        <f t="shared" si="68"/>
        <v/>
      </c>
      <c r="P606" s="479" t="str">
        <f t="shared" si="69"/>
        <v/>
      </c>
      <c r="AE606" s="493"/>
    </row>
    <row r="607" spans="2:31">
      <c r="B607" s="530"/>
      <c r="C607" s="489"/>
      <c r="D607" s="489"/>
      <c r="E607" s="489"/>
      <c r="F607" s="489"/>
      <c r="G607" s="489"/>
      <c r="H607" s="487"/>
      <c r="I607" s="522"/>
      <c r="J607" s="481"/>
      <c r="K607" s="479" t="str">
        <f t="shared" si="64"/>
        <v/>
      </c>
      <c r="L607" s="479" t="str">
        <f t="shared" si="65"/>
        <v/>
      </c>
      <c r="M607" s="487" t="str">
        <f t="shared" si="66"/>
        <v/>
      </c>
      <c r="N607" s="479" t="str">
        <f t="shared" si="67"/>
        <v/>
      </c>
      <c r="O607" s="479" t="str">
        <f t="shared" si="68"/>
        <v/>
      </c>
      <c r="P607" s="479" t="str">
        <f t="shared" si="69"/>
        <v/>
      </c>
      <c r="AE607" s="493"/>
    </row>
    <row r="608" spans="2:31">
      <c r="B608" s="530"/>
      <c r="C608" s="489"/>
      <c r="D608" s="489"/>
      <c r="E608" s="489"/>
      <c r="F608" s="489"/>
      <c r="G608" s="489"/>
      <c r="H608" s="487"/>
      <c r="I608" s="522"/>
      <c r="J608" s="481"/>
      <c r="K608" s="479" t="str">
        <f t="shared" si="64"/>
        <v/>
      </c>
      <c r="L608" s="479" t="str">
        <f t="shared" si="65"/>
        <v/>
      </c>
      <c r="M608" s="487" t="str">
        <f t="shared" si="66"/>
        <v/>
      </c>
      <c r="N608" s="479" t="str">
        <f t="shared" si="67"/>
        <v/>
      </c>
      <c r="O608" s="479" t="str">
        <f t="shared" si="68"/>
        <v/>
      </c>
      <c r="P608" s="479" t="str">
        <f t="shared" si="69"/>
        <v/>
      </c>
      <c r="AE608" s="493"/>
    </row>
    <row r="609" spans="2:31">
      <c r="B609" s="530">
        <v>10009811</v>
      </c>
      <c r="C609" s="489" t="s">
        <v>10</v>
      </c>
      <c r="D609" s="489" t="s">
        <v>20</v>
      </c>
      <c r="E609" s="489" t="s">
        <v>1888</v>
      </c>
      <c r="F609" s="489" t="s">
        <v>186</v>
      </c>
      <c r="G609" s="489"/>
      <c r="H609" s="487">
        <f>59856874.51+78488331.28</f>
        <v>138345205.78999999</v>
      </c>
      <c r="I609" s="522">
        <v>42178</v>
      </c>
      <c r="J609" s="481">
        <f t="shared" si="70"/>
        <v>2193</v>
      </c>
      <c r="K609" s="479" t="str">
        <f t="shared" si="64"/>
        <v/>
      </c>
      <c r="L609" s="479" t="str">
        <f t="shared" si="65"/>
        <v/>
      </c>
      <c r="M609" s="487" t="str">
        <f t="shared" si="66"/>
        <v/>
      </c>
      <c r="N609" s="479" t="str">
        <f t="shared" si="67"/>
        <v/>
      </c>
      <c r="O609" s="479" t="str">
        <f t="shared" si="68"/>
        <v/>
      </c>
      <c r="P609" s="479">
        <f t="shared" si="69"/>
        <v>138345205.78999999</v>
      </c>
      <c r="V609" s="493"/>
      <c r="AE609" s="493"/>
    </row>
    <row r="610" spans="2:31">
      <c r="B610" s="530">
        <v>10009811</v>
      </c>
      <c r="C610" s="489" t="s">
        <v>10</v>
      </c>
      <c r="D610" s="489" t="s">
        <v>20</v>
      </c>
      <c r="E610" s="489" t="s">
        <v>1892</v>
      </c>
      <c r="F610" s="489" t="s">
        <v>192</v>
      </c>
      <c r="G610" s="489"/>
      <c r="H610" s="487">
        <v>119792626.08</v>
      </c>
      <c r="I610" s="522">
        <v>42216</v>
      </c>
      <c r="J610" s="481">
        <f t="shared" si="70"/>
        <v>2155</v>
      </c>
      <c r="K610" s="479" t="str">
        <f t="shared" si="64"/>
        <v/>
      </c>
      <c r="L610" s="479" t="str">
        <f t="shared" si="65"/>
        <v/>
      </c>
      <c r="M610" s="487" t="str">
        <f t="shared" si="66"/>
        <v/>
      </c>
      <c r="N610" s="479" t="str">
        <f t="shared" si="67"/>
        <v/>
      </c>
      <c r="O610" s="479" t="str">
        <f t="shared" si="68"/>
        <v/>
      </c>
      <c r="P610" s="479">
        <f t="shared" si="69"/>
        <v>119792626.08</v>
      </c>
      <c r="AE610" s="493"/>
    </row>
    <row r="611" spans="2:31">
      <c r="B611" s="530">
        <v>10009811</v>
      </c>
      <c r="C611" s="489" t="s">
        <v>10</v>
      </c>
      <c r="D611" s="489" t="s">
        <v>20</v>
      </c>
      <c r="E611" s="489" t="s">
        <v>1864</v>
      </c>
      <c r="F611" s="489" t="s">
        <v>196</v>
      </c>
      <c r="G611" s="489"/>
      <c r="H611" s="487">
        <v>59191979.969999999</v>
      </c>
      <c r="I611" s="522">
        <v>42246</v>
      </c>
      <c r="J611" s="481">
        <f t="shared" si="70"/>
        <v>2125</v>
      </c>
      <c r="K611" s="479" t="str">
        <f t="shared" si="64"/>
        <v/>
      </c>
      <c r="L611" s="479" t="str">
        <f t="shared" si="65"/>
        <v/>
      </c>
      <c r="M611" s="487" t="str">
        <f t="shared" si="66"/>
        <v/>
      </c>
      <c r="N611" s="479" t="str">
        <f t="shared" si="67"/>
        <v/>
      </c>
      <c r="O611" s="479" t="str">
        <f t="shared" si="68"/>
        <v/>
      </c>
      <c r="P611" s="479">
        <f t="shared" si="69"/>
        <v>59191979.969999999</v>
      </c>
      <c r="AE611" s="493"/>
    </row>
    <row r="612" spans="2:31">
      <c r="B612" s="530">
        <v>10009811</v>
      </c>
      <c r="C612" s="489" t="s">
        <v>10</v>
      </c>
      <c r="D612" s="489" t="s">
        <v>20</v>
      </c>
      <c r="E612" s="489" t="s">
        <v>1897</v>
      </c>
      <c r="F612" s="489" t="s">
        <v>41</v>
      </c>
      <c r="G612" s="489"/>
      <c r="H612" s="487">
        <v>54500340.329999998</v>
      </c>
      <c r="I612" s="522">
        <v>42278</v>
      </c>
      <c r="J612" s="481">
        <f t="shared" si="70"/>
        <v>2093</v>
      </c>
      <c r="K612" s="479" t="str">
        <f t="shared" si="64"/>
        <v/>
      </c>
      <c r="L612" s="479" t="str">
        <f t="shared" si="65"/>
        <v/>
      </c>
      <c r="M612" s="487" t="str">
        <f t="shared" si="66"/>
        <v/>
      </c>
      <c r="N612" s="479" t="str">
        <f t="shared" si="67"/>
        <v/>
      </c>
      <c r="O612" s="479" t="str">
        <f t="shared" si="68"/>
        <v/>
      </c>
      <c r="P612" s="479">
        <f t="shared" si="69"/>
        <v>54500340.329999998</v>
      </c>
      <c r="AE612" s="493"/>
    </row>
    <row r="613" spans="2:31">
      <c r="B613" s="530">
        <v>10009811</v>
      </c>
      <c r="C613" s="489" t="s">
        <v>10</v>
      </c>
      <c r="D613" s="489" t="s">
        <v>20</v>
      </c>
      <c r="E613" s="489" t="s">
        <v>1171</v>
      </c>
      <c r="F613" s="489" t="s">
        <v>359</v>
      </c>
      <c r="G613" s="489"/>
      <c r="H613" s="487">
        <v>48830343.219999999</v>
      </c>
      <c r="I613" s="522">
        <v>42322</v>
      </c>
      <c r="J613" s="481">
        <f t="shared" si="70"/>
        <v>2049</v>
      </c>
      <c r="K613" s="479" t="str">
        <f t="shared" si="64"/>
        <v/>
      </c>
      <c r="L613" s="479" t="str">
        <f t="shared" si="65"/>
        <v/>
      </c>
      <c r="M613" s="487" t="str">
        <f t="shared" si="66"/>
        <v/>
      </c>
      <c r="N613" s="479" t="str">
        <f t="shared" si="67"/>
        <v/>
      </c>
      <c r="O613" s="479" t="str">
        <f t="shared" si="68"/>
        <v/>
      </c>
      <c r="P613" s="479">
        <f t="shared" si="69"/>
        <v>48830343.219999999</v>
      </c>
      <c r="V613" s="493"/>
      <c r="AE613" s="493"/>
    </row>
    <row r="614" spans="2:31">
      <c r="B614" s="530">
        <v>10009811</v>
      </c>
      <c r="C614" s="489" t="s">
        <v>10</v>
      </c>
      <c r="D614" s="489" t="s">
        <v>20</v>
      </c>
      <c r="E614" s="489" t="s">
        <v>461</v>
      </c>
      <c r="F614" s="489" t="s">
        <v>202</v>
      </c>
      <c r="G614" s="489"/>
      <c r="H614" s="487">
        <v>23165058.300000001</v>
      </c>
      <c r="I614" s="522">
        <v>42352</v>
      </c>
      <c r="J614" s="481">
        <f t="shared" si="70"/>
        <v>2019</v>
      </c>
      <c r="K614" s="479" t="str">
        <f t="shared" si="64"/>
        <v/>
      </c>
      <c r="L614" s="479" t="str">
        <f t="shared" si="65"/>
        <v/>
      </c>
      <c r="M614" s="487" t="str">
        <f t="shared" si="66"/>
        <v/>
      </c>
      <c r="N614" s="479" t="str">
        <f t="shared" si="67"/>
        <v/>
      </c>
      <c r="O614" s="479" t="str">
        <f t="shared" si="68"/>
        <v/>
      </c>
      <c r="P614" s="479">
        <f t="shared" si="69"/>
        <v>23165058.300000001</v>
      </c>
      <c r="AE614" s="493"/>
    </row>
    <row r="615" spans="2:31">
      <c r="B615" s="530">
        <v>10009811</v>
      </c>
      <c r="C615" s="489" t="s">
        <v>10</v>
      </c>
      <c r="D615" s="489" t="s">
        <v>20</v>
      </c>
      <c r="E615" s="489" t="s">
        <v>467</v>
      </c>
      <c r="F615" s="489" t="s">
        <v>208</v>
      </c>
      <c r="G615" s="489"/>
      <c r="H615" s="487">
        <v>27382100.629999999</v>
      </c>
      <c r="I615" s="522">
        <v>42385</v>
      </c>
      <c r="J615" s="481">
        <f t="shared" si="70"/>
        <v>1986</v>
      </c>
      <c r="K615" s="479" t="str">
        <f t="shared" si="64"/>
        <v/>
      </c>
      <c r="L615" s="479" t="str">
        <f t="shared" si="65"/>
        <v/>
      </c>
      <c r="M615" s="487" t="str">
        <f t="shared" si="66"/>
        <v/>
      </c>
      <c r="N615" s="479" t="str">
        <f t="shared" si="67"/>
        <v/>
      </c>
      <c r="O615" s="479" t="str">
        <f t="shared" si="68"/>
        <v/>
      </c>
      <c r="P615" s="479">
        <f t="shared" si="69"/>
        <v>27382100.629999999</v>
      </c>
      <c r="AE615" s="493"/>
    </row>
    <row r="616" spans="2:31">
      <c r="B616" s="530">
        <v>10009811</v>
      </c>
      <c r="C616" s="489" t="s">
        <v>10</v>
      </c>
      <c r="D616" s="489" t="s">
        <v>20</v>
      </c>
      <c r="E616" s="489" t="s">
        <v>469</v>
      </c>
      <c r="F616" s="489" t="s">
        <v>52</v>
      </c>
      <c r="G616" s="489"/>
      <c r="H616" s="487">
        <v>33086711.239999998</v>
      </c>
      <c r="I616" s="522">
        <v>42417</v>
      </c>
      <c r="J616" s="481">
        <f t="shared" si="70"/>
        <v>1954</v>
      </c>
      <c r="K616" s="479" t="str">
        <f t="shared" si="64"/>
        <v/>
      </c>
      <c r="L616" s="479" t="str">
        <f t="shared" si="65"/>
        <v/>
      </c>
      <c r="M616" s="487" t="str">
        <f t="shared" si="66"/>
        <v/>
      </c>
      <c r="N616" s="479" t="str">
        <f t="shared" si="67"/>
        <v/>
      </c>
      <c r="O616" s="479" t="str">
        <f t="shared" si="68"/>
        <v/>
      </c>
      <c r="P616" s="479">
        <f t="shared" si="69"/>
        <v>33086711.239999998</v>
      </c>
      <c r="AE616" s="493"/>
    </row>
    <row r="617" spans="2:31">
      <c r="B617" s="530">
        <v>10009811</v>
      </c>
      <c r="C617" s="489" t="s">
        <v>10</v>
      </c>
      <c r="D617" s="489" t="s">
        <v>20</v>
      </c>
      <c r="E617" s="489" t="s">
        <v>471</v>
      </c>
      <c r="F617" s="489" t="s">
        <v>215</v>
      </c>
      <c r="G617" s="489"/>
      <c r="H617" s="487">
        <v>36917762.119999997</v>
      </c>
      <c r="I617" s="522" t="s">
        <v>2160</v>
      </c>
      <c r="J617" s="481">
        <f t="shared" si="70"/>
        <v>1847</v>
      </c>
      <c r="K617" s="479" t="str">
        <f t="shared" si="64"/>
        <v/>
      </c>
      <c r="L617" s="479" t="str">
        <f t="shared" si="65"/>
        <v/>
      </c>
      <c r="M617" s="487" t="str">
        <f t="shared" si="66"/>
        <v/>
      </c>
      <c r="N617" s="479" t="str">
        <f t="shared" si="67"/>
        <v/>
      </c>
      <c r="O617" s="479" t="str">
        <f t="shared" si="68"/>
        <v/>
      </c>
      <c r="P617" s="479">
        <f t="shared" si="69"/>
        <v>36917762.119999997</v>
      </c>
      <c r="V617" s="493"/>
      <c r="AE617" s="493"/>
    </row>
    <row r="618" spans="2:31">
      <c r="B618" s="530">
        <v>10009811</v>
      </c>
      <c r="C618" s="489" t="s">
        <v>10</v>
      </c>
      <c r="D618" s="489" t="s">
        <v>20</v>
      </c>
      <c r="E618" s="489" t="s">
        <v>398</v>
      </c>
      <c r="F618" s="489" t="s">
        <v>65</v>
      </c>
      <c r="G618" s="489"/>
      <c r="H618" s="487">
        <v>23853762.059999999</v>
      </c>
      <c r="I618" s="522">
        <v>42678</v>
      </c>
      <c r="J618" s="481">
        <f t="shared" si="70"/>
        <v>1693</v>
      </c>
      <c r="K618" s="479" t="str">
        <f t="shared" si="64"/>
        <v/>
      </c>
      <c r="L618" s="479" t="str">
        <f t="shared" si="65"/>
        <v/>
      </c>
      <c r="M618" s="487" t="str">
        <f t="shared" si="66"/>
        <v/>
      </c>
      <c r="N618" s="479" t="str">
        <f t="shared" si="67"/>
        <v/>
      </c>
      <c r="O618" s="479" t="str">
        <f t="shared" si="68"/>
        <v/>
      </c>
      <c r="P618" s="479">
        <f t="shared" si="69"/>
        <v>23853762.059999999</v>
      </c>
      <c r="AE618" s="493"/>
    </row>
    <row r="619" spans="2:31">
      <c r="B619" s="530">
        <v>10009811</v>
      </c>
      <c r="C619" s="489" t="s">
        <v>10</v>
      </c>
      <c r="D619" s="489" t="s">
        <v>20</v>
      </c>
      <c r="E619" s="489" t="s">
        <v>1403</v>
      </c>
      <c r="F619" s="489" t="s">
        <v>71</v>
      </c>
      <c r="G619" s="489"/>
      <c r="H619" s="487">
        <v>26630375.77</v>
      </c>
      <c r="I619" s="522">
        <v>42510</v>
      </c>
      <c r="J619" s="481">
        <f t="shared" si="70"/>
        <v>1861</v>
      </c>
      <c r="K619" s="479" t="str">
        <f t="shared" si="64"/>
        <v/>
      </c>
      <c r="L619" s="479" t="str">
        <f t="shared" si="65"/>
        <v/>
      </c>
      <c r="M619" s="487" t="str">
        <f t="shared" si="66"/>
        <v/>
      </c>
      <c r="N619" s="479" t="str">
        <f t="shared" si="67"/>
        <v/>
      </c>
      <c r="O619" s="479" t="str">
        <f t="shared" si="68"/>
        <v/>
      </c>
      <c r="P619" s="479">
        <f t="shared" si="69"/>
        <v>26630375.77</v>
      </c>
      <c r="AE619" s="493"/>
    </row>
    <row r="620" spans="2:31">
      <c r="B620" s="530">
        <v>10009811</v>
      </c>
      <c r="C620" s="489" t="s">
        <v>10</v>
      </c>
      <c r="D620" s="489" t="s">
        <v>20</v>
      </c>
      <c r="E620" s="489" t="s">
        <v>401</v>
      </c>
      <c r="F620" s="489" t="s">
        <v>26</v>
      </c>
      <c r="G620" s="489"/>
      <c r="H620" s="487">
        <v>30295026.98</v>
      </c>
      <c r="I620" s="522">
        <v>42546</v>
      </c>
      <c r="J620" s="481">
        <f t="shared" si="70"/>
        <v>1825</v>
      </c>
      <c r="K620" s="479" t="str">
        <f t="shared" si="64"/>
        <v/>
      </c>
      <c r="L620" s="479" t="str">
        <f t="shared" si="65"/>
        <v/>
      </c>
      <c r="M620" s="487" t="str">
        <f t="shared" si="66"/>
        <v/>
      </c>
      <c r="N620" s="479" t="str">
        <f t="shared" si="67"/>
        <v/>
      </c>
      <c r="O620" s="479" t="str">
        <f t="shared" si="68"/>
        <v/>
      </c>
      <c r="P620" s="479">
        <f t="shared" si="69"/>
        <v>30295026.98</v>
      </c>
      <c r="AE620" s="493"/>
    </row>
    <row r="621" spans="2:31">
      <c r="B621" s="530">
        <v>10009811</v>
      </c>
      <c r="C621" s="489" t="s">
        <v>10</v>
      </c>
      <c r="D621" s="489" t="s">
        <v>20</v>
      </c>
      <c r="E621" s="489" t="s">
        <v>404</v>
      </c>
      <c r="F621" s="489" t="s">
        <v>367</v>
      </c>
      <c r="G621" s="489"/>
      <c r="H621" s="487">
        <v>62682409.200000003</v>
      </c>
      <c r="I621" s="522">
        <v>42571</v>
      </c>
      <c r="J621" s="481">
        <f t="shared" si="70"/>
        <v>1800</v>
      </c>
      <c r="K621" s="479" t="str">
        <f t="shared" si="64"/>
        <v/>
      </c>
      <c r="L621" s="479" t="str">
        <f t="shared" si="65"/>
        <v/>
      </c>
      <c r="M621" s="487" t="str">
        <f t="shared" si="66"/>
        <v/>
      </c>
      <c r="N621" s="479" t="str">
        <f t="shared" si="67"/>
        <v/>
      </c>
      <c r="O621" s="479" t="str">
        <f t="shared" si="68"/>
        <v/>
      </c>
      <c r="P621" s="479">
        <f t="shared" si="69"/>
        <v>62682409.200000003</v>
      </c>
      <c r="V621" s="493"/>
      <c r="AE621" s="493"/>
    </row>
    <row r="622" spans="2:31">
      <c r="B622" s="530"/>
      <c r="C622" s="489"/>
      <c r="D622" s="489"/>
      <c r="E622" s="489"/>
      <c r="F622" s="489"/>
      <c r="G622" s="489"/>
      <c r="H622" s="487"/>
      <c r="I622" s="522"/>
      <c r="J622" s="481"/>
      <c r="K622" s="479" t="str">
        <f t="shared" si="64"/>
        <v/>
      </c>
      <c r="L622" s="479" t="str">
        <f t="shared" si="65"/>
        <v/>
      </c>
      <c r="M622" s="487" t="str">
        <f t="shared" si="66"/>
        <v/>
      </c>
      <c r="N622" s="479" t="str">
        <f t="shared" si="67"/>
        <v/>
      </c>
      <c r="O622" s="479" t="str">
        <f t="shared" si="68"/>
        <v/>
      </c>
      <c r="P622" s="479" t="str">
        <f t="shared" si="69"/>
        <v/>
      </c>
      <c r="AE622" s="493"/>
    </row>
    <row r="623" spans="2:31">
      <c r="B623" s="530"/>
      <c r="C623" s="489"/>
      <c r="D623" s="489"/>
      <c r="E623" s="489"/>
      <c r="F623" s="489"/>
      <c r="G623" s="489"/>
      <c r="H623" s="487"/>
      <c r="I623" s="522"/>
      <c r="J623" s="481"/>
      <c r="K623" s="479" t="str">
        <f t="shared" si="64"/>
        <v/>
      </c>
      <c r="L623" s="479" t="str">
        <f t="shared" si="65"/>
        <v/>
      </c>
      <c r="M623" s="487" t="str">
        <f t="shared" si="66"/>
        <v/>
      </c>
      <c r="N623" s="479" t="str">
        <f t="shared" si="67"/>
        <v/>
      </c>
      <c r="O623" s="479" t="str">
        <f t="shared" si="68"/>
        <v/>
      </c>
      <c r="P623" s="479" t="str">
        <f t="shared" si="69"/>
        <v/>
      </c>
      <c r="AE623" s="493"/>
    </row>
    <row r="624" spans="2:31">
      <c r="B624" s="530"/>
      <c r="C624" s="489"/>
      <c r="D624" s="489"/>
      <c r="E624" s="489"/>
      <c r="F624" s="489"/>
      <c r="G624" s="489"/>
      <c r="H624" s="487"/>
      <c r="I624" s="522"/>
      <c r="J624" s="481"/>
      <c r="K624" s="479" t="str">
        <f t="shared" si="64"/>
        <v/>
      </c>
      <c r="L624" s="479" t="str">
        <f t="shared" si="65"/>
        <v/>
      </c>
      <c r="M624" s="487" t="str">
        <f t="shared" si="66"/>
        <v/>
      </c>
      <c r="N624" s="479" t="str">
        <f t="shared" si="67"/>
        <v/>
      </c>
      <c r="O624" s="479" t="str">
        <f t="shared" si="68"/>
        <v/>
      </c>
      <c r="P624" s="479" t="str">
        <f t="shared" si="69"/>
        <v/>
      </c>
      <c r="AE624" s="493"/>
    </row>
    <row r="625" spans="2:31">
      <c r="B625" s="530"/>
      <c r="C625" s="489"/>
      <c r="D625" s="489"/>
      <c r="E625" s="489"/>
      <c r="F625" s="489"/>
      <c r="G625" s="489"/>
      <c r="H625" s="487"/>
      <c r="I625" s="522"/>
      <c r="J625" s="481"/>
      <c r="K625" s="479" t="str">
        <f t="shared" si="64"/>
        <v/>
      </c>
      <c r="L625" s="479" t="str">
        <f t="shared" si="65"/>
        <v/>
      </c>
      <c r="M625" s="487" t="str">
        <f t="shared" si="66"/>
        <v/>
      </c>
      <c r="N625" s="479" t="str">
        <f t="shared" si="67"/>
        <v/>
      </c>
      <c r="O625" s="479" t="str">
        <f t="shared" si="68"/>
        <v/>
      </c>
      <c r="P625" s="479" t="str">
        <f t="shared" si="69"/>
        <v/>
      </c>
      <c r="V625" s="493"/>
      <c r="AE625" s="493"/>
    </row>
    <row r="626" spans="2:31">
      <c r="B626" s="530">
        <v>10000485</v>
      </c>
      <c r="C626" s="489" t="s">
        <v>10</v>
      </c>
      <c r="D626" s="489" t="s">
        <v>22</v>
      </c>
      <c r="E626" s="489" t="s">
        <v>498</v>
      </c>
      <c r="F626" s="489" t="s">
        <v>752</v>
      </c>
      <c r="G626" s="489"/>
      <c r="H626" s="487">
        <v>891831241.33000004</v>
      </c>
      <c r="I626" s="522">
        <v>43008</v>
      </c>
      <c r="J626" s="481">
        <f t="shared" si="70"/>
        <v>1363</v>
      </c>
      <c r="K626" s="479" t="str">
        <f t="shared" si="64"/>
        <v/>
      </c>
      <c r="L626" s="479" t="str">
        <f t="shared" si="65"/>
        <v/>
      </c>
      <c r="M626" s="487" t="str">
        <f t="shared" si="66"/>
        <v/>
      </c>
      <c r="N626" s="479" t="str">
        <f t="shared" si="67"/>
        <v/>
      </c>
      <c r="O626" s="479" t="str">
        <f t="shared" si="68"/>
        <v/>
      </c>
      <c r="P626" s="479">
        <f t="shared" si="69"/>
        <v>891831241.33000004</v>
      </c>
      <c r="AE626" s="493"/>
    </row>
    <row r="627" spans="2:31">
      <c r="B627" s="530">
        <v>10000485</v>
      </c>
      <c r="C627" s="489" t="s">
        <v>10</v>
      </c>
      <c r="D627" s="489" t="s">
        <v>22</v>
      </c>
      <c r="E627" s="489" t="s">
        <v>564</v>
      </c>
      <c r="F627" s="489" t="s">
        <v>754</v>
      </c>
      <c r="G627" s="489"/>
      <c r="H627" s="487">
        <v>1137317209.52</v>
      </c>
      <c r="I627" s="522">
        <v>43038</v>
      </c>
      <c r="J627" s="481">
        <f t="shared" si="70"/>
        <v>1333</v>
      </c>
      <c r="K627" s="479" t="str">
        <f t="shared" si="64"/>
        <v/>
      </c>
      <c r="L627" s="479" t="str">
        <f t="shared" si="65"/>
        <v/>
      </c>
      <c r="M627" s="487" t="str">
        <f t="shared" si="66"/>
        <v/>
      </c>
      <c r="N627" s="479" t="str">
        <f t="shared" si="67"/>
        <v/>
      </c>
      <c r="O627" s="479" t="str">
        <f t="shared" si="68"/>
        <v/>
      </c>
      <c r="P627" s="479">
        <f t="shared" si="69"/>
        <v>1137317209.52</v>
      </c>
      <c r="AE627" s="493"/>
    </row>
    <row r="628" spans="2:31">
      <c r="B628" s="530">
        <v>10000485</v>
      </c>
      <c r="C628" s="489" t="s">
        <v>10</v>
      </c>
      <c r="D628" s="489" t="s">
        <v>22</v>
      </c>
      <c r="E628" s="489" t="s">
        <v>500</v>
      </c>
      <c r="F628" s="489" t="s">
        <v>756</v>
      </c>
      <c r="G628" s="489"/>
      <c r="H628" s="487">
        <v>924459293.74000001</v>
      </c>
      <c r="I628" s="522">
        <v>43069</v>
      </c>
      <c r="J628" s="481">
        <f t="shared" si="70"/>
        <v>1302</v>
      </c>
      <c r="K628" s="479" t="str">
        <f t="shared" si="64"/>
        <v/>
      </c>
      <c r="L628" s="479" t="str">
        <f t="shared" si="65"/>
        <v/>
      </c>
      <c r="M628" s="487" t="str">
        <f t="shared" si="66"/>
        <v/>
      </c>
      <c r="N628" s="479" t="str">
        <f t="shared" si="67"/>
        <v/>
      </c>
      <c r="O628" s="479" t="str">
        <f t="shared" si="68"/>
        <v/>
      </c>
      <c r="P628" s="479">
        <f t="shared" si="69"/>
        <v>924459293.74000001</v>
      </c>
      <c r="AE628" s="493"/>
    </row>
    <row r="629" spans="2:31">
      <c r="B629" s="530">
        <v>10000485</v>
      </c>
      <c r="C629" s="489" t="s">
        <v>10</v>
      </c>
      <c r="D629" s="489" t="s">
        <v>22</v>
      </c>
      <c r="E629" s="489" t="s">
        <v>501</v>
      </c>
      <c r="F629" s="489" t="s">
        <v>759</v>
      </c>
      <c r="G629" s="489"/>
      <c r="H629" s="487">
        <v>1255419546.0999999</v>
      </c>
      <c r="I629" s="522">
        <v>43115</v>
      </c>
      <c r="J629" s="481">
        <f t="shared" si="70"/>
        <v>1256</v>
      </c>
      <c r="K629" s="479" t="str">
        <f t="shared" si="64"/>
        <v/>
      </c>
      <c r="L629" s="479" t="str">
        <f t="shared" si="65"/>
        <v/>
      </c>
      <c r="M629" s="487" t="str">
        <f t="shared" si="66"/>
        <v/>
      </c>
      <c r="N629" s="479" t="str">
        <f t="shared" si="67"/>
        <v/>
      </c>
      <c r="O629" s="479" t="str">
        <f t="shared" si="68"/>
        <v/>
      </c>
      <c r="P629" s="479">
        <f t="shared" si="69"/>
        <v>1255419546.0999999</v>
      </c>
      <c r="V629" s="493"/>
      <c r="AE629" s="493"/>
    </row>
    <row r="630" spans="2:31">
      <c r="B630" s="530">
        <v>10000485</v>
      </c>
      <c r="C630" s="489" t="s">
        <v>10</v>
      </c>
      <c r="D630" s="489" t="s">
        <v>22</v>
      </c>
      <c r="E630" s="489" t="s">
        <v>504</v>
      </c>
      <c r="F630" s="489" t="s">
        <v>760</v>
      </c>
      <c r="G630" s="489"/>
      <c r="H630" s="487">
        <v>1354306014.99</v>
      </c>
      <c r="I630" s="522">
        <v>43141</v>
      </c>
      <c r="J630" s="481">
        <f t="shared" si="70"/>
        <v>1230</v>
      </c>
      <c r="K630" s="479" t="str">
        <f t="shared" si="64"/>
        <v/>
      </c>
      <c r="L630" s="479" t="str">
        <f t="shared" si="65"/>
        <v/>
      </c>
      <c r="M630" s="487" t="str">
        <f t="shared" si="66"/>
        <v/>
      </c>
      <c r="N630" s="479" t="str">
        <f t="shared" si="67"/>
        <v/>
      </c>
      <c r="O630" s="479" t="str">
        <f t="shared" si="68"/>
        <v/>
      </c>
      <c r="P630" s="479">
        <f t="shared" si="69"/>
        <v>1354306014.99</v>
      </c>
      <c r="AE630" s="493"/>
    </row>
    <row r="631" spans="2:31">
      <c r="B631" s="530">
        <v>10000485</v>
      </c>
      <c r="C631" s="489" t="s">
        <v>10</v>
      </c>
      <c r="D631" s="489" t="s">
        <v>22</v>
      </c>
      <c r="E631" s="489" t="s">
        <v>506</v>
      </c>
      <c r="F631" s="489" t="s">
        <v>761</v>
      </c>
      <c r="G631" s="489"/>
      <c r="H631" s="487">
        <f>248146824.24+266092816.86</f>
        <v>514239641.10000002</v>
      </c>
      <c r="I631" s="522">
        <v>43184</v>
      </c>
      <c r="J631" s="481">
        <f t="shared" si="70"/>
        <v>1187</v>
      </c>
      <c r="K631" s="479" t="str">
        <f t="shared" si="64"/>
        <v/>
      </c>
      <c r="L631" s="479" t="str">
        <f t="shared" si="65"/>
        <v/>
      </c>
      <c r="M631" s="487" t="str">
        <f t="shared" si="66"/>
        <v/>
      </c>
      <c r="N631" s="479" t="str">
        <f t="shared" si="67"/>
        <v/>
      </c>
      <c r="O631" s="479" t="str">
        <f t="shared" si="68"/>
        <v/>
      </c>
      <c r="P631" s="479">
        <f t="shared" si="69"/>
        <v>514239641.10000002</v>
      </c>
      <c r="AE631" s="493"/>
    </row>
    <row r="632" spans="2:31">
      <c r="B632" s="530">
        <v>10000485</v>
      </c>
      <c r="C632" s="489" t="s">
        <v>10</v>
      </c>
      <c r="D632" s="489" t="s">
        <v>22</v>
      </c>
      <c r="E632" s="489" t="s">
        <v>508</v>
      </c>
      <c r="F632" s="489" t="s">
        <v>763</v>
      </c>
      <c r="G632" s="489"/>
      <c r="H632" s="487">
        <v>1360277740.4100001</v>
      </c>
      <c r="I632" s="522">
        <v>43205</v>
      </c>
      <c r="J632" s="481">
        <f t="shared" si="70"/>
        <v>1166</v>
      </c>
      <c r="K632" s="479" t="str">
        <f t="shared" si="64"/>
        <v/>
      </c>
      <c r="L632" s="479" t="str">
        <f t="shared" si="65"/>
        <v/>
      </c>
      <c r="M632" s="487" t="str">
        <f t="shared" si="66"/>
        <v/>
      </c>
      <c r="N632" s="479" t="str">
        <f t="shared" si="67"/>
        <v/>
      </c>
      <c r="O632" s="479" t="str">
        <f t="shared" si="68"/>
        <v/>
      </c>
      <c r="P632" s="479">
        <f t="shared" si="69"/>
        <v>1360277740.4100001</v>
      </c>
      <c r="AE632" s="493"/>
    </row>
    <row r="633" spans="2:31">
      <c r="B633" s="530">
        <v>10000485</v>
      </c>
      <c r="C633" s="489" t="s">
        <v>10</v>
      </c>
      <c r="D633" s="489" t="s">
        <v>22</v>
      </c>
      <c r="E633" s="489" t="s">
        <v>355</v>
      </c>
      <c r="F633" s="489" t="s">
        <v>765</v>
      </c>
      <c r="G633" s="489"/>
      <c r="H633" s="487">
        <v>113200150.04872276</v>
      </c>
      <c r="I633" s="522">
        <v>43240</v>
      </c>
      <c r="J633" s="481">
        <f t="shared" si="70"/>
        <v>1131</v>
      </c>
      <c r="K633" s="479" t="str">
        <f t="shared" si="64"/>
        <v/>
      </c>
      <c r="L633" s="479" t="str">
        <f t="shared" si="65"/>
        <v/>
      </c>
      <c r="M633" s="487" t="str">
        <f t="shared" si="66"/>
        <v/>
      </c>
      <c r="N633" s="479" t="str">
        <f t="shared" si="67"/>
        <v/>
      </c>
      <c r="O633" s="479" t="str">
        <f t="shared" si="68"/>
        <v/>
      </c>
      <c r="P633" s="479">
        <f t="shared" si="69"/>
        <v>113200150.04872276</v>
      </c>
      <c r="V633" s="493"/>
      <c r="AE633" s="493"/>
    </row>
    <row r="634" spans="2:31">
      <c r="B634" s="530">
        <v>10000485</v>
      </c>
      <c r="C634" s="489" t="s">
        <v>10</v>
      </c>
      <c r="D634" s="489" t="s">
        <v>22</v>
      </c>
      <c r="E634" s="489" t="s">
        <v>234</v>
      </c>
      <c r="F634" s="489" t="s">
        <v>1756</v>
      </c>
      <c r="G634" s="489"/>
      <c r="H634" s="487">
        <v>671872997.21866989</v>
      </c>
      <c r="I634" s="522">
        <v>43271</v>
      </c>
      <c r="J634" s="481">
        <f t="shared" si="70"/>
        <v>1100</v>
      </c>
      <c r="K634" s="479" t="str">
        <f t="shared" si="64"/>
        <v/>
      </c>
      <c r="L634" s="479" t="str">
        <f t="shared" si="65"/>
        <v/>
      </c>
      <c r="M634" s="487" t="str">
        <f t="shared" si="66"/>
        <v/>
      </c>
      <c r="N634" s="479" t="str">
        <f t="shared" si="67"/>
        <v/>
      </c>
      <c r="O634" s="479" t="str">
        <f t="shared" si="68"/>
        <v/>
      </c>
      <c r="P634" s="479">
        <f t="shared" si="69"/>
        <v>671872997.21866989</v>
      </c>
      <c r="AE634" s="493"/>
    </row>
    <row r="635" spans="2:31">
      <c r="B635" s="530">
        <v>10000485</v>
      </c>
      <c r="C635" s="489" t="s">
        <v>10</v>
      </c>
      <c r="D635" s="489" t="s">
        <v>22</v>
      </c>
      <c r="E635" s="489" t="s">
        <v>416</v>
      </c>
      <c r="F635" s="489" t="s">
        <v>2178</v>
      </c>
      <c r="G635" s="489"/>
      <c r="H635" s="487">
        <v>362041103.49363387</v>
      </c>
      <c r="I635" s="522">
        <v>43301</v>
      </c>
      <c r="J635" s="481">
        <f t="shared" si="70"/>
        <v>1070</v>
      </c>
      <c r="K635" s="479" t="str">
        <f t="shared" si="64"/>
        <v/>
      </c>
      <c r="L635" s="479" t="str">
        <f t="shared" si="65"/>
        <v/>
      </c>
      <c r="M635" s="487" t="str">
        <f t="shared" si="66"/>
        <v/>
      </c>
      <c r="N635" s="479" t="str">
        <f t="shared" si="67"/>
        <v/>
      </c>
      <c r="O635" s="479" t="str">
        <f t="shared" si="68"/>
        <v/>
      </c>
      <c r="P635" s="479">
        <f t="shared" si="69"/>
        <v>362041103.49363387</v>
      </c>
      <c r="AE635" s="493"/>
    </row>
    <row r="636" spans="2:31">
      <c r="B636" s="530"/>
      <c r="C636" s="489"/>
      <c r="D636" s="489"/>
      <c r="E636" s="489"/>
      <c r="F636" s="489"/>
      <c r="G636" s="489"/>
      <c r="H636" s="487"/>
      <c r="I636" s="522"/>
      <c r="J636" s="481"/>
      <c r="K636" s="479" t="str">
        <f t="shared" si="64"/>
        <v/>
      </c>
      <c r="L636" s="479" t="str">
        <f t="shared" si="65"/>
        <v/>
      </c>
      <c r="M636" s="487" t="str">
        <f t="shared" si="66"/>
        <v/>
      </c>
      <c r="N636" s="479" t="str">
        <f t="shared" si="67"/>
        <v/>
      </c>
      <c r="O636" s="479" t="str">
        <f t="shared" si="68"/>
        <v/>
      </c>
      <c r="P636" s="479" t="str">
        <f t="shared" si="69"/>
        <v/>
      </c>
      <c r="AE636" s="493"/>
    </row>
    <row r="637" spans="2:31">
      <c r="B637" s="530"/>
      <c r="C637" s="489"/>
      <c r="D637" s="489"/>
      <c r="E637" s="489"/>
      <c r="F637" s="489"/>
      <c r="G637" s="489"/>
      <c r="H637" s="487"/>
      <c r="I637" s="522"/>
      <c r="J637" s="481"/>
      <c r="K637" s="479" t="str">
        <f t="shared" si="64"/>
        <v/>
      </c>
      <c r="L637" s="479" t="str">
        <f t="shared" si="65"/>
        <v/>
      </c>
      <c r="M637" s="487" t="str">
        <f t="shared" si="66"/>
        <v/>
      </c>
      <c r="N637" s="479" t="str">
        <f t="shared" si="67"/>
        <v/>
      </c>
      <c r="O637" s="479" t="str">
        <f t="shared" si="68"/>
        <v/>
      </c>
      <c r="P637" s="479" t="str">
        <f t="shared" si="69"/>
        <v/>
      </c>
      <c r="V637" s="493"/>
      <c r="AE637" s="493"/>
    </row>
    <row r="638" spans="2:31">
      <c r="B638" s="530"/>
      <c r="C638" s="489"/>
      <c r="D638" s="489"/>
      <c r="E638" s="489"/>
      <c r="F638" s="489"/>
      <c r="G638" s="489"/>
      <c r="H638" s="487"/>
      <c r="I638" s="522"/>
      <c r="J638" s="481"/>
      <c r="K638" s="479" t="str">
        <f t="shared" si="64"/>
        <v/>
      </c>
      <c r="L638" s="479" t="str">
        <f t="shared" si="65"/>
        <v/>
      </c>
      <c r="M638" s="487" t="str">
        <f t="shared" si="66"/>
        <v/>
      </c>
      <c r="N638" s="479" t="str">
        <f t="shared" si="67"/>
        <v/>
      </c>
      <c r="O638" s="479" t="str">
        <f t="shared" si="68"/>
        <v/>
      </c>
      <c r="P638" s="479" t="str">
        <f t="shared" si="69"/>
        <v/>
      </c>
      <c r="AE638" s="493"/>
    </row>
    <row r="639" spans="2:31">
      <c r="B639" s="530"/>
      <c r="C639" s="489"/>
      <c r="D639" s="489"/>
      <c r="E639" s="489"/>
      <c r="F639" s="489"/>
      <c r="G639" s="489"/>
      <c r="H639" s="487"/>
      <c r="I639" s="522"/>
      <c r="J639" s="481"/>
      <c r="K639" s="479" t="str">
        <f t="shared" si="64"/>
        <v/>
      </c>
      <c r="L639" s="479" t="str">
        <f t="shared" si="65"/>
        <v/>
      </c>
      <c r="M639" s="487" t="str">
        <f t="shared" si="66"/>
        <v/>
      </c>
      <c r="N639" s="479" t="str">
        <f t="shared" si="67"/>
        <v/>
      </c>
      <c r="O639" s="479" t="str">
        <f t="shared" si="68"/>
        <v/>
      </c>
      <c r="P639" s="479" t="str">
        <f t="shared" si="69"/>
        <v/>
      </c>
      <c r="AE639" s="493"/>
    </row>
    <row r="640" spans="2:31">
      <c r="B640" s="530">
        <v>10000584</v>
      </c>
      <c r="C640" s="489" t="s">
        <v>10</v>
      </c>
      <c r="D640" s="489" t="s">
        <v>23</v>
      </c>
      <c r="E640" s="489" t="s">
        <v>508</v>
      </c>
      <c r="F640" s="489" t="s">
        <v>741</v>
      </c>
      <c r="G640" s="489"/>
      <c r="H640" s="487">
        <v>1196512784.9955001</v>
      </c>
      <c r="I640" s="522">
        <v>43205</v>
      </c>
      <c r="J640" s="481">
        <f t="shared" si="70"/>
        <v>1166</v>
      </c>
      <c r="K640" s="479" t="str">
        <f t="shared" si="64"/>
        <v/>
      </c>
      <c r="L640" s="479" t="str">
        <f t="shared" si="65"/>
        <v/>
      </c>
      <c r="M640" s="487" t="str">
        <f t="shared" si="66"/>
        <v/>
      </c>
      <c r="N640" s="479" t="str">
        <f t="shared" si="67"/>
        <v/>
      </c>
      <c r="O640" s="479" t="str">
        <f t="shared" si="68"/>
        <v/>
      </c>
      <c r="P640" s="479">
        <f t="shared" si="69"/>
        <v>1196512784.9955001</v>
      </c>
      <c r="AE640" s="493"/>
    </row>
    <row r="641" spans="2:31">
      <c r="B641" s="530">
        <v>10000584</v>
      </c>
      <c r="C641" s="489" t="s">
        <v>10</v>
      </c>
      <c r="D641" s="489" t="s">
        <v>23</v>
      </c>
      <c r="E641" s="489" t="s">
        <v>355</v>
      </c>
      <c r="F641" s="489" t="s">
        <v>742</v>
      </c>
      <c r="G641" s="489"/>
      <c r="H641" s="487">
        <v>1095591242.5105724</v>
      </c>
      <c r="I641" s="522">
        <v>43250</v>
      </c>
      <c r="J641" s="481">
        <f t="shared" si="70"/>
        <v>1121</v>
      </c>
      <c r="K641" s="479" t="str">
        <f t="shared" si="64"/>
        <v/>
      </c>
      <c r="L641" s="479" t="str">
        <f t="shared" si="65"/>
        <v/>
      </c>
      <c r="M641" s="487" t="str">
        <f t="shared" si="66"/>
        <v/>
      </c>
      <c r="N641" s="479" t="str">
        <f t="shared" si="67"/>
        <v/>
      </c>
      <c r="O641" s="479" t="str">
        <f t="shared" si="68"/>
        <v/>
      </c>
      <c r="P641" s="479">
        <f t="shared" si="69"/>
        <v>1095591242.5105724</v>
      </c>
      <c r="V641" s="493"/>
      <c r="AE641" s="493"/>
    </row>
    <row r="642" spans="2:31">
      <c r="B642" s="530">
        <v>10000584</v>
      </c>
      <c r="C642" s="489" t="s">
        <v>10</v>
      </c>
      <c r="D642" s="489" t="s">
        <v>23</v>
      </c>
      <c r="E642" s="489" t="s">
        <v>234</v>
      </c>
      <c r="F642" s="489" t="s">
        <v>744</v>
      </c>
      <c r="G642" s="489"/>
      <c r="H642" s="487">
        <v>883260542.73665249</v>
      </c>
      <c r="I642" s="522">
        <v>43271</v>
      </c>
      <c r="J642" s="481">
        <f t="shared" si="70"/>
        <v>1100</v>
      </c>
      <c r="K642" s="479" t="str">
        <f t="shared" si="64"/>
        <v/>
      </c>
      <c r="L642" s="479" t="str">
        <f t="shared" si="65"/>
        <v/>
      </c>
      <c r="M642" s="487" t="str">
        <f t="shared" si="66"/>
        <v/>
      </c>
      <c r="N642" s="479" t="str">
        <f t="shared" si="67"/>
        <v/>
      </c>
      <c r="O642" s="479" t="str">
        <f t="shared" si="68"/>
        <v/>
      </c>
      <c r="P642" s="479">
        <f t="shared" si="69"/>
        <v>883260542.73665249</v>
      </c>
      <c r="AE642" s="493"/>
    </row>
    <row r="643" spans="2:31">
      <c r="B643" s="530">
        <v>10000584</v>
      </c>
      <c r="C643" s="489" t="s">
        <v>10</v>
      </c>
      <c r="D643" s="489" t="s">
        <v>23</v>
      </c>
      <c r="E643" s="489" t="s">
        <v>416</v>
      </c>
      <c r="F643" s="489" t="s">
        <v>2195</v>
      </c>
      <c r="G643" s="489"/>
      <c r="H643" s="487">
        <v>879863496.206478</v>
      </c>
      <c r="I643" s="522">
        <v>43301</v>
      </c>
      <c r="J643" s="481">
        <f t="shared" si="70"/>
        <v>1070</v>
      </c>
      <c r="K643" s="479" t="str">
        <f t="shared" si="64"/>
        <v/>
      </c>
      <c r="L643" s="479" t="str">
        <f t="shared" si="65"/>
        <v/>
      </c>
      <c r="M643" s="487" t="str">
        <f t="shared" si="66"/>
        <v/>
      </c>
      <c r="N643" s="479" t="str">
        <f t="shared" si="67"/>
        <v/>
      </c>
      <c r="O643" s="479" t="str">
        <f t="shared" si="68"/>
        <v/>
      </c>
      <c r="P643" s="479">
        <f t="shared" si="69"/>
        <v>879863496.206478</v>
      </c>
      <c r="AE643" s="493"/>
    </row>
    <row r="644" spans="2:31">
      <c r="B644" s="530">
        <v>10000584</v>
      </c>
      <c r="C644" s="489" t="s">
        <v>10</v>
      </c>
      <c r="D644" s="489" t="s">
        <v>23</v>
      </c>
      <c r="E644" s="489" t="s">
        <v>238</v>
      </c>
      <c r="F644" s="489" t="s">
        <v>746</v>
      </c>
      <c r="G644" s="489"/>
      <c r="H644" s="487">
        <v>790824275.24738395</v>
      </c>
      <c r="I644" s="522">
        <v>43340</v>
      </c>
      <c r="J644" s="481">
        <f t="shared" si="70"/>
        <v>1031</v>
      </c>
      <c r="K644" s="479" t="str">
        <f t="shared" si="64"/>
        <v/>
      </c>
      <c r="L644" s="479" t="str">
        <f t="shared" si="65"/>
        <v/>
      </c>
      <c r="M644" s="487" t="str">
        <f t="shared" si="66"/>
        <v/>
      </c>
      <c r="N644" s="479" t="str">
        <f t="shared" si="67"/>
        <v/>
      </c>
      <c r="O644" s="479" t="str">
        <f t="shared" si="68"/>
        <v/>
      </c>
      <c r="P644" s="479">
        <f t="shared" si="69"/>
        <v>790824275.24738395</v>
      </c>
      <c r="AE644" s="493"/>
    </row>
    <row r="645" spans="2:31">
      <c r="B645" s="530">
        <v>10000584</v>
      </c>
      <c r="C645" s="489" t="s">
        <v>10</v>
      </c>
      <c r="D645" s="489" t="s">
        <v>23</v>
      </c>
      <c r="E645" s="489" t="s">
        <v>517</v>
      </c>
      <c r="F645" s="489" t="s">
        <v>2196</v>
      </c>
      <c r="G645" s="489"/>
      <c r="H645" s="487">
        <v>907186440.12780011</v>
      </c>
      <c r="I645" s="522">
        <v>43371</v>
      </c>
      <c r="J645" s="481">
        <f t="shared" si="70"/>
        <v>1000</v>
      </c>
      <c r="K645" s="479" t="str">
        <f t="shared" si="64"/>
        <v/>
      </c>
      <c r="L645" s="479" t="str">
        <f t="shared" si="65"/>
        <v/>
      </c>
      <c r="M645" s="487" t="str">
        <f t="shared" si="66"/>
        <v/>
      </c>
      <c r="N645" s="479" t="str">
        <f t="shared" si="67"/>
        <v/>
      </c>
      <c r="O645" s="479" t="str">
        <f t="shared" si="68"/>
        <v/>
      </c>
      <c r="P645" s="479">
        <f t="shared" si="69"/>
        <v>907186440.12780011</v>
      </c>
      <c r="V645" s="493"/>
      <c r="AE645" s="493"/>
    </row>
    <row r="646" spans="2:31">
      <c r="B646" s="530">
        <v>10000584</v>
      </c>
      <c r="C646" s="489" t="s">
        <v>10</v>
      </c>
      <c r="D646" s="489" t="s">
        <v>23</v>
      </c>
      <c r="E646" s="489" t="s">
        <v>243</v>
      </c>
      <c r="F646" s="489" t="s">
        <v>678</v>
      </c>
      <c r="G646" s="489"/>
      <c r="H646" s="487">
        <v>693768393.48673511</v>
      </c>
      <c r="I646" s="522">
        <v>43401</v>
      </c>
      <c r="J646" s="481">
        <f t="shared" si="70"/>
        <v>970</v>
      </c>
      <c r="K646" s="479" t="str">
        <f t="shared" si="64"/>
        <v/>
      </c>
      <c r="L646" s="479" t="str">
        <f t="shared" si="65"/>
        <v/>
      </c>
      <c r="M646" s="487" t="str">
        <f t="shared" si="66"/>
        <v/>
      </c>
      <c r="N646" s="479" t="str">
        <f t="shared" si="67"/>
        <v/>
      </c>
      <c r="O646" s="479" t="str">
        <f t="shared" si="68"/>
        <v/>
      </c>
      <c r="P646" s="479">
        <f t="shared" si="69"/>
        <v>693768393.48673511</v>
      </c>
      <c r="AE646" s="493"/>
    </row>
    <row r="647" spans="2:31">
      <c r="B647" s="530">
        <v>10000584</v>
      </c>
      <c r="C647" s="489" t="s">
        <v>10</v>
      </c>
      <c r="D647" s="489" t="s">
        <v>23</v>
      </c>
      <c r="E647" s="489" t="s">
        <v>246</v>
      </c>
      <c r="F647" s="489" t="s">
        <v>1768</v>
      </c>
      <c r="G647" s="489"/>
      <c r="H647" s="487">
        <v>570481706.41232407</v>
      </c>
      <c r="I647" s="522">
        <v>43424</v>
      </c>
      <c r="J647" s="481">
        <f t="shared" si="70"/>
        <v>947</v>
      </c>
      <c r="K647" s="479" t="str">
        <f t="shared" ref="K647:K710" si="71">IF(AND(J647&gt;=16,J647&lt;=30),H647,"")</f>
        <v/>
      </c>
      <c r="L647" s="479" t="str">
        <f t="shared" ref="L647:L710" si="72">IF(AND(J647&gt;=31,J647&lt;=60),H647,"")</f>
        <v/>
      </c>
      <c r="M647" s="487" t="str">
        <f t="shared" ref="M647:M710" si="73">IF(AND(J647&gt;=61,J647&lt;=90),H647,"")</f>
        <v/>
      </c>
      <c r="N647" s="479" t="str">
        <f t="shared" ref="N647:N710" si="74">IF(AND(J647&gt;=91,J647&lt;=180),H647,"")</f>
        <v/>
      </c>
      <c r="O647" s="479" t="str">
        <f t="shared" ref="O647:O710" si="75">IF(AND(J647&gt;=181,J647&lt;=360),H647,"")</f>
        <v/>
      </c>
      <c r="P647" s="479">
        <f t="shared" ref="P647:P710" si="76">IF(J647&gt;=360,H647,"")</f>
        <v>570481706.41232407</v>
      </c>
      <c r="AE647" s="493"/>
    </row>
    <row r="648" spans="2:31">
      <c r="B648" s="530">
        <v>10000584</v>
      </c>
      <c r="C648" s="489" t="s">
        <v>10</v>
      </c>
      <c r="D648" s="489" t="s">
        <v>23</v>
      </c>
      <c r="E648" s="489" t="s">
        <v>522</v>
      </c>
      <c r="F648" s="489" t="s">
        <v>1769</v>
      </c>
      <c r="G648" s="489"/>
      <c r="H648" s="487">
        <v>668730412.8156749</v>
      </c>
      <c r="I648" s="522">
        <v>43454</v>
      </c>
      <c r="J648" s="481">
        <f t="shared" ref="J648:J711" si="77">DATEDIF(I648,$J$4,"D")</f>
        <v>917</v>
      </c>
      <c r="K648" s="479" t="str">
        <f t="shared" si="71"/>
        <v/>
      </c>
      <c r="L648" s="479" t="str">
        <f t="shared" si="72"/>
        <v/>
      </c>
      <c r="M648" s="487" t="str">
        <f t="shared" si="73"/>
        <v/>
      </c>
      <c r="N648" s="479" t="str">
        <f t="shared" si="74"/>
        <v/>
      </c>
      <c r="O648" s="479" t="str">
        <f t="shared" si="75"/>
        <v/>
      </c>
      <c r="P648" s="479">
        <f t="shared" si="76"/>
        <v>668730412.8156749</v>
      </c>
      <c r="AE648" s="493"/>
    </row>
    <row r="649" spans="2:31">
      <c r="B649" s="530">
        <v>10000584</v>
      </c>
      <c r="C649" s="489" t="s">
        <v>10</v>
      </c>
      <c r="D649" s="489" t="s">
        <v>23</v>
      </c>
      <c r="E649" s="489" t="s">
        <v>250</v>
      </c>
      <c r="F649" s="489" t="s">
        <v>255</v>
      </c>
      <c r="G649" s="489"/>
      <c r="H649" s="487">
        <f>918818953.74-444866779.87</f>
        <v>473952173.87</v>
      </c>
      <c r="I649" s="522">
        <v>43485</v>
      </c>
      <c r="J649" s="481">
        <f t="shared" si="77"/>
        <v>886</v>
      </c>
      <c r="K649" s="479" t="str">
        <f t="shared" si="71"/>
        <v/>
      </c>
      <c r="L649" s="479" t="str">
        <f t="shared" si="72"/>
        <v/>
      </c>
      <c r="M649" s="487" t="str">
        <f t="shared" si="73"/>
        <v/>
      </c>
      <c r="N649" s="479" t="str">
        <f t="shared" si="74"/>
        <v/>
      </c>
      <c r="O649" s="479" t="str">
        <f t="shared" si="75"/>
        <v/>
      </c>
      <c r="P649" s="479">
        <f t="shared" si="76"/>
        <v>473952173.87</v>
      </c>
      <c r="V649" s="493"/>
      <c r="AE649" s="493"/>
    </row>
    <row r="650" spans="2:31">
      <c r="B650" s="530">
        <v>10000584</v>
      </c>
      <c r="C650" s="489" t="s">
        <v>10</v>
      </c>
      <c r="D650" s="489" t="s">
        <v>23</v>
      </c>
      <c r="E650" s="489" t="s">
        <v>139</v>
      </c>
      <c r="F650" s="489" t="s">
        <v>258</v>
      </c>
      <c r="G650" s="489"/>
      <c r="H650" s="487">
        <v>667922265.21000004</v>
      </c>
      <c r="I650" s="522">
        <v>43516</v>
      </c>
      <c r="J650" s="481">
        <f t="shared" si="77"/>
        <v>855</v>
      </c>
      <c r="K650" s="479" t="str">
        <f t="shared" si="71"/>
        <v/>
      </c>
      <c r="L650" s="479" t="str">
        <f t="shared" si="72"/>
        <v/>
      </c>
      <c r="M650" s="487" t="str">
        <f t="shared" si="73"/>
        <v/>
      </c>
      <c r="N650" s="479" t="str">
        <f t="shared" si="74"/>
        <v/>
      </c>
      <c r="O650" s="479" t="str">
        <f t="shared" si="75"/>
        <v/>
      </c>
      <c r="P650" s="479">
        <f t="shared" si="76"/>
        <v>667922265.21000004</v>
      </c>
      <c r="AE650" s="493"/>
    </row>
    <row r="651" spans="2:31">
      <c r="B651" s="530">
        <v>10000584</v>
      </c>
      <c r="C651" s="489" t="s">
        <v>10</v>
      </c>
      <c r="D651" s="489" t="s">
        <v>23</v>
      </c>
      <c r="E651" s="489" t="s">
        <v>142</v>
      </c>
      <c r="F651" s="489" t="s">
        <v>263</v>
      </c>
      <c r="G651" s="489"/>
      <c r="H651" s="487">
        <v>710254833.77620792</v>
      </c>
      <c r="I651" s="522">
        <v>43544</v>
      </c>
      <c r="J651" s="481">
        <f t="shared" si="77"/>
        <v>827</v>
      </c>
      <c r="K651" s="479" t="str">
        <f t="shared" si="71"/>
        <v/>
      </c>
      <c r="L651" s="479" t="str">
        <f t="shared" si="72"/>
        <v/>
      </c>
      <c r="M651" s="487" t="str">
        <f t="shared" si="73"/>
        <v/>
      </c>
      <c r="N651" s="479" t="str">
        <f t="shared" si="74"/>
        <v/>
      </c>
      <c r="O651" s="479" t="str">
        <f t="shared" si="75"/>
        <v/>
      </c>
      <c r="P651" s="479">
        <f t="shared" si="76"/>
        <v>710254833.77620792</v>
      </c>
      <c r="AE651" s="493"/>
    </row>
    <row r="652" spans="2:31">
      <c r="B652" s="530">
        <v>10000584</v>
      </c>
      <c r="C652" s="489" t="s">
        <v>10</v>
      </c>
      <c r="D652" s="489" t="s">
        <v>23</v>
      </c>
      <c r="E652" s="489" t="s">
        <v>145</v>
      </c>
      <c r="F652" s="489" t="s">
        <v>265</v>
      </c>
      <c r="G652" s="489"/>
      <c r="H652" s="487">
        <v>640443589.23035395</v>
      </c>
      <c r="I652" s="522">
        <v>43575</v>
      </c>
      <c r="J652" s="481">
        <f t="shared" si="77"/>
        <v>796</v>
      </c>
      <c r="K652" s="479" t="str">
        <f t="shared" si="71"/>
        <v/>
      </c>
      <c r="L652" s="479" t="str">
        <f t="shared" si="72"/>
        <v/>
      </c>
      <c r="M652" s="487" t="str">
        <f t="shared" si="73"/>
        <v/>
      </c>
      <c r="N652" s="479" t="str">
        <f t="shared" si="74"/>
        <v/>
      </c>
      <c r="O652" s="479" t="str">
        <f t="shared" si="75"/>
        <v/>
      </c>
      <c r="P652" s="479">
        <f t="shared" si="76"/>
        <v>640443589.23035395</v>
      </c>
      <c r="AE652" s="493"/>
    </row>
    <row r="653" spans="2:31">
      <c r="B653" s="530">
        <v>10000584</v>
      </c>
      <c r="C653" s="489" t="s">
        <v>10</v>
      </c>
      <c r="D653" s="489" t="s">
        <v>23</v>
      </c>
      <c r="E653" s="489" t="s">
        <v>148</v>
      </c>
      <c r="F653" s="489" t="s">
        <v>267</v>
      </c>
      <c r="G653" s="489"/>
      <c r="H653" s="487">
        <v>727593120.89100003</v>
      </c>
      <c r="I653" s="522" t="s">
        <v>2197</v>
      </c>
      <c r="J653" s="481">
        <f t="shared" si="77"/>
        <v>689</v>
      </c>
      <c r="K653" s="479" t="str">
        <f t="shared" si="71"/>
        <v/>
      </c>
      <c r="L653" s="479" t="str">
        <f t="shared" si="72"/>
        <v/>
      </c>
      <c r="M653" s="487" t="str">
        <f t="shared" si="73"/>
        <v/>
      </c>
      <c r="N653" s="479" t="str">
        <f t="shared" si="74"/>
        <v/>
      </c>
      <c r="O653" s="479" t="str">
        <f t="shared" si="75"/>
        <v/>
      </c>
      <c r="P653" s="479">
        <f t="shared" si="76"/>
        <v>727593120.89100003</v>
      </c>
      <c r="V653" s="493"/>
      <c r="AE653" s="493"/>
    </row>
    <row r="654" spans="2:31">
      <c r="B654" s="530">
        <v>10000584</v>
      </c>
      <c r="C654" s="489" t="s">
        <v>10</v>
      </c>
      <c r="D654" s="489" t="s">
        <v>23</v>
      </c>
      <c r="E654" s="489" t="s">
        <v>151</v>
      </c>
      <c r="F654" s="489" t="s">
        <v>268</v>
      </c>
      <c r="G654" s="489"/>
      <c r="H654" s="487">
        <v>700838591.33793747</v>
      </c>
      <c r="I654" s="522">
        <v>43617</v>
      </c>
      <c r="J654" s="481">
        <f t="shared" si="77"/>
        <v>754</v>
      </c>
      <c r="K654" s="479" t="str">
        <f t="shared" si="71"/>
        <v/>
      </c>
      <c r="L654" s="479" t="str">
        <f t="shared" si="72"/>
        <v/>
      </c>
      <c r="M654" s="487" t="str">
        <f t="shared" si="73"/>
        <v/>
      </c>
      <c r="N654" s="479" t="str">
        <f t="shared" si="74"/>
        <v/>
      </c>
      <c r="O654" s="479" t="str">
        <f t="shared" si="75"/>
        <v/>
      </c>
      <c r="P654" s="479">
        <f t="shared" si="76"/>
        <v>700838591.33793747</v>
      </c>
      <c r="AE654" s="493"/>
    </row>
    <row r="655" spans="2:31">
      <c r="B655" s="530">
        <v>10000584</v>
      </c>
      <c r="C655" s="489" t="s">
        <v>10</v>
      </c>
      <c r="D655" s="489" t="s">
        <v>23</v>
      </c>
      <c r="E655" s="489" t="s">
        <v>154</v>
      </c>
      <c r="F655" s="489" t="s">
        <v>122</v>
      </c>
      <c r="G655" s="489"/>
      <c r="H655" s="487">
        <v>702702922.38370347</v>
      </c>
      <c r="I655" s="522">
        <v>43647</v>
      </c>
      <c r="J655" s="481">
        <f t="shared" si="77"/>
        <v>724</v>
      </c>
      <c r="K655" s="479" t="str">
        <f t="shared" si="71"/>
        <v/>
      </c>
      <c r="L655" s="479" t="str">
        <f t="shared" si="72"/>
        <v/>
      </c>
      <c r="M655" s="487" t="str">
        <f t="shared" si="73"/>
        <v/>
      </c>
      <c r="N655" s="479" t="str">
        <f t="shared" si="74"/>
        <v/>
      </c>
      <c r="O655" s="479" t="str">
        <f t="shared" si="75"/>
        <v/>
      </c>
      <c r="P655" s="479">
        <f t="shared" si="76"/>
        <v>702702922.38370347</v>
      </c>
      <c r="AE655" s="493"/>
    </row>
    <row r="656" spans="2:31">
      <c r="B656" s="530">
        <v>10000584</v>
      </c>
      <c r="C656" s="489" t="s">
        <v>10</v>
      </c>
      <c r="D656" s="489" t="s">
        <v>23</v>
      </c>
      <c r="E656" s="489" t="s">
        <v>158</v>
      </c>
      <c r="F656" s="489" t="s">
        <v>122</v>
      </c>
      <c r="G656" s="489"/>
      <c r="H656" s="487">
        <v>688459181.66195619</v>
      </c>
      <c r="I656" s="522">
        <v>43678</v>
      </c>
      <c r="J656" s="481">
        <f t="shared" si="77"/>
        <v>693</v>
      </c>
      <c r="K656" s="479" t="str">
        <f t="shared" si="71"/>
        <v/>
      </c>
      <c r="L656" s="479" t="str">
        <f t="shared" si="72"/>
        <v/>
      </c>
      <c r="M656" s="487" t="str">
        <f t="shared" si="73"/>
        <v/>
      </c>
      <c r="N656" s="479" t="str">
        <f t="shared" si="74"/>
        <v/>
      </c>
      <c r="O656" s="479" t="str">
        <f t="shared" si="75"/>
        <v/>
      </c>
      <c r="P656" s="479">
        <f t="shared" si="76"/>
        <v>688459181.66195619</v>
      </c>
      <c r="AE656" s="493"/>
    </row>
    <row r="657" spans="2:31">
      <c r="B657" s="530">
        <v>10000584</v>
      </c>
      <c r="C657" s="489" t="s">
        <v>10</v>
      </c>
      <c r="D657" s="489" t="s">
        <v>23</v>
      </c>
      <c r="E657" s="489" t="s">
        <v>162</v>
      </c>
      <c r="F657" s="489" t="s">
        <v>122</v>
      </c>
      <c r="G657" s="489"/>
      <c r="H657" s="487">
        <v>699060527.77595997</v>
      </c>
      <c r="I657" s="522">
        <v>43712</v>
      </c>
      <c r="J657" s="481">
        <f t="shared" si="77"/>
        <v>659</v>
      </c>
      <c r="K657" s="479" t="str">
        <f t="shared" si="71"/>
        <v/>
      </c>
      <c r="L657" s="479" t="str">
        <f t="shared" si="72"/>
        <v/>
      </c>
      <c r="M657" s="487" t="str">
        <f t="shared" si="73"/>
        <v/>
      </c>
      <c r="N657" s="479" t="str">
        <f t="shared" si="74"/>
        <v/>
      </c>
      <c r="O657" s="479" t="str">
        <f t="shared" si="75"/>
        <v/>
      </c>
      <c r="P657" s="479">
        <f t="shared" si="76"/>
        <v>699060527.77595997</v>
      </c>
      <c r="V657" s="493"/>
      <c r="AE657" s="493"/>
    </row>
    <row r="658" spans="2:31">
      <c r="B658" s="530">
        <v>10000584</v>
      </c>
      <c r="C658" s="489" t="s">
        <v>10</v>
      </c>
      <c r="D658" s="489" t="s">
        <v>23</v>
      </c>
      <c r="E658" s="489" t="s">
        <v>166</v>
      </c>
      <c r="F658" s="489" t="s">
        <v>122</v>
      </c>
      <c r="G658" s="489"/>
      <c r="H658" s="487">
        <v>478544108.57967001</v>
      </c>
      <c r="I658" s="522">
        <v>43747</v>
      </c>
      <c r="J658" s="481">
        <f t="shared" si="77"/>
        <v>624</v>
      </c>
      <c r="K658" s="479" t="str">
        <f t="shared" si="71"/>
        <v/>
      </c>
      <c r="L658" s="479" t="str">
        <f t="shared" si="72"/>
        <v/>
      </c>
      <c r="M658" s="487" t="str">
        <f t="shared" si="73"/>
        <v/>
      </c>
      <c r="N658" s="479" t="str">
        <f t="shared" si="74"/>
        <v/>
      </c>
      <c r="O658" s="479" t="str">
        <f t="shared" si="75"/>
        <v/>
      </c>
      <c r="P658" s="479">
        <f t="shared" si="76"/>
        <v>478544108.57967001</v>
      </c>
      <c r="AE658" s="493"/>
    </row>
    <row r="659" spans="2:31">
      <c r="B659" s="530">
        <v>10000584</v>
      </c>
      <c r="C659" s="489" t="s">
        <v>10</v>
      </c>
      <c r="D659" s="489" t="s">
        <v>23</v>
      </c>
      <c r="E659" s="489" t="s">
        <v>170</v>
      </c>
      <c r="F659" s="489" t="s">
        <v>122</v>
      </c>
      <c r="G659" s="489"/>
      <c r="H659" s="487">
        <v>512624733.444516</v>
      </c>
      <c r="I659" s="522">
        <v>43777</v>
      </c>
      <c r="J659" s="481">
        <f t="shared" si="77"/>
        <v>594</v>
      </c>
      <c r="K659" s="479" t="str">
        <f t="shared" si="71"/>
        <v/>
      </c>
      <c r="L659" s="479" t="str">
        <f t="shared" si="72"/>
        <v/>
      </c>
      <c r="M659" s="487" t="str">
        <f t="shared" si="73"/>
        <v/>
      </c>
      <c r="N659" s="479" t="str">
        <f t="shared" si="74"/>
        <v/>
      </c>
      <c r="O659" s="479" t="str">
        <f t="shared" si="75"/>
        <v/>
      </c>
      <c r="P659" s="479">
        <f t="shared" si="76"/>
        <v>512624733.444516</v>
      </c>
      <c r="AE659" s="493"/>
    </row>
    <row r="660" spans="2:31">
      <c r="B660" s="530">
        <v>10000584</v>
      </c>
      <c r="C660" s="489" t="s">
        <v>10</v>
      </c>
      <c r="D660" s="489" t="s">
        <v>23</v>
      </c>
      <c r="E660" s="489" t="s">
        <v>174</v>
      </c>
      <c r="F660" s="489" t="s">
        <v>122</v>
      </c>
      <c r="G660" s="489"/>
      <c r="H660" s="487">
        <v>556748563.7498399</v>
      </c>
      <c r="I660" s="522">
        <v>43803</v>
      </c>
      <c r="J660" s="481">
        <f t="shared" si="77"/>
        <v>568</v>
      </c>
      <c r="K660" s="479" t="str">
        <f t="shared" si="71"/>
        <v/>
      </c>
      <c r="L660" s="479" t="str">
        <f t="shared" si="72"/>
        <v/>
      </c>
      <c r="M660" s="487" t="str">
        <f t="shared" si="73"/>
        <v/>
      </c>
      <c r="N660" s="479" t="str">
        <f t="shared" si="74"/>
        <v/>
      </c>
      <c r="O660" s="479" t="str">
        <f t="shared" si="75"/>
        <v/>
      </c>
      <c r="P660" s="479">
        <f t="shared" si="76"/>
        <v>556748563.7498399</v>
      </c>
      <c r="AE660" s="493"/>
    </row>
    <row r="661" spans="2:31">
      <c r="B661" s="530">
        <v>10000584</v>
      </c>
      <c r="C661" s="489" t="s">
        <v>10</v>
      </c>
      <c r="D661" s="489" t="s">
        <v>23</v>
      </c>
      <c r="E661" s="489" t="s">
        <v>778</v>
      </c>
      <c r="F661" s="489" t="s">
        <v>122</v>
      </c>
      <c r="G661" s="489"/>
      <c r="H661" s="487">
        <v>613018058.47330761</v>
      </c>
      <c r="I661" s="522" t="s">
        <v>179</v>
      </c>
      <c r="J661" s="481">
        <f t="shared" si="77"/>
        <v>540</v>
      </c>
      <c r="K661" s="479" t="str">
        <f t="shared" si="71"/>
        <v/>
      </c>
      <c r="L661" s="479" t="str">
        <f t="shared" si="72"/>
        <v/>
      </c>
      <c r="M661" s="487" t="str">
        <f t="shared" si="73"/>
        <v/>
      </c>
      <c r="N661" s="479" t="str">
        <f t="shared" si="74"/>
        <v/>
      </c>
      <c r="O661" s="479" t="str">
        <f t="shared" si="75"/>
        <v/>
      </c>
      <c r="P661" s="479">
        <f t="shared" si="76"/>
        <v>613018058.47330761</v>
      </c>
      <c r="V661" s="493"/>
      <c r="AE661" s="493"/>
    </row>
    <row r="662" spans="2:31">
      <c r="B662" s="530">
        <v>10000584</v>
      </c>
      <c r="C662" s="489" t="s">
        <v>10</v>
      </c>
      <c r="D662" s="489" t="s">
        <v>23</v>
      </c>
      <c r="E662" s="489" t="s">
        <v>1566</v>
      </c>
      <c r="F662" s="489" t="s">
        <v>122</v>
      </c>
      <c r="G662" s="489"/>
      <c r="H662" s="487">
        <v>432349282.26786447</v>
      </c>
      <c r="I662" s="522">
        <v>43865</v>
      </c>
      <c r="J662" s="481">
        <f t="shared" si="77"/>
        <v>506</v>
      </c>
      <c r="K662" s="479" t="str">
        <f t="shared" si="71"/>
        <v/>
      </c>
      <c r="L662" s="479" t="str">
        <f t="shared" si="72"/>
        <v/>
      </c>
      <c r="M662" s="487" t="str">
        <f t="shared" si="73"/>
        <v/>
      </c>
      <c r="N662" s="479" t="str">
        <f t="shared" si="74"/>
        <v/>
      </c>
      <c r="O662" s="479" t="str">
        <f t="shared" si="75"/>
        <v/>
      </c>
      <c r="P662" s="479">
        <f t="shared" si="76"/>
        <v>432349282.26786447</v>
      </c>
      <c r="AE662" s="493"/>
    </row>
    <row r="663" spans="2:31">
      <c r="B663" s="530"/>
      <c r="C663" s="489"/>
      <c r="D663" s="489"/>
      <c r="E663" s="489"/>
      <c r="F663" s="489"/>
      <c r="G663" s="489"/>
      <c r="H663" s="487"/>
      <c r="I663" s="522"/>
      <c r="J663" s="481"/>
      <c r="K663" s="479" t="str">
        <f t="shared" si="71"/>
        <v/>
      </c>
      <c r="L663" s="479" t="str">
        <f t="shared" si="72"/>
        <v/>
      </c>
      <c r="M663" s="487" t="str">
        <f t="shared" si="73"/>
        <v/>
      </c>
      <c r="N663" s="479" t="str">
        <f t="shared" si="74"/>
        <v/>
      </c>
      <c r="O663" s="479" t="str">
        <f t="shared" si="75"/>
        <v/>
      </c>
      <c r="P663" s="479" t="str">
        <f t="shared" si="76"/>
        <v/>
      </c>
      <c r="AE663" s="493"/>
    </row>
    <row r="664" spans="2:31">
      <c r="B664" s="530"/>
      <c r="C664" s="489"/>
      <c r="D664" s="489"/>
      <c r="E664" s="489"/>
      <c r="F664" s="489"/>
      <c r="G664" s="489"/>
      <c r="H664" s="487"/>
      <c r="I664" s="522"/>
      <c r="J664" s="481"/>
      <c r="K664" s="479" t="str">
        <f t="shared" si="71"/>
        <v/>
      </c>
      <c r="L664" s="479" t="str">
        <f t="shared" si="72"/>
        <v/>
      </c>
      <c r="M664" s="487" t="str">
        <f t="shared" si="73"/>
        <v/>
      </c>
      <c r="N664" s="479" t="str">
        <f t="shared" si="74"/>
        <v/>
      </c>
      <c r="O664" s="479" t="str">
        <f t="shared" si="75"/>
        <v/>
      </c>
      <c r="P664" s="479" t="str">
        <f t="shared" si="76"/>
        <v/>
      </c>
      <c r="AE664" s="493"/>
    </row>
    <row r="665" spans="2:31">
      <c r="B665" s="530"/>
      <c r="C665" s="489"/>
      <c r="D665" s="489"/>
      <c r="E665" s="489"/>
      <c r="F665" s="489"/>
      <c r="G665" s="489"/>
      <c r="H665" s="487"/>
      <c r="I665" s="522"/>
      <c r="J665" s="481"/>
      <c r="K665" s="479" t="str">
        <f t="shared" si="71"/>
        <v/>
      </c>
      <c r="L665" s="479" t="str">
        <f t="shared" si="72"/>
        <v/>
      </c>
      <c r="M665" s="487" t="str">
        <f t="shared" si="73"/>
        <v/>
      </c>
      <c r="N665" s="479" t="str">
        <f t="shared" si="74"/>
        <v/>
      </c>
      <c r="O665" s="479" t="str">
        <f t="shared" si="75"/>
        <v/>
      </c>
      <c r="P665" s="479" t="str">
        <f t="shared" si="76"/>
        <v/>
      </c>
      <c r="V665" s="493"/>
      <c r="AE665" s="493"/>
    </row>
    <row r="666" spans="2:31">
      <c r="B666" s="530">
        <v>10000486</v>
      </c>
      <c r="C666" s="489" t="s">
        <v>10</v>
      </c>
      <c r="D666" s="489" t="s">
        <v>24</v>
      </c>
      <c r="E666" s="489" t="s">
        <v>508</v>
      </c>
      <c r="F666" s="489" t="s">
        <v>754</v>
      </c>
      <c r="G666" s="489"/>
      <c r="H666" s="487">
        <v>1309004459.3099999</v>
      </c>
      <c r="I666" s="523">
        <v>43205</v>
      </c>
      <c r="J666" s="481">
        <f t="shared" si="77"/>
        <v>1166</v>
      </c>
      <c r="K666" s="479" t="str">
        <f t="shared" si="71"/>
        <v/>
      </c>
      <c r="L666" s="479" t="str">
        <f t="shared" si="72"/>
        <v/>
      </c>
      <c r="M666" s="487" t="str">
        <f t="shared" si="73"/>
        <v/>
      </c>
      <c r="N666" s="479" t="str">
        <f t="shared" si="74"/>
        <v/>
      </c>
      <c r="O666" s="479" t="str">
        <f t="shared" si="75"/>
        <v/>
      </c>
      <c r="P666" s="479">
        <f t="shared" si="76"/>
        <v>1309004459.3099999</v>
      </c>
      <c r="AE666" s="493"/>
    </row>
    <row r="667" spans="2:31">
      <c r="B667" s="530">
        <v>10000486</v>
      </c>
      <c r="C667" s="489" t="s">
        <v>10</v>
      </c>
      <c r="D667" s="489" t="s">
        <v>24</v>
      </c>
      <c r="E667" s="489" t="s">
        <v>355</v>
      </c>
      <c r="F667" s="489" t="s">
        <v>756</v>
      </c>
      <c r="G667" s="489"/>
      <c r="H667" s="487">
        <v>1498779233.8663359</v>
      </c>
      <c r="I667" s="523">
        <v>43250</v>
      </c>
      <c r="J667" s="481">
        <f t="shared" si="77"/>
        <v>1121</v>
      </c>
      <c r="K667" s="479" t="str">
        <f t="shared" si="71"/>
        <v/>
      </c>
      <c r="L667" s="479" t="str">
        <f t="shared" si="72"/>
        <v/>
      </c>
      <c r="M667" s="487" t="str">
        <f t="shared" si="73"/>
        <v/>
      </c>
      <c r="N667" s="479" t="str">
        <f t="shared" si="74"/>
        <v/>
      </c>
      <c r="O667" s="479" t="str">
        <f t="shared" si="75"/>
        <v/>
      </c>
      <c r="P667" s="479">
        <f t="shared" si="76"/>
        <v>1498779233.8663359</v>
      </c>
      <c r="AE667" s="493"/>
    </row>
    <row r="668" spans="2:31">
      <c r="B668" s="530">
        <v>10000486</v>
      </c>
      <c r="C668" s="489" t="s">
        <v>10</v>
      </c>
      <c r="D668" s="489" t="s">
        <v>24</v>
      </c>
      <c r="E668" s="489" t="s">
        <v>234</v>
      </c>
      <c r="F668" s="489" t="s">
        <v>759</v>
      </c>
      <c r="G668" s="489"/>
      <c r="H668" s="487">
        <v>1241468119.3182936</v>
      </c>
      <c r="I668" s="523">
        <v>43266</v>
      </c>
      <c r="J668" s="481">
        <f t="shared" si="77"/>
        <v>1105</v>
      </c>
      <c r="K668" s="479" t="str">
        <f t="shared" si="71"/>
        <v/>
      </c>
      <c r="L668" s="479" t="str">
        <f t="shared" si="72"/>
        <v/>
      </c>
      <c r="M668" s="487" t="str">
        <f t="shared" si="73"/>
        <v/>
      </c>
      <c r="N668" s="479" t="str">
        <f t="shared" si="74"/>
        <v/>
      </c>
      <c r="O668" s="479" t="str">
        <f t="shared" si="75"/>
        <v/>
      </c>
      <c r="P668" s="479">
        <f t="shared" si="76"/>
        <v>1241468119.3182936</v>
      </c>
      <c r="AE668" s="493"/>
    </row>
    <row r="669" spans="2:31">
      <c r="B669" s="530">
        <v>10000486</v>
      </c>
      <c r="C669" s="489" t="s">
        <v>10</v>
      </c>
      <c r="D669" s="489" t="s">
        <v>24</v>
      </c>
      <c r="E669" s="489" t="s">
        <v>416</v>
      </c>
      <c r="F669" s="489" t="s">
        <v>760</v>
      </c>
      <c r="G669" s="489"/>
      <c r="H669" s="487">
        <v>1260266331.818176</v>
      </c>
      <c r="I669" s="523">
        <v>43296</v>
      </c>
      <c r="J669" s="481">
        <f t="shared" si="77"/>
        <v>1075</v>
      </c>
      <c r="K669" s="479" t="str">
        <f t="shared" si="71"/>
        <v/>
      </c>
      <c r="L669" s="479" t="str">
        <f t="shared" si="72"/>
        <v/>
      </c>
      <c r="M669" s="487" t="str">
        <f t="shared" si="73"/>
        <v/>
      </c>
      <c r="N669" s="479" t="str">
        <f t="shared" si="74"/>
        <v/>
      </c>
      <c r="O669" s="479" t="str">
        <f t="shared" si="75"/>
        <v/>
      </c>
      <c r="P669" s="479">
        <f t="shared" si="76"/>
        <v>1260266331.818176</v>
      </c>
      <c r="V669" s="493"/>
      <c r="AE669" s="493"/>
    </row>
    <row r="670" spans="2:31">
      <c r="B670" s="530">
        <v>10000486</v>
      </c>
      <c r="C670" s="489" t="s">
        <v>10</v>
      </c>
      <c r="D670" s="489" t="s">
        <v>24</v>
      </c>
      <c r="E670" s="489" t="s">
        <v>238</v>
      </c>
      <c r="F670" s="489" t="s">
        <v>761</v>
      </c>
      <c r="G670" s="489"/>
      <c r="H670" s="487">
        <v>828565022.70753014</v>
      </c>
      <c r="I670" s="523">
        <v>43340</v>
      </c>
      <c r="J670" s="481">
        <f t="shared" si="77"/>
        <v>1031</v>
      </c>
      <c r="K670" s="479" t="str">
        <f t="shared" si="71"/>
        <v/>
      </c>
      <c r="L670" s="479" t="str">
        <f t="shared" si="72"/>
        <v/>
      </c>
      <c r="M670" s="487" t="str">
        <f t="shared" si="73"/>
        <v/>
      </c>
      <c r="N670" s="479" t="str">
        <f t="shared" si="74"/>
        <v/>
      </c>
      <c r="O670" s="479" t="str">
        <f t="shared" si="75"/>
        <v/>
      </c>
      <c r="P670" s="479">
        <f t="shared" si="76"/>
        <v>828565022.70753014</v>
      </c>
      <c r="AE670" s="493"/>
    </row>
    <row r="671" spans="2:31">
      <c r="B671" s="530">
        <v>10000486</v>
      </c>
      <c r="C671" s="489" t="s">
        <v>10</v>
      </c>
      <c r="D671" s="489" t="s">
        <v>24</v>
      </c>
      <c r="E671" s="489" t="s">
        <v>517</v>
      </c>
      <c r="F671" s="489" t="s">
        <v>763</v>
      </c>
      <c r="G671" s="489"/>
      <c r="H671" s="487">
        <v>815725386.88872004</v>
      </c>
      <c r="I671" s="523">
        <v>43371</v>
      </c>
      <c r="J671" s="481">
        <f t="shared" si="77"/>
        <v>1000</v>
      </c>
      <c r="K671" s="479" t="str">
        <f t="shared" si="71"/>
        <v/>
      </c>
      <c r="L671" s="479" t="str">
        <f t="shared" si="72"/>
        <v/>
      </c>
      <c r="M671" s="487" t="str">
        <f t="shared" si="73"/>
        <v/>
      </c>
      <c r="N671" s="479" t="str">
        <f t="shared" si="74"/>
        <v/>
      </c>
      <c r="O671" s="479" t="str">
        <f t="shared" si="75"/>
        <v/>
      </c>
      <c r="P671" s="479">
        <f t="shared" si="76"/>
        <v>815725386.88872004</v>
      </c>
    </row>
    <row r="672" spans="2:31">
      <c r="B672" s="530">
        <v>10000486</v>
      </c>
      <c r="C672" s="489" t="s">
        <v>10</v>
      </c>
      <c r="D672" s="489" t="s">
        <v>24</v>
      </c>
      <c r="E672" s="489" t="s">
        <v>243</v>
      </c>
      <c r="F672" s="489" t="s">
        <v>1756</v>
      </c>
      <c r="G672" s="489"/>
      <c r="H672" s="487">
        <v>725958743.43724728</v>
      </c>
      <c r="I672" s="523">
        <v>43401</v>
      </c>
      <c r="J672" s="481">
        <f t="shared" si="77"/>
        <v>970</v>
      </c>
      <c r="K672" s="479" t="str">
        <f t="shared" si="71"/>
        <v/>
      </c>
      <c r="L672" s="479" t="str">
        <f t="shared" si="72"/>
        <v/>
      </c>
      <c r="M672" s="487" t="str">
        <f t="shared" si="73"/>
        <v/>
      </c>
      <c r="N672" s="479" t="str">
        <f t="shared" si="74"/>
        <v/>
      </c>
      <c r="O672" s="479" t="str">
        <f t="shared" si="75"/>
        <v/>
      </c>
      <c r="P672" s="479">
        <f t="shared" si="76"/>
        <v>725958743.43724728</v>
      </c>
    </row>
    <row r="673" spans="2:16">
      <c r="B673" s="530">
        <v>10000486</v>
      </c>
      <c r="C673" s="489" t="s">
        <v>10</v>
      </c>
      <c r="D673" s="489" t="s">
        <v>24</v>
      </c>
      <c r="E673" s="489" t="s">
        <v>246</v>
      </c>
      <c r="F673" s="489" t="s">
        <v>2178</v>
      </c>
      <c r="G673" s="489"/>
      <c r="H673" s="487">
        <v>651038983.72260559</v>
      </c>
      <c r="I673" s="527">
        <v>43429</v>
      </c>
      <c r="J673" s="481">
        <f t="shared" si="77"/>
        <v>942</v>
      </c>
      <c r="K673" s="479" t="str">
        <f t="shared" si="71"/>
        <v/>
      </c>
      <c r="L673" s="479" t="str">
        <f t="shared" si="72"/>
        <v/>
      </c>
      <c r="M673" s="487" t="str">
        <f t="shared" si="73"/>
        <v/>
      </c>
      <c r="N673" s="479" t="str">
        <f t="shared" si="74"/>
        <v/>
      </c>
      <c r="O673" s="479" t="str">
        <f t="shared" si="75"/>
        <v/>
      </c>
      <c r="P673" s="479">
        <f t="shared" si="76"/>
        <v>651038983.72260559</v>
      </c>
    </row>
    <row r="674" spans="2:16">
      <c r="B674" s="530">
        <v>10000486</v>
      </c>
      <c r="C674" s="489" t="s">
        <v>10</v>
      </c>
      <c r="D674" s="489" t="s">
        <v>24</v>
      </c>
      <c r="E674" s="489" t="s">
        <v>522</v>
      </c>
      <c r="F674" s="489" t="s">
        <v>1757</v>
      </c>
      <c r="G674" s="489"/>
      <c r="H674" s="487">
        <v>770544545.02876198</v>
      </c>
      <c r="I674" s="527">
        <v>43459</v>
      </c>
      <c r="J674" s="481">
        <f t="shared" si="77"/>
        <v>912</v>
      </c>
      <c r="K674" s="479" t="str">
        <f t="shared" si="71"/>
        <v/>
      </c>
      <c r="L674" s="479" t="str">
        <f t="shared" si="72"/>
        <v/>
      </c>
      <c r="M674" s="487" t="str">
        <f t="shared" si="73"/>
        <v/>
      </c>
      <c r="N674" s="479" t="str">
        <f t="shared" si="74"/>
        <v/>
      </c>
      <c r="O674" s="479" t="str">
        <f t="shared" si="75"/>
        <v/>
      </c>
      <c r="P674" s="479">
        <f t="shared" si="76"/>
        <v>770544545.02876198</v>
      </c>
    </row>
    <row r="675" spans="2:16">
      <c r="B675" s="530">
        <v>10000486</v>
      </c>
      <c r="C675" s="489" t="s">
        <v>10</v>
      </c>
      <c r="D675" s="489" t="s">
        <v>24</v>
      </c>
      <c r="E675" s="489" t="s">
        <v>250</v>
      </c>
      <c r="F675" s="489" t="s">
        <v>275</v>
      </c>
      <c r="G675" s="489"/>
      <c r="H675" s="487">
        <v>677792670.82000005</v>
      </c>
      <c r="I675" s="527">
        <v>43490</v>
      </c>
      <c r="J675" s="481">
        <f t="shared" si="77"/>
        <v>881</v>
      </c>
      <c r="K675" s="479" t="str">
        <f t="shared" si="71"/>
        <v/>
      </c>
      <c r="L675" s="479" t="str">
        <f t="shared" si="72"/>
        <v/>
      </c>
      <c r="M675" s="487" t="str">
        <f t="shared" si="73"/>
        <v/>
      </c>
      <c r="N675" s="479" t="str">
        <f t="shared" si="74"/>
        <v/>
      </c>
      <c r="O675" s="479" t="str">
        <f t="shared" si="75"/>
        <v/>
      </c>
      <c r="P675" s="479">
        <f t="shared" si="76"/>
        <v>677792670.82000005</v>
      </c>
    </row>
    <row r="676" spans="2:16">
      <c r="B676" s="530">
        <v>10000486</v>
      </c>
      <c r="C676" s="489" t="s">
        <v>10</v>
      </c>
      <c r="D676" s="489" t="s">
        <v>24</v>
      </c>
      <c r="E676" s="489" t="s">
        <v>139</v>
      </c>
      <c r="F676" s="489" t="s">
        <v>277</v>
      </c>
      <c r="G676" s="489"/>
      <c r="H676" s="487">
        <f>425198370.01-413903507.81</f>
        <v>11294862.199999988</v>
      </c>
      <c r="I676" s="528">
        <v>43521</v>
      </c>
      <c r="J676" s="481">
        <f t="shared" si="77"/>
        <v>850</v>
      </c>
      <c r="K676" s="479" t="str">
        <f t="shared" si="71"/>
        <v/>
      </c>
      <c r="L676" s="479" t="str">
        <f t="shared" si="72"/>
        <v/>
      </c>
      <c r="M676" s="487" t="str">
        <f t="shared" si="73"/>
        <v/>
      </c>
      <c r="N676" s="479" t="str">
        <f t="shared" si="74"/>
        <v/>
      </c>
      <c r="O676" s="479" t="str">
        <f t="shared" si="75"/>
        <v/>
      </c>
      <c r="P676" s="479">
        <f t="shared" si="76"/>
        <v>11294862.199999988</v>
      </c>
    </row>
    <row r="677" spans="2:16">
      <c r="B677" s="530">
        <v>10000486</v>
      </c>
      <c r="C677" s="489" t="s">
        <v>10</v>
      </c>
      <c r="D677" s="489" t="s">
        <v>24</v>
      </c>
      <c r="E677" s="489" t="s">
        <v>142</v>
      </c>
      <c r="F677" s="489" t="s">
        <v>279</v>
      </c>
      <c r="G677" s="489"/>
      <c r="H677" s="487">
        <v>433978480.76333892</v>
      </c>
      <c r="I677" s="527">
        <v>43549</v>
      </c>
      <c r="J677" s="481">
        <f t="shared" si="77"/>
        <v>822</v>
      </c>
      <c r="K677" s="479" t="str">
        <f t="shared" si="71"/>
        <v/>
      </c>
      <c r="L677" s="479" t="str">
        <f t="shared" si="72"/>
        <v/>
      </c>
      <c r="M677" s="487" t="str">
        <f t="shared" si="73"/>
        <v/>
      </c>
      <c r="N677" s="479" t="str">
        <f t="shared" si="74"/>
        <v/>
      </c>
      <c r="O677" s="479" t="str">
        <f t="shared" si="75"/>
        <v/>
      </c>
      <c r="P677" s="479">
        <f t="shared" si="76"/>
        <v>433978480.76333892</v>
      </c>
    </row>
    <row r="678" spans="2:16">
      <c r="B678" s="530">
        <v>10000486</v>
      </c>
      <c r="C678" s="489" t="s">
        <v>10</v>
      </c>
      <c r="D678" s="489" t="s">
        <v>24</v>
      </c>
      <c r="E678" s="489" t="s">
        <v>145</v>
      </c>
      <c r="F678" s="489" t="s">
        <v>281</v>
      </c>
      <c r="G678" s="489"/>
      <c r="H678" s="487">
        <v>456630070.87611812</v>
      </c>
      <c r="I678" s="527" t="s">
        <v>2220</v>
      </c>
      <c r="J678" s="481">
        <f t="shared" si="77"/>
        <v>810</v>
      </c>
      <c r="K678" s="479" t="str">
        <f t="shared" si="71"/>
        <v/>
      </c>
      <c r="L678" s="479" t="str">
        <f t="shared" si="72"/>
        <v/>
      </c>
      <c r="M678" s="487" t="str">
        <f t="shared" si="73"/>
        <v/>
      </c>
      <c r="N678" s="479" t="str">
        <f t="shared" si="74"/>
        <v/>
      </c>
      <c r="O678" s="479" t="str">
        <f t="shared" si="75"/>
        <v/>
      </c>
      <c r="P678" s="479">
        <f t="shared" si="76"/>
        <v>456630070.87611812</v>
      </c>
    </row>
    <row r="679" spans="2:16">
      <c r="B679" s="530">
        <v>10000486</v>
      </c>
      <c r="C679" s="489" t="s">
        <v>10</v>
      </c>
      <c r="D679" s="489" t="s">
        <v>24</v>
      </c>
      <c r="E679" s="489" t="s">
        <v>148</v>
      </c>
      <c r="F679" s="489" t="s">
        <v>279</v>
      </c>
      <c r="G679" s="489"/>
      <c r="H679" s="487">
        <v>556059156.88084126</v>
      </c>
      <c r="I679" s="527">
        <v>43591</v>
      </c>
      <c r="J679" s="481">
        <f t="shared" si="77"/>
        <v>780</v>
      </c>
      <c r="K679" s="479" t="str">
        <f t="shared" si="71"/>
        <v/>
      </c>
      <c r="L679" s="479" t="str">
        <f t="shared" si="72"/>
        <v/>
      </c>
      <c r="M679" s="487" t="str">
        <f t="shared" si="73"/>
        <v/>
      </c>
      <c r="N679" s="479" t="str">
        <f t="shared" si="74"/>
        <v/>
      </c>
      <c r="O679" s="479" t="str">
        <f t="shared" si="75"/>
        <v/>
      </c>
      <c r="P679" s="479">
        <f t="shared" si="76"/>
        <v>556059156.88084126</v>
      </c>
    </row>
    <row r="680" spans="2:16">
      <c r="B680" s="530">
        <v>10000486</v>
      </c>
      <c r="C680" s="489" t="s">
        <v>10</v>
      </c>
      <c r="D680" s="489" t="s">
        <v>24</v>
      </c>
      <c r="E680" s="489" t="s">
        <v>151</v>
      </c>
      <c r="F680" s="489" t="s">
        <v>84</v>
      </c>
      <c r="G680" s="489"/>
      <c r="H680" s="487">
        <v>504258852.00655121</v>
      </c>
      <c r="I680" s="527">
        <v>43621</v>
      </c>
      <c r="J680" s="481">
        <f t="shared" si="77"/>
        <v>750</v>
      </c>
      <c r="K680" s="479" t="str">
        <f t="shared" si="71"/>
        <v/>
      </c>
      <c r="L680" s="479" t="str">
        <f t="shared" si="72"/>
        <v/>
      </c>
      <c r="M680" s="487" t="str">
        <f t="shared" si="73"/>
        <v/>
      </c>
      <c r="N680" s="479" t="str">
        <f t="shared" si="74"/>
        <v/>
      </c>
      <c r="O680" s="479" t="str">
        <f t="shared" si="75"/>
        <v/>
      </c>
      <c r="P680" s="479">
        <f t="shared" si="76"/>
        <v>504258852.00655121</v>
      </c>
    </row>
    <row r="681" spans="2:16">
      <c r="B681" s="530">
        <v>10000486</v>
      </c>
      <c r="C681" s="489" t="s">
        <v>10</v>
      </c>
      <c r="D681" s="489" t="s">
        <v>24</v>
      </c>
      <c r="E681" s="489" t="s">
        <v>154</v>
      </c>
      <c r="F681" s="489" t="s">
        <v>286</v>
      </c>
      <c r="G681" s="489"/>
      <c r="H681" s="487">
        <v>335487047.58588392</v>
      </c>
      <c r="I681" s="527" t="s">
        <v>2221</v>
      </c>
      <c r="J681" s="481">
        <f t="shared" si="77"/>
        <v>718</v>
      </c>
      <c r="K681" s="479" t="str">
        <f t="shared" si="71"/>
        <v/>
      </c>
      <c r="L681" s="479" t="str">
        <f t="shared" si="72"/>
        <v/>
      </c>
      <c r="M681" s="487" t="str">
        <f t="shared" si="73"/>
        <v/>
      </c>
      <c r="N681" s="479" t="str">
        <f t="shared" si="74"/>
        <v/>
      </c>
      <c r="O681" s="479" t="str">
        <f t="shared" si="75"/>
        <v/>
      </c>
      <c r="P681" s="479">
        <f t="shared" si="76"/>
        <v>335487047.58588392</v>
      </c>
    </row>
    <row r="682" spans="2:16">
      <c r="B682" s="530">
        <v>10000486</v>
      </c>
      <c r="C682" s="489" t="s">
        <v>10</v>
      </c>
      <c r="D682" s="489" t="s">
        <v>24</v>
      </c>
      <c r="E682" s="489" t="s">
        <v>158</v>
      </c>
      <c r="F682" s="489" t="s">
        <v>775</v>
      </c>
      <c r="G682" s="489"/>
      <c r="H682" s="487">
        <v>503216844.55959004</v>
      </c>
      <c r="I682" s="527" t="s">
        <v>2222</v>
      </c>
      <c r="J682" s="481">
        <f t="shared" si="77"/>
        <v>693</v>
      </c>
      <c r="K682" s="479" t="str">
        <f t="shared" si="71"/>
        <v/>
      </c>
      <c r="L682" s="479" t="str">
        <f t="shared" si="72"/>
        <v/>
      </c>
      <c r="M682" s="487" t="str">
        <f t="shared" si="73"/>
        <v/>
      </c>
      <c r="N682" s="479" t="str">
        <f t="shared" si="74"/>
        <v/>
      </c>
      <c r="O682" s="479" t="str">
        <f t="shared" si="75"/>
        <v/>
      </c>
      <c r="P682" s="479">
        <f t="shared" si="76"/>
        <v>503216844.55959004</v>
      </c>
    </row>
    <row r="683" spans="2:16">
      <c r="B683" s="530">
        <v>10000486</v>
      </c>
      <c r="C683" s="489" t="s">
        <v>10</v>
      </c>
      <c r="D683" s="489" t="s">
        <v>24</v>
      </c>
      <c r="E683" s="489" t="s">
        <v>162</v>
      </c>
      <c r="F683" s="489" t="s">
        <v>289</v>
      </c>
      <c r="G683" s="489"/>
      <c r="H683" s="487">
        <v>525957091.66429794</v>
      </c>
      <c r="I683" s="527" t="s">
        <v>1203</v>
      </c>
      <c r="J683" s="481">
        <f t="shared" si="77"/>
        <v>662</v>
      </c>
      <c r="K683" s="479" t="str">
        <f t="shared" si="71"/>
        <v/>
      </c>
      <c r="L683" s="479" t="str">
        <f t="shared" si="72"/>
        <v/>
      </c>
      <c r="M683" s="487" t="str">
        <f t="shared" si="73"/>
        <v/>
      </c>
      <c r="N683" s="479" t="str">
        <f t="shared" si="74"/>
        <v/>
      </c>
      <c r="O683" s="479" t="str">
        <f t="shared" si="75"/>
        <v/>
      </c>
      <c r="P683" s="479">
        <f t="shared" si="76"/>
        <v>525957091.66429794</v>
      </c>
    </row>
    <row r="684" spans="2:16">
      <c r="B684" s="530">
        <v>10000486</v>
      </c>
      <c r="C684" s="489" t="s">
        <v>10</v>
      </c>
      <c r="D684" s="489" t="s">
        <v>24</v>
      </c>
      <c r="E684" s="489" t="s">
        <v>166</v>
      </c>
      <c r="F684" s="489" t="s">
        <v>777</v>
      </c>
      <c r="G684" s="489"/>
      <c r="H684" s="487">
        <v>470351278.51662302</v>
      </c>
      <c r="I684" s="527" t="s">
        <v>1330</v>
      </c>
      <c r="J684" s="481">
        <f t="shared" si="77"/>
        <v>624</v>
      </c>
      <c r="K684" s="479" t="str">
        <f t="shared" si="71"/>
        <v/>
      </c>
      <c r="L684" s="479" t="str">
        <f t="shared" si="72"/>
        <v/>
      </c>
      <c r="M684" s="487" t="str">
        <f t="shared" si="73"/>
        <v/>
      </c>
      <c r="N684" s="479" t="str">
        <f t="shared" si="74"/>
        <v/>
      </c>
      <c r="O684" s="479" t="str">
        <f t="shared" si="75"/>
        <v/>
      </c>
      <c r="P684" s="479">
        <f t="shared" si="76"/>
        <v>470351278.51662302</v>
      </c>
    </row>
    <row r="685" spans="2:16">
      <c r="B685" s="530">
        <v>10000486</v>
      </c>
      <c r="C685" s="489" t="s">
        <v>10</v>
      </c>
      <c r="D685" s="489" t="s">
        <v>24</v>
      </c>
      <c r="E685" s="489" t="s">
        <v>170</v>
      </c>
      <c r="F685" s="489" t="s">
        <v>777</v>
      </c>
      <c r="G685" s="489"/>
      <c r="H685" s="487">
        <v>251761912.19656056</v>
      </c>
      <c r="I685" s="527" t="s">
        <v>2223</v>
      </c>
      <c r="J685" s="481">
        <f t="shared" si="77"/>
        <v>596</v>
      </c>
      <c r="K685" s="479" t="str">
        <f t="shared" si="71"/>
        <v/>
      </c>
      <c r="L685" s="479" t="str">
        <f t="shared" si="72"/>
        <v/>
      </c>
      <c r="M685" s="487" t="str">
        <f t="shared" si="73"/>
        <v/>
      </c>
      <c r="N685" s="479" t="str">
        <f t="shared" si="74"/>
        <v/>
      </c>
      <c r="O685" s="479" t="str">
        <f t="shared" si="75"/>
        <v/>
      </c>
      <c r="P685" s="479">
        <f t="shared" si="76"/>
        <v>251761912.19656056</v>
      </c>
    </row>
    <row r="686" spans="2:16">
      <c r="B686" s="530">
        <v>10000486</v>
      </c>
      <c r="C686" s="489" t="s">
        <v>10</v>
      </c>
      <c r="D686" s="489" t="s">
        <v>24</v>
      </c>
      <c r="E686" s="489" t="s">
        <v>174</v>
      </c>
      <c r="F686" s="489" t="s">
        <v>296</v>
      </c>
      <c r="G686" s="489"/>
      <c r="H686" s="487">
        <v>228516295.60619998</v>
      </c>
      <c r="I686" s="527" t="s">
        <v>2224</v>
      </c>
      <c r="J686" s="481">
        <f t="shared" si="77"/>
        <v>567</v>
      </c>
      <c r="K686" s="479" t="str">
        <f t="shared" si="71"/>
        <v/>
      </c>
      <c r="L686" s="479" t="str">
        <f t="shared" si="72"/>
        <v/>
      </c>
      <c r="M686" s="487" t="str">
        <f t="shared" si="73"/>
        <v/>
      </c>
      <c r="N686" s="479" t="str">
        <f t="shared" si="74"/>
        <v/>
      </c>
      <c r="O686" s="479" t="str">
        <f t="shared" si="75"/>
        <v/>
      </c>
      <c r="P686" s="479">
        <f t="shared" si="76"/>
        <v>228516295.60619998</v>
      </c>
    </row>
    <row r="687" spans="2:16">
      <c r="B687" s="530">
        <v>10000486</v>
      </c>
      <c r="C687" s="489" t="s">
        <v>10</v>
      </c>
      <c r="D687" s="489" t="s">
        <v>24</v>
      </c>
      <c r="E687" s="489" t="s">
        <v>778</v>
      </c>
      <c r="F687" s="489" t="s">
        <v>298</v>
      </c>
      <c r="G687" s="489"/>
      <c r="H687" s="487">
        <v>438053100.94604105</v>
      </c>
      <c r="I687" s="527" t="s">
        <v>179</v>
      </c>
      <c r="J687" s="481">
        <f t="shared" si="77"/>
        <v>540</v>
      </c>
      <c r="K687" s="479" t="str">
        <f t="shared" si="71"/>
        <v/>
      </c>
      <c r="L687" s="479" t="str">
        <f t="shared" si="72"/>
        <v/>
      </c>
      <c r="M687" s="487" t="str">
        <f t="shared" si="73"/>
        <v/>
      </c>
      <c r="N687" s="479" t="str">
        <f t="shared" si="74"/>
        <v/>
      </c>
      <c r="O687" s="479" t="str">
        <f t="shared" si="75"/>
        <v/>
      </c>
      <c r="P687" s="479">
        <f t="shared" si="76"/>
        <v>438053100.94604105</v>
      </c>
    </row>
    <row r="688" spans="2:16">
      <c r="B688" s="530">
        <v>10000486</v>
      </c>
      <c r="C688" s="489" t="s">
        <v>10</v>
      </c>
      <c r="D688" s="489" t="s">
        <v>24</v>
      </c>
      <c r="E688" s="489" t="s">
        <v>1566</v>
      </c>
      <c r="F688" s="489" t="s">
        <v>299</v>
      </c>
      <c r="G688" s="489"/>
      <c r="H688" s="487">
        <v>9463492.4415313788</v>
      </c>
      <c r="I688" s="527" t="s">
        <v>716</v>
      </c>
      <c r="J688" s="481">
        <f t="shared" si="77"/>
        <v>479</v>
      </c>
      <c r="K688" s="479" t="str">
        <f t="shared" si="71"/>
        <v/>
      </c>
      <c r="L688" s="479" t="str">
        <f t="shared" si="72"/>
        <v/>
      </c>
      <c r="M688" s="487" t="str">
        <f t="shared" si="73"/>
        <v/>
      </c>
      <c r="N688" s="479" t="str">
        <f t="shared" si="74"/>
        <v/>
      </c>
      <c r="O688" s="479" t="str">
        <f t="shared" si="75"/>
        <v/>
      </c>
      <c r="P688" s="479">
        <f t="shared" si="76"/>
        <v>9463492.4415313788</v>
      </c>
    </row>
    <row r="689" spans="2:16">
      <c r="B689" s="530"/>
      <c r="C689" s="489"/>
      <c r="D689" s="489"/>
      <c r="E689" s="489"/>
      <c r="F689" s="489"/>
      <c r="G689" s="489"/>
      <c r="H689" s="487"/>
      <c r="I689" s="527"/>
      <c r="J689" s="481"/>
      <c r="K689" s="479" t="str">
        <f t="shared" si="71"/>
        <v/>
      </c>
      <c r="L689" s="479" t="str">
        <f t="shared" si="72"/>
        <v/>
      </c>
      <c r="M689" s="487" t="str">
        <f t="shared" si="73"/>
        <v/>
      </c>
      <c r="N689" s="479" t="str">
        <f t="shared" si="74"/>
        <v/>
      </c>
      <c r="O689" s="479" t="str">
        <f t="shared" si="75"/>
        <v/>
      </c>
      <c r="P689" s="479" t="str">
        <f t="shared" si="76"/>
        <v/>
      </c>
    </row>
    <row r="690" spans="2:16">
      <c r="B690" s="530"/>
      <c r="C690" s="489"/>
      <c r="D690" s="489"/>
      <c r="E690" s="489"/>
      <c r="F690" s="489"/>
      <c r="G690" s="489"/>
      <c r="H690" s="487"/>
      <c r="I690" s="527"/>
      <c r="J690" s="481"/>
      <c r="K690" s="479" t="str">
        <f t="shared" si="71"/>
        <v/>
      </c>
      <c r="L690" s="479" t="str">
        <f t="shared" si="72"/>
        <v/>
      </c>
      <c r="M690" s="487" t="str">
        <f t="shared" si="73"/>
        <v/>
      </c>
      <c r="N690" s="479" t="str">
        <f t="shared" si="74"/>
        <v/>
      </c>
      <c r="O690" s="479" t="str">
        <f t="shared" si="75"/>
        <v/>
      </c>
      <c r="P690" s="479" t="str">
        <f t="shared" si="76"/>
        <v/>
      </c>
    </row>
    <row r="691" spans="2:16">
      <c r="B691" s="530"/>
      <c r="C691" s="489"/>
      <c r="D691" s="489"/>
      <c r="E691" s="489"/>
      <c r="F691" s="489"/>
      <c r="G691" s="489"/>
      <c r="H691" s="487"/>
      <c r="I691" s="527"/>
      <c r="J691" s="481"/>
      <c r="K691" s="479" t="str">
        <f t="shared" si="71"/>
        <v/>
      </c>
      <c r="L691" s="479" t="str">
        <f t="shared" si="72"/>
        <v/>
      </c>
      <c r="M691" s="487" t="str">
        <f t="shared" si="73"/>
        <v/>
      </c>
      <c r="N691" s="479" t="str">
        <f t="shared" si="74"/>
        <v/>
      </c>
      <c r="O691" s="479" t="str">
        <f t="shared" si="75"/>
        <v/>
      </c>
      <c r="P691" s="479" t="str">
        <f t="shared" si="76"/>
        <v/>
      </c>
    </row>
    <row r="692" spans="2:16">
      <c r="B692" s="530">
        <v>10009811</v>
      </c>
      <c r="C692" s="489" t="s">
        <v>10</v>
      </c>
      <c r="D692" s="489" t="s">
        <v>20</v>
      </c>
      <c r="E692" s="489" t="s">
        <v>506</v>
      </c>
      <c r="F692" s="489" t="s">
        <v>1629</v>
      </c>
      <c r="G692" s="489"/>
      <c r="H692" s="487">
        <v>768643349.47000003</v>
      </c>
      <c r="I692" s="527">
        <v>43187</v>
      </c>
      <c r="J692" s="481">
        <f t="shared" si="77"/>
        <v>1184</v>
      </c>
      <c r="K692" s="479" t="str">
        <f t="shared" si="71"/>
        <v/>
      </c>
      <c r="L692" s="479" t="str">
        <f t="shared" si="72"/>
        <v/>
      </c>
      <c r="M692" s="487" t="str">
        <f t="shared" si="73"/>
        <v/>
      </c>
      <c r="N692" s="479" t="str">
        <f t="shared" si="74"/>
        <v/>
      </c>
      <c r="O692" s="479" t="str">
        <f t="shared" si="75"/>
        <v/>
      </c>
      <c r="P692" s="479">
        <f t="shared" si="76"/>
        <v>768643349.47000003</v>
      </c>
    </row>
    <row r="693" spans="2:16">
      <c r="B693" s="530">
        <v>10009811</v>
      </c>
      <c r="C693" s="489" t="s">
        <v>10</v>
      </c>
      <c r="D693" s="489" t="s">
        <v>20</v>
      </c>
      <c r="E693" s="489" t="s">
        <v>508</v>
      </c>
      <c r="F693" s="489" t="s">
        <v>1631</v>
      </c>
      <c r="G693" s="489"/>
      <c r="H693" s="487">
        <v>250542055.50999999</v>
      </c>
      <c r="I693" s="527">
        <v>43205</v>
      </c>
      <c r="J693" s="481">
        <f t="shared" si="77"/>
        <v>1166</v>
      </c>
      <c r="K693" s="479" t="str">
        <f t="shared" si="71"/>
        <v/>
      </c>
      <c r="L693" s="479" t="str">
        <f t="shared" si="72"/>
        <v/>
      </c>
      <c r="M693" s="487" t="str">
        <f t="shared" si="73"/>
        <v/>
      </c>
      <c r="N693" s="479" t="str">
        <f t="shared" si="74"/>
        <v/>
      </c>
      <c r="O693" s="479" t="str">
        <f t="shared" si="75"/>
        <v/>
      </c>
      <c r="P693" s="479">
        <f t="shared" si="76"/>
        <v>250542055.50999999</v>
      </c>
    </row>
    <row r="694" spans="2:16">
      <c r="B694" s="530">
        <v>10009811</v>
      </c>
      <c r="C694" s="489" t="s">
        <v>10</v>
      </c>
      <c r="D694" s="489" t="s">
        <v>20</v>
      </c>
      <c r="E694" s="489" t="s">
        <v>355</v>
      </c>
      <c r="F694" s="489" t="s">
        <v>1632</v>
      </c>
      <c r="G694" s="489"/>
      <c r="H694" s="487">
        <v>834193991.20305407</v>
      </c>
      <c r="I694" s="527">
        <v>43250</v>
      </c>
      <c r="J694" s="481">
        <f t="shared" si="77"/>
        <v>1121</v>
      </c>
      <c r="K694" s="479" t="str">
        <f t="shared" si="71"/>
        <v/>
      </c>
      <c r="L694" s="479" t="str">
        <f t="shared" si="72"/>
        <v/>
      </c>
      <c r="M694" s="487" t="str">
        <f t="shared" si="73"/>
        <v/>
      </c>
      <c r="N694" s="479" t="str">
        <f t="shared" si="74"/>
        <v/>
      </c>
      <c r="O694" s="479" t="str">
        <f t="shared" si="75"/>
        <v/>
      </c>
      <c r="P694" s="479">
        <f t="shared" si="76"/>
        <v>834193991.20305407</v>
      </c>
    </row>
    <row r="695" spans="2:16">
      <c r="B695" s="530">
        <v>10009811</v>
      </c>
      <c r="C695" s="489" t="s">
        <v>10</v>
      </c>
      <c r="D695" s="489" t="s">
        <v>20</v>
      </c>
      <c r="E695" s="489" t="s">
        <v>234</v>
      </c>
      <c r="F695" s="489" t="s">
        <v>1633</v>
      </c>
      <c r="G695" s="489"/>
      <c r="H695" s="487">
        <v>688499629.7484678</v>
      </c>
      <c r="I695" s="527">
        <v>43266</v>
      </c>
      <c r="J695" s="481">
        <f t="shared" si="77"/>
        <v>1105</v>
      </c>
      <c r="K695" s="479" t="str">
        <f t="shared" si="71"/>
        <v/>
      </c>
      <c r="L695" s="479" t="str">
        <f t="shared" si="72"/>
        <v/>
      </c>
      <c r="M695" s="487" t="str">
        <f t="shared" si="73"/>
        <v/>
      </c>
      <c r="N695" s="479" t="str">
        <f t="shared" si="74"/>
        <v/>
      </c>
      <c r="O695" s="479" t="str">
        <f t="shared" si="75"/>
        <v/>
      </c>
      <c r="P695" s="479">
        <f t="shared" si="76"/>
        <v>688499629.7484678</v>
      </c>
    </row>
    <row r="696" spans="2:16">
      <c r="B696" s="530">
        <v>10009811</v>
      </c>
      <c r="C696" s="489" t="s">
        <v>10</v>
      </c>
      <c r="D696" s="489" t="s">
        <v>20</v>
      </c>
      <c r="E696" s="489" t="s">
        <v>416</v>
      </c>
      <c r="F696" s="489" t="s">
        <v>1366</v>
      </c>
      <c r="G696" s="489"/>
      <c r="H696" s="487">
        <v>885066511.72436452</v>
      </c>
      <c r="I696" s="527">
        <v>43296</v>
      </c>
      <c r="J696" s="481">
        <f t="shared" si="77"/>
        <v>1075</v>
      </c>
      <c r="K696" s="479" t="str">
        <f t="shared" si="71"/>
        <v/>
      </c>
      <c r="L696" s="479" t="str">
        <f t="shared" si="72"/>
        <v/>
      </c>
      <c r="M696" s="487" t="str">
        <f t="shared" si="73"/>
        <v/>
      </c>
      <c r="N696" s="479" t="str">
        <f t="shared" si="74"/>
        <v/>
      </c>
      <c r="O696" s="479" t="str">
        <f t="shared" si="75"/>
        <v/>
      </c>
      <c r="P696" s="479">
        <f t="shared" si="76"/>
        <v>885066511.72436452</v>
      </c>
    </row>
    <row r="697" spans="2:16">
      <c r="B697" s="530">
        <v>10009811</v>
      </c>
      <c r="C697" s="489" t="s">
        <v>10</v>
      </c>
      <c r="D697" s="489" t="s">
        <v>20</v>
      </c>
      <c r="E697" s="489" t="s">
        <v>238</v>
      </c>
      <c r="F697" s="489" t="s">
        <v>1369</v>
      </c>
      <c r="G697" s="489"/>
      <c r="H697" s="487">
        <v>831451576.86660266</v>
      </c>
      <c r="I697" s="527">
        <v>43340</v>
      </c>
      <c r="J697" s="481">
        <f t="shared" si="77"/>
        <v>1031</v>
      </c>
      <c r="K697" s="479" t="str">
        <f t="shared" si="71"/>
        <v/>
      </c>
      <c r="L697" s="479" t="str">
        <f t="shared" si="72"/>
        <v/>
      </c>
      <c r="M697" s="487" t="str">
        <f t="shared" si="73"/>
        <v/>
      </c>
      <c r="N697" s="479" t="str">
        <f t="shared" si="74"/>
        <v/>
      </c>
      <c r="O697" s="479" t="str">
        <f t="shared" si="75"/>
        <v/>
      </c>
      <c r="P697" s="479">
        <f t="shared" si="76"/>
        <v>831451576.86660266</v>
      </c>
    </row>
    <row r="698" spans="2:16">
      <c r="B698" s="530">
        <v>10009811</v>
      </c>
      <c r="C698" s="489" t="s">
        <v>10</v>
      </c>
      <c r="D698" s="489" t="s">
        <v>20</v>
      </c>
      <c r="E698" s="489" t="s">
        <v>517</v>
      </c>
      <c r="F698" s="489" t="s">
        <v>1246</v>
      </c>
      <c r="G698" s="489"/>
      <c r="H698" s="487">
        <v>643840599.22849798</v>
      </c>
      <c r="I698" s="527">
        <v>43371</v>
      </c>
      <c r="J698" s="481">
        <f t="shared" si="77"/>
        <v>1000</v>
      </c>
      <c r="K698" s="479" t="str">
        <f t="shared" si="71"/>
        <v/>
      </c>
      <c r="L698" s="479" t="str">
        <f t="shared" si="72"/>
        <v/>
      </c>
      <c r="M698" s="487" t="str">
        <f t="shared" si="73"/>
        <v/>
      </c>
      <c r="N698" s="479" t="str">
        <f t="shared" si="74"/>
        <v/>
      </c>
      <c r="O698" s="479" t="str">
        <f t="shared" si="75"/>
        <v/>
      </c>
      <c r="P698" s="479">
        <f t="shared" si="76"/>
        <v>643840599.22849798</v>
      </c>
    </row>
    <row r="699" spans="2:16">
      <c r="B699" s="530">
        <v>10009811</v>
      </c>
      <c r="C699" s="489" t="s">
        <v>10</v>
      </c>
      <c r="D699" s="489" t="s">
        <v>20</v>
      </c>
      <c r="E699" s="489" t="s">
        <v>243</v>
      </c>
      <c r="F699" s="489" t="s">
        <v>1248</v>
      </c>
      <c r="G699" s="489"/>
      <c r="H699" s="487">
        <v>722891135.34530628</v>
      </c>
      <c r="I699" s="527" t="s">
        <v>2225</v>
      </c>
      <c r="J699" s="481">
        <f t="shared" si="77"/>
        <v>970</v>
      </c>
      <c r="K699" s="479" t="str">
        <f t="shared" si="71"/>
        <v/>
      </c>
      <c r="L699" s="479" t="str">
        <f t="shared" si="72"/>
        <v/>
      </c>
      <c r="M699" s="487" t="str">
        <f t="shared" si="73"/>
        <v/>
      </c>
      <c r="N699" s="479" t="str">
        <f t="shared" si="74"/>
        <v/>
      </c>
      <c r="O699" s="479" t="str">
        <f t="shared" si="75"/>
        <v/>
      </c>
      <c r="P699" s="479">
        <f t="shared" si="76"/>
        <v>722891135.34530628</v>
      </c>
    </row>
    <row r="700" spans="2:16">
      <c r="B700" s="530">
        <v>10009811</v>
      </c>
      <c r="C700" s="489" t="s">
        <v>10</v>
      </c>
      <c r="D700" s="489" t="s">
        <v>20</v>
      </c>
      <c r="E700" s="489" t="s">
        <v>246</v>
      </c>
      <c r="F700" s="489" t="s">
        <v>1249</v>
      </c>
      <c r="G700" s="489"/>
      <c r="H700" s="487">
        <v>633436539.52950263</v>
      </c>
      <c r="I700" s="527" t="s">
        <v>2226</v>
      </c>
      <c r="J700" s="481">
        <f t="shared" si="77"/>
        <v>939</v>
      </c>
      <c r="K700" s="479" t="str">
        <f t="shared" si="71"/>
        <v/>
      </c>
      <c r="L700" s="479" t="str">
        <f t="shared" si="72"/>
        <v/>
      </c>
      <c r="M700" s="487" t="str">
        <f t="shared" si="73"/>
        <v/>
      </c>
      <c r="N700" s="479" t="str">
        <f t="shared" si="74"/>
        <v/>
      </c>
      <c r="O700" s="479" t="str">
        <f t="shared" si="75"/>
        <v/>
      </c>
      <c r="P700" s="479">
        <f t="shared" si="76"/>
        <v>633436539.52950263</v>
      </c>
    </row>
    <row r="701" spans="2:16">
      <c r="B701" s="530">
        <v>10009811</v>
      </c>
      <c r="C701" s="489" t="s">
        <v>10</v>
      </c>
      <c r="D701" s="489" t="s">
        <v>20</v>
      </c>
      <c r="E701" s="489" t="s">
        <v>522</v>
      </c>
      <c r="F701" s="489" t="s">
        <v>1250</v>
      </c>
      <c r="G701" s="489"/>
      <c r="H701" s="487">
        <v>618604261.69707382</v>
      </c>
      <c r="I701" s="527" t="s">
        <v>2227</v>
      </c>
      <c r="J701" s="481">
        <f t="shared" si="77"/>
        <v>909</v>
      </c>
      <c r="K701" s="479" t="str">
        <f t="shared" si="71"/>
        <v/>
      </c>
      <c r="L701" s="479" t="str">
        <f t="shared" si="72"/>
        <v/>
      </c>
      <c r="M701" s="487" t="str">
        <f t="shared" si="73"/>
        <v/>
      </c>
      <c r="N701" s="479" t="str">
        <f t="shared" si="74"/>
        <v/>
      </c>
      <c r="O701" s="479" t="str">
        <f t="shared" si="75"/>
        <v/>
      </c>
      <c r="P701" s="479">
        <f t="shared" si="76"/>
        <v>618604261.69707382</v>
      </c>
    </row>
    <row r="702" spans="2:16">
      <c r="B702" s="530">
        <v>10009811</v>
      </c>
      <c r="C702" s="489" t="s">
        <v>10</v>
      </c>
      <c r="D702" s="489" t="s">
        <v>20</v>
      </c>
      <c r="E702" s="489" t="s">
        <v>250</v>
      </c>
      <c r="F702" s="489" t="s">
        <v>113</v>
      </c>
      <c r="G702" s="489"/>
      <c r="H702" s="487">
        <v>802085016.77999997</v>
      </c>
      <c r="I702" s="527">
        <v>43493</v>
      </c>
      <c r="J702" s="481">
        <f t="shared" si="77"/>
        <v>878</v>
      </c>
      <c r="K702" s="479" t="str">
        <f t="shared" si="71"/>
        <v/>
      </c>
      <c r="L702" s="479" t="str">
        <f t="shared" si="72"/>
        <v/>
      </c>
      <c r="M702" s="487" t="str">
        <f t="shared" si="73"/>
        <v/>
      </c>
      <c r="N702" s="479" t="str">
        <f t="shared" si="74"/>
        <v/>
      </c>
      <c r="O702" s="479" t="str">
        <f t="shared" si="75"/>
        <v/>
      </c>
      <c r="P702" s="479">
        <f t="shared" si="76"/>
        <v>802085016.77999997</v>
      </c>
    </row>
    <row r="703" spans="2:16">
      <c r="B703" s="530">
        <v>10009811</v>
      </c>
      <c r="C703" s="489" t="s">
        <v>10</v>
      </c>
      <c r="D703" s="489" t="s">
        <v>20</v>
      </c>
      <c r="E703" s="489" t="s">
        <v>139</v>
      </c>
      <c r="F703" s="489" t="s">
        <v>229</v>
      </c>
      <c r="G703" s="489"/>
      <c r="H703" s="487">
        <v>554591940.92999995</v>
      </c>
      <c r="I703" s="527" t="s">
        <v>2228</v>
      </c>
      <c r="J703" s="481">
        <f t="shared" si="77"/>
        <v>847</v>
      </c>
      <c r="K703" s="479" t="str">
        <f t="shared" si="71"/>
        <v/>
      </c>
      <c r="L703" s="479" t="str">
        <f t="shared" si="72"/>
        <v/>
      </c>
      <c r="M703" s="487" t="str">
        <f t="shared" si="73"/>
        <v/>
      </c>
      <c r="N703" s="479" t="str">
        <f t="shared" si="74"/>
        <v/>
      </c>
      <c r="O703" s="479" t="str">
        <f t="shared" si="75"/>
        <v/>
      </c>
      <c r="P703" s="479">
        <f t="shared" si="76"/>
        <v>554591940.92999995</v>
      </c>
    </row>
    <row r="704" spans="2:16">
      <c r="B704" s="530">
        <v>10009811</v>
      </c>
      <c r="C704" s="489" t="s">
        <v>10</v>
      </c>
      <c r="D704" s="489" t="s">
        <v>20</v>
      </c>
      <c r="E704" s="489" t="s">
        <v>142</v>
      </c>
      <c r="F704" s="489" t="s">
        <v>232</v>
      </c>
      <c r="G704" s="489"/>
      <c r="H704" s="487">
        <v>634008188.32380998</v>
      </c>
      <c r="I704" s="527">
        <v>43552</v>
      </c>
      <c r="J704" s="481">
        <f t="shared" si="77"/>
        <v>819</v>
      </c>
      <c r="K704" s="479" t="str">
        <f t="shared" si="71"/>
        <v/>
      </c>
      <c r="L704" s="479" t="str">
        <f t="shared" si="72"/>
        <v/>
      </c>
      <c r="M704" s="487" t="str">
        <f t="shared" si="73"/>
        <v/>
      </c>
      <c r="N704" s="479" t="str">
        <f t="shared" si="74"/>
        <v/>
      </c>
      <c r="O704" s="479" t="str">
        <f t="shared" si="75"/>
        <v/>
      </c>
      <c r="P704" s="479">
        <f t="shared" si="76"/>
        <v>634008188.32380998</v>
      </c>
    </row>
    <row r="705" spans="2:16">
      <c r="B705" s="530">
        <v>10009811</v>
      </c>
      <c r="C705" s="489" t="s">
        <v>10</v>
      </c>
      <c r="D705" s="489" t="s">
        <v>20</v>
      </c>
      <c r="E705" s="489" t="s">
        <v>145</v>
      </c>
      <c r="F705" s="489" t="s">
        <v>235</v>
      </c>
      <c r="G705" s="489"/>
      <c r="H705" s="487">
        <v>599449347.367957</v>
      </c>
      <c r="I705" s="527">
        <v>43583</v>
      </c>
      <c r="J705" s="481">
        <f t="shared" si="77"/>
        <v>788</v>
      </c>
      <c r="K705" s="479" t="str">
        <f t="shared" si="71"/>
        <v/>
      </c>
      <c r="L705" s="479" t="str">
        <f t="shared" si="72"/>
        <v/>
      </c>
      <c r="M705" s="487" t="str">
        <f t="shared" si="73"/>
        <v/>
      </c>
      <c r="N705" s="479" t="str">
        <f t="shared" si="74"/>
        <v/>
      </c>
      <c r="O705" s="479" t="str">
        <f t="shared" si="75"/>
        <v/>
      </c>
      <c r="P705" s="479">
        <f t="shared" si="76"/>
        <v>599449347.367957</v>
      </c>
    </row>
    <row r="706" spans="2:16">
      <c r="B706" s="530">
        <v>10009811</v>
      </c>
      <c r="C706" s="489" t="s">
        <v>10</v>
      </c>
      <c r="D706" s="489" t="s">
        <v>20</v>
      </c>
      <c r="E706" s="489" t="s">
        <v>148</v>
      </c>
      <c r="F706" s="489" t="s">
        <v>237</v>
      </c>
      <c r="G706" s="489"/>
      <c r="H706" s="487">
        <v>690360867.51128435</v>
      </c>
      <c r="I706" s="527">
        <v>43593</v>
      </c>
      <c r="J706" s="481">
        <f t="shared" si="77"/>
        <v>778</v>
      </c>
      <c r="K706" s="479" t="str">
        <f t="shared" si="71"/>
        <v/>
      </c>
      <c r="L706" s="479" t="str">
        <f t="shared" si="72"/>
        <v/>
      </c>
      <c r="M706" s="487" t="str">
        <f t="shared" si="73"/>
        <v/>
      </c>
      <c r="N706" s="479" t="str">
        <f t="shared" si="74"/>
        <v/>
      </c>
      <c r="O706" s="479" t="str">
        <f t="shared" si="75"/>
        <v/>
      </c>
      <c r="P706" s="479">
        <f t="shared" si="76"/>
        <v>690360867.51128435</v>
      </c>
    </row>
    <row r="707" spans="2:16">
      <c r="B707" s="530">
        <v>10009811</v>
      </c>
      <c r="C707" s="489" t="s">
        <v>10</v>
      </c>
      <c r="D707" s="489" t="s">
        <v>20</v>
      </c>
      <c r="E707" s="489" t="s">
        <v>151</v>
      </c>
      <c r="F707" s="489" t="s">
        <v>33</v>
      </c>
      <c r="G707" s="489"/>
      <c r="H707" s="487">
        <v>653232154.65549564</v>
      </c>
      <c r="I707" s="527">
        <v>43644</v>
      </c>
      <c r="J707" s="481">
        <f t="shared" si="77"/>
        <v>727</v>
      </c>
      <c r="K707" s="479" t="str">
        <f t="shared" si="71"/>
        <v/>
      </c>
      <c r="L707" s="479" t="str">
        <f t="shared" si="72"/>
        <v/>
      </c>
      <c r="M707" s="487" t="str">
        <f t="shared" si="73"/>
        <v/>
      </c>
      <c r="N707" s="479" t="str">
        <f t="shared" si="74"/>
        <v/>
      </c>
      <c r="O707" s="479" t="str">
        <f t="shared" si="75"/>
        <v/>
      </c>
      <c r="P707" s="479">
        <f t="shared" si="76"/>
        <v>653232154.65549564</v>
      </c>
    </row>
    <row r="708" spans="2:16">
      <c r="B708" s="530">
        <v>10009811</v>
      </c>
      <c r="C708" s="489" t="s">
        <v>10</v>
      </c>
      <c r="D708" s="489" t="s">
        <v>20</v>
      </c>
      <c r="E708" s="489" t="s">
        <v>154</v>
      </c>
      <c r="F708" s="489" t="s">
        <v>241</v>
      </c>
      <c r="G708" s="489"/>
      <c r="H708" s="487">
        <v>470890119.93840587</v>
      </c>
      <c r="I708" s="527">
        <v>43674</v>
      </c>
      <c r="J708" s="481">
        <f t="shared" si="77"/>
        <v>697</v>
      </c>
      <c r="K708" s="479" t="str">
        <f t="shared" si="71"/>
        <v/>
      </c>
      <c r="L708" s="479" t="str">
        <f t="shared" si="72"/>
        <v/>
      </c>
      <c r="M708" s="487" t="str">
        <f t="shared" si="73"/>
        <v/>
      </c>
      <c r="N708" s="479" t="str">
        <f t="shared" si="74"/>
        <v/>
      </c>
      <c r="O708" s="479" t="str">
        <f t="shared" si="75"/>
        <v/>
      </c>
      <c r="P708" s="479">
        <f t="shared" si="76"/>
        <v>470890119.93840587</v>
      </c>
    </row>
    <row r="709" spans="2:16">
      <c r="B709" s="530">
        <v>10009811</v>
      </c>
      <c r="C709" s="489" t="s">
        <v>10</v>
      </c>
      <c r="D709" s="489" t="s">
        <v>20</v>
      </c>
      <c r="E709" s="489" t="s">
        <v>158</v>
      </c>
      <c r="F709" s="489" t="s">
        <v>244</v>
      </c>
      <c r="G709" s="489"/>
      <c r="H709" s="487">
        <v>566474965.3589381</v>
      </c>
      <c r="I709" s="527">
        <v>43678</v>
      </c>
      <c r="J709" s="481">
        <f t="shared" si="77"/>
        <v>693</v>
      </c>
      <c r="K709" s="479" t="str">
        <f t="shared" si="71"/>
        <v/>
      </c>
      <c r="L709" s="479" t="str">
        <f t="shared" si="72"/>
        <v/>
      </c>
      <c r="M709" s="487" t="str">
        <f t="shared" si="73"/>
        <v/>
      </c>
      <c r="N709" s="479" t="str">
        <f t="shared" si="74"/>
        <v/>
      </c>
      <c r="O709" s="479" t="str">
        <f t="shared" si="75"/>
        <v/>
      </c>
      <c r="P709" s="479">
        <f t="shared" si="76"/>
        <v>566474965.3589381</v>
      </c>
    </row>
    <row r="710" spans="2:16">
      <c r="B710" s="530">
        <v>10009811</v>
      </c>
      <c r="C710" s="489" t="s">
        <v>10</v>
      </c>
      <c r="D710" s="489" t="s">
        <v>20</v>
      </c>
      <c r="E710" s="489" t="s">
        <v>162</v>
      </c>
      <c r="F710" s="489" t="s">
        <v>57</v>
      </c>
      <c r="G710" s="489"/>
      <c r="H710" s="487">
        <v>612199947.25992894</v>
      </c>
      <c r="I710" s="527">
        <v>43709</v>
      </c>
      <c r="J710" s="481">
        <f t="shared" si="77"/>
        <v>662</v>
      </c>
      <c r="K710" s="479" t="str">
        <f t="shared" si="71"/>
        <v/>
      </c>
      <c r="L710" s="479" t="str">
        <f t="shared" si="72"/>
        <v/>
      </c>
      <c r="M710" s="487" t="str">
        <f t="shared" si="73"/>
        <v/>
      </c>
      <c r="N710" s="479" t="str">
        <f t="shared" si="74"/>
        <v/>
      </c>
      <c r="O710" s="479" t="str">
        <f t="shared" si="75"/>
        <v/>
      </c>
      <c r="P710" s="479">
        <f t="shared" si="76"/>
        <v>612199947.25992894</v>
      </c>
    </row>
    <row r="711" spans="2:16">
      <c r="B711" s="530">
        <v>10009811</v>
      </c>
      <c r="C711" s="489" t="s">
        <v>10</v>
      </c>
      <c r="D711" s="489" t="s">
        <v>20</v>
      </c>
      <c r="E711" s="489" t="s">
        <v>166</v>
      </c>
      <c r="F711" s="489" t="s">
        <v>249</v>
      </c>
      <c r="G711" s="489"/>
      <c r="H711" s="487">
        <v>588080666.895666</v>
      </c>
      <c r="I711" s="527">
        <v>43748</v>
      </c>
      <c r="J711" s="481">
        <f t="shared" si="77"/>
        <v>623</v>
      </c>
      <c r="K711" s="479" t="str">
        <f t="shared" ref="K711:K717" si="78">IF(AND(J711&gt;=16,J711&lt;=30),H711,"")</f>
        <v/>
      </c>
      <c r="L711" s="479" t="str">
        <f t="shared" ref="L711:L717" si="79">IF(AND(J711&gt;=31,J711&lt;=60),H711,"")</f>
        <v/>
      </c>
      <c r="M711" s="487" t="str">
        <f t="shared" ref="M711:M717" si="80">IF(AND(J711&gt;=61,J711&lt;=90),H711,"")</f>
        <v/>
      </c>
      <c r="N711" s="479" t="str">
        <f t="shared" ref="N711:N717" si="81">IF(AND(J711&gt;=91,J711&lt;=180),H711,"")</f>
        <v/>
      </c>
      <c r="O711" s="479" t="str">
        <f t="shared" ref="O711:O717" si="82">IF(AND(J711&gt;=181,J711&lt;=360),H711,"")</f>
        <v/>
      </c>
      <c r="P711" s="479">
        <f t="shared" ref="P711:P717" si="83">IF(J711&gt;=360,H711,"")</f>
        <v>588080666.895666</v>
      </c>
    </row>
    <row r="712" spans="2:16">
      <c r="B712" s="530">
        <v>10009811</v>
      </c>
      <c r="C712" s="489" t="s">
        <v>10</v>
      </c>
      <c r="D712" s="489" t="s">
        <v>20</v>
      </c>
      <c r="E712" s="489" t="s">
        <v>170</v>
      </c>
      <c r="F712" s="489" t="s">
        <v>249</v>
      </c>
      <c r="G712" s="489"/>
      <c r="H712" s="487">
        <v>418154260.46555912</v>
      </c>
      <c r="I712" s="527">
        <v>43781</v>
      </c>
      <c r="J712" s="481">
        <f t="shared" ref="J712:J715" si="84">DATEDIF(I712,$J$4,"D")</f>
        <v>590</v>
      </c>
      <c r="K712" s="479" t="str">
        <f t="shared" si="78"/>
        <v/>
      </c>
      <c r="L712" s="479" t="str">
        <f t="shared" si="79"/>
        <v/>
      </c>
      <c r="M712" s="487" t="str">
        <f t="shared" si="80"/>
        <v/>
      </c>
      <c r="N712" s="479" t="str">
        <f t="shared" si="81"/>
        <v/>
      </c>
      <c r="O712" s="479" t="str">
        <f t="shared" si="82"/>
        <v/>
      </c>
      <c r="P712" s="479">
        <f t="shared" si="83"/>
        <v>418154260.46555912</v>
      </c>
    </row>
    <row r="713" spans="2:16">
      <c r="B713" s="530">
        <v>10009811</v>
      </c>
      <c r="C713" s="489" t="s">
        <v>10</v>
      </c>
      <c r="D713" s="489" t="s">
        <v>20</v>
      </c>
      <c r="E713" s="489" t="s">
        <v>174</v>
      </c>
      <c r="F713" s="489" t="s">
        <v>253</v>
      </c>
      <c r="G713" s="489"/>
      <c r="H713" s="487">
        <v>549467462.97611701</v>
      </c>
      <c r="I713" s="522">
        <v>43800</v>
      </c>
      <c r="J713" s="481">
        <f t="shared" si="84"/>
        <v>571</v>
      </c>
      <c r="K713" s="479" t="str">
        <f t="shared" si="78"/>
        <v/>
      </c>
      <c r="L713" s="479" t="str">
        <f t="shared" si="79"/>
        <v/>
      </c>
      <c r="M713" s="487" t="str">
        <f t="shared" si="80"/>
        <v/>
      </c>
      <c r="N713" s="479" t="str">
        <f t="shared" si="81"/>
        <v/>
      </c>
      <c r="O713" s="479" t="str">
        <f t="shared" si="82"/>
        <v/>
      </c>
      <c r="P713" s="479">
        <f t="shared" si="83"/>
        <v>549467462.97611701</v>
      </c>
    </row>
    <row r="714" spans="2:16">
      <c r="B714" s="530">
        <v>10009811</v>
      </c>
      <c r="C714" s="489" t="s">
        <v>10</v>
      </c>
      <c r="D714" s="489" t="s">
        <v>20</v>
      </c>
      <c r="E714" s="489" t="s">
        <v>778</v>
      </c>
      <c r="F714" s="489" t="s">
        <v>255</v>
      </c>
      <c r="G714" s="489"/>
      <c r="H714" s="487">
        <v>570565569.5832715</v>
      </c>
      <c r="I714" s="522" t="s">
        <v>179</v>
      </c>
      <c r="J714" s="481">
        <f t="shared" si="84"/>
        <v>540</v>
      </c>
      <c r="K714" s="479" t="str">
        <f t="shared" si="78"/>
        <v/>
      </c>
      <c r="L714" s="479" t="str">
        <f t="shared" si="79"/>
        <v/>
      </c>
      <c r="M714" s="487" t="str">
        <f t="shared" si="80"/>
        <v/>
      </c>
      <c r="N714" s="479" t="str">
        <f t="shared" si="81"/>
        <v/>
      </c>
      <c r="O714" s="479" t="str">
        <f t="shared" si="82"/>
        <v/>
      </c>
      <c r="P714" s="479">
        <f t="shared" si="83"/>
        <v>570565569.5832715</v>
      </c>
    </row>
    <row r="715" spans="2:16">
      <c r="B715" s="530">
        <v>10009811</v>
      </c>
      <c r="C715" s="489" t="s">
        <v>10</v>
      </c>
      <c r="D715" s="489" t="s">
        <v>20</v>
      </c>
      <c r="E715" s="489" t="s">
        <v>181</v>
      </c>
      <c r="F715" s="489" t="s">
        <v>258</v>
      </c>
      <c r="G715" s="489"/>
      <c r="H715" s="487">
        <v>26949742.984136805</v>
      </c>
      <c r="I715" s="522">
        <v>43892</v>
      </c>
      <c r="J715" s="481">
        <f t="shared" si="84"/>
        <v>479</v>
      </c>
      <c r="K715" s="479" t="str">
        <f t="shared" si="78"/>
        <v/>
      </c>
      <c r="L715" s="479" t="str">
        <f t="shared" si="79"/>
        <v/>
      </c>
      <c r="M715" s="487" t="str">
        <f t="shared" si="80"/>
        <v/>
      </c>
      <c r="N715" s="479" t="str">
        <f t="shared" si="81"/>
        <v/>
      </c>
      <c r="O715" s="479" t="str">
        <f t="shared" si="82"/>
        <v/>
      </c>
      <c r="P715" s="479">
        <f t="shared" si="83"/>
        <v>26949742.984136805</v>
      </c>
    </row>
    <row r="716" spans="2:16">
      <c r="B716" s="530"/>
      <c r="C716" s="489"/>
      <c r="D716" s="3"/>
      <c r="E716" s="3"/>
      <c r="F716" s="3"/>
      <c r="G716" s="491"/>
      <c r="I716" s="515"/>
      <c r="J716" s="481"/>
      <c r="K716" s="479" t="str">
        <f t="shared" si="78"/>
        <v/>
      </c>
      <c r="L716" s="479" t="str">
        <f t="shared" si="79"/>
        <v/>
      </c>
      <c r="M716" s="487" t="str">
        <f t="shared" si="80"/>
        <v/>
      </c>
      <c r="N716" s="479" t="str">
        <f t="shared" si="81"/>
        <v/>
      </c>
      <c r="O716" s="479" t="str">
        <f t="shared" si="82"/>
        <v/>
      </c>
      <c r="P716" s="479" t="str">
        <f t="shared" si="83"/>
        <v/>
      </c>
    </row>
    <row r="717" spans="2:16" ht="21.75" thickBot="1">
      <c r="B717" s="530"/>
      <c r="C717" s="489"/>
      <c r="D717" s="3"/>
      <c r="E717" s="5"/>
      <c r="F717" s="5"/>
      <c r="G717" s="503"/>
      <c r="H717" s="6"/>
      <c r="I717" s="517"/>
      <c r="J717" s="481"/>
      <c r="K717" s="479" t="str">
        <f t="shared" si="78"/>
        <v/>
      </c>
      <c r="L717" s="479" t="str">
        <f t="shared" si="79"/>
        <v/>
      </c>
      <c r="M717" s="487" t="str">
        <f t="shared" si="80"/>
        <v/>
      </c>
      <c r="N717" s="479" t="str">
        <f t="shared" si="81"/>
        <v/>
      </c>
      <c r="O717" s="479" t="str">
        <f t="shared" si="82"/>
        <v/>
      </c>
      <c r="P717" s="479" t="str">
        <f t="shared" si="83"/>
        <v/>
      </c>
    </row>
    <row r="718" spans="2:16" ht="24" thickBot="1">
      <c r="B718" s="530"/>
      <c r="C718" s="489"/>
      <c r="D718" s="502"/>
      <c r="E718" s="504" t="s">
        <v>2229</v>
      </c>
      <c r="F718" s="505"/>
      <c r="G718" s="506"/>
      <c r="H718" s="507">
        <f>SUM(H6:H715)</f>
        <v>268891402332.04895</v>
      </c>
      <c r="I718" s="518"/>
      <c r="J718" s="508"/>
      <c r="K718" s="509" t="e">
        <f>SUM(K6:K715)</f>
        <v>#NUM!</v>
      </c>
      <c r="L718" s="510" t="e">
        <f t="shared" ref="L718:P718" si="85">SUM(L6:L715)</f>
        <v>#NUM!</v>
      </c>
      <c r="M718" s="511" t="e">
        <f t="shared" si="85"/>
        <v>#NUM!</v>
      </c>
      <c r="N718" s="512" t="e">
        <f t="shared" si="85"/>
        <v>#NUM!</v>
      </c>
      <c r="O718" s="513" t="e">
        <f t="shared" si="85"/>
        <v>#NUM!</v>
      </c>
      <c r="P718" s="529" t="e">
        <f t="shared" si="85"/>
        <v>#NUM!</v>
      </c>
    </row>
  </sheetData>
  <mergeCells count="2">
    <mergeCell ref="D1:I1"/>
    <mergeCell ref="D2:I2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9"/>
  <sheetViews>
    <sheetView zoomScaleNormal="100" workbookViewId="0">
      <selection activeCell="J4" sqref="J4"/>
    </sheetView>
  </sheetViews>
  <sheetFormatPr defaultRowHeight="18.75"/>
  <cols>
    <col min="1" max="1" width="9.140625" style="543"/>
    <col min="2" max="2" width="21.140625" style="615" customWidth="1"/>
    <col min="3" max="3" width="22" style="615" customWidth="1"/>
    <col min="4" max="4" width="50.5703125" style="543" bestFit="1" customWidth="1"/>
    <col min="5" max="5" width="32.5703125" style="543" bestFit="1" customWidth="1"/>
    <col min="6" max="6" width="19" style="543" customWidth="1"/>
    <col min="7" max="7" width="15" style="573" customWidth="1"/>
    <col min="8" max="8" width="32.85546875" style="579" bestFit="1" customWidth="1"/>
    <col min="9" max="9" width="22.42578125" style="584" customWidth="1"/>
    <col min="10" max="10" width="32.85546875" style="546" customWidth="1"/>
    <col min="11" max="11" width="18.85546875" style="599" customWidth="1"/>
    <col min="12" max="12" width="25.5703125" style="599" customWidth="1"/>
    <col min="13" max="13" width="27.5703125" style="599" customWidth="1"/>
    <col min="14" max="14" width="29" style="599" bestFit="1" customWidth="1"/>
    <col min="15" max="15" width="26.5703125" style="599" customWidth="1"/>
    <col min="16" max="16" width="35.5703125" style="599" customWidth="1"/>
    <col min="17" max="16384" width="9.140625" style="543"/>
  </cols>
  <sheetData>
    <row r="1" spans="2:16" ht="15.75">
      <c r="I1" s="578" t="s">
        <v>2230</v>
      </c>
      <c r="J1" s="559" t="s">
        <v>2231</v>
      </c>
    </row>
    <row r="2" spans="2:16" ht="27" customHeight="1"/>
    <row r="3" spans="2:16" s="613" customFormat="1" ht="48" customHeight="1">
      <c r="B3" s="603" t="s">
        <v>1</v>
      </c>
      <c r="C3" s="603" t="s">
        <v>2</v>
      </c>
      <c r="D3" s="604" t="s">
        <v>128</v>
      </c>
      <c r="E3" s="604" t="s">
        <v>129</v>
      </c>
      <c r="F3" s="604" t="s">
        <v>130</v>
      </c>
      <c r="G3" s="605" t="s">
        <v>3</v>
      </c>
      <c r="H3" s="606" t="s">
        <v>131</v>
      </c>
      <c r="I3" s="607" t="s">
        <v>2217</v>
      </c>
      <c r="J3" s="608" t="s">
        <v>2214</v>
      </c>
      <c r="K3" s="606" t="s">
        <v>4</v>
      </c>
      <c r="L3" s="609" t="s">
        <v>5</v>
      </c>
      <c r="M3" s="610" t="s">
        <v>6</v>
      </c>
      <c r="N3" s="611" t="s">
        <v>7</v>
      </c>
      <c r="O3" s="612" t="s">
        <v>8</v>
      </c>
      <c r="P3" s="614" t="s">
        <v>9</v>
      </c>
    </row>
    <row r="4" spans="2:16">
      <c r="D4" s="544"/>
      <c r="J4" s="627">
        <f ca="1">TODAY()</f>
        <v>44420</v>
      </c>
    </row>
    <row r="5" spans="2:16" ht="21">
      <c r="D5" s="624" t="s">
        <v>138</v>
      </c>
    </row>
    <row r="6" spans="2:16">
      <c r="D6" s="544"/>
      <c r="J6" s="625"/>
    </row>
    <row r="7" spans="2:16" s="477" customFormat="1" ht="19.5" customHeight="1">
      <c r="B7" s="616">
        <v>10014026</v>
      </c>
      <c r="C7" s="621" t="s">
        <v>10</v>
      </c>
      <c r="D7" s="560" t="s">
        <v>25</v>
      </c>
      <c r="E7" s="547" t="s">
        <v>221</v>
      </c>
      <c r="F7" s="566" t="s">
        <v>26</v>
      </c>
      <c r="G7" s="574">
        <v>44237</v>
      </c>
      <c r="H7" s="580">
        <v>5808334.548620834</v>
      </c>
      <c r="I7" s="585">
        <v>44250</v>
      </c>
      <c r="J7" s="626">
        <f ca="1">DATEDIF(I7,$J$4,"D")</f>
        <v>170</v>
      </c>
      <c r="K7" s="600" t="str">
        <f ca="1">IF(AND(J7&gt;=16,J7&lt;=30),H7,"")</f>
        <v/>
      </c>
      <c r="L7" s="600" t="str">
        <f ca="1">IF(AND(J7&gt;=31,J7&lt;=60),H7,"")</f>
        <v/>
      </c>
      <c r="M7" s="601" t="str">
        <f ca="1">IF(AND(J7&gt;=61,J7&lt;=90),H7,"")</f>
        <v/>
      </c>
      <c r="N7" s="600">
        <f ca="1">IF(AND(J7&gt;=91,J7&lt;=180),H7,"")</f>
        <v>5808334.548620834</v>
      </c>
      <c r="O7" s="600" t="str">
        <f ca="1">IF(AND(J7&gt;=181,J7&lt;=360),H7,"")</f>
        <v/>
      </c>
      <c r="P7" s="600" t="str">
        <f ca="1">IF(J7&gt;=360,H7,"")</f>
        <v/>
      </c>
    </row>
    <row r="8" spans="2:16" s="477" customFormat="1" ht="19.5" customHeight="1">
      <c r="B8" s="617">
        <v>10014026</v>
      </c>
      <c r="C8" s="621" t="s">
        <v>10</v>
      </c>
      <c r="D8" s="561" t="s">
        <v>25</v>
      </c>
      <c r="E8" s="547" t="s">
        <v>222</v>
      </c>
      <c r="F8" s="566" t="s">
        <v>223</v>
      </c>
      <c r="G8" s="574">
        <v>44260</v>
      </c>
      <c r="H8" s="580">
        <v>3884828.5404569022</v>
      </c>
      <c r="I8" s="586">
        <v>44275</v>
      </c>
      <c r="J8" s="626">
        <f t="shared" ref="J8:J15" ca="1" si="0">DATEDIF(I8,$J$4,"D")</f>
        <v>145</v>
      </c>
      <c r="K8" s="600" t="str">
        <f t="shared" ref="K8:K15" ca="1" si="1">IF(AND(J8&gt;=16,J8&lt;=30),H8,"")</f>
        <v/>
      </c>
      <c r="L8" s="600" t="str">
        <f t="shared" ref="L8:L15" ca="1" si="2">IF(AND(J8&gt;=31,J8&lt;=60),H8,"")</f>
        <v/>
      </c>
      <c r="M8" s="601" t="str">
        <f t="shared" ref="M8:M15" ca="1" si="3">IF(AND(J8&gt;=61,J8&lt;=90),H8,"")</f>
        <v/>
      </c>
      <c r="N8" s="600">
        <f t="shared" ref="N8:N15" ca="1" si="4">IF(AND(J8&gt;=91,J8&lt;=180),H8,"")</f>
        <v>3884828.5404569022</v>
      </c>
      <c r="O8" s="600" t="str">
        <f t="shared" ref="O8:O15" ca="1" si="5">IF(AND(J8&gt;=181,J8&lt;=360),H8,"")</f>
        <v/>
      </c>
      <c r="P8" s="600" t="str">
        <f t="shared" ref="P8:P15" ca="1" si="6">IF(J8&gt;=360,H8,"")</f>
        <v/>
      </c>
    </row>
    <row r="9" spans="2:16" s="477" customFormat="1" ht="19.5" customHeight="1">
      <c r="B9" s="617"/>
      <c r="C9" s="621"/>
      <c r="D9" s="561"/>
      <c r="E9" s="547"/>
      <c r="F9" s="566"/>
      <c r="G9" s="575"/>
      <c r="H9" s="580"/>
      <c r="I9" s="587"/>
      <c r="J9" s="626"/>
      <c r="K9" s="600" t="str">
        <f>IF(AND(J9&gt;=16,J9&lt;=30),H9,"")</f>
        <v/>
      </c>
      <c r="L9" s="600" t="str">
        <f>IF(AND(J9&gt;=31,J9&lt;=60),H9,"")</f>
        <v/>
      </c>
      <c r="M9" s="601" t="str">
        <f>IF(AND(J9&gt;=61,J9&lt;=90),H9,"")</f>
        <v/>
      </c>
      <c r="N9" s="600" t="str">
        <f>IF(AND(J9&gt;=91,J9&lt;=180),H9,"")</f>
        <v/>
      </c>
      <c r="O9" s="600" t="str">
        <f>IF(AND(J9&gt;=181,J9&lt;=360),H9,"")</f>
        <v/>
      </c>
      <c r="P9" s="600" t="str">
        <f>IF(J9&gt;=360,H9,"")</f>
        <v/>
      </c>
    </row>
    <row r="10" spans="2:16" s="477" customFormat="1" ht="19.5" customHeight="1">
      <c r="B10" s="617"/>
      <c r="C10" s="621"/>
      <c r="D10" s="561"/>
      <c r="E10" s="547"/>
      <c r="F10" s="566"/>
      <c r="G10" s="575"/>
      <c r="H10" s="580"/>
      <c r="I10" s="587"/>
      <c r="J10" s="626"/>
      <c r="K10" s="600" t="str">
        <f>IF(AND(J10&gt;=16,J10&lt;=30),H10,"")</f>
        <v/>
      </c>
      <c r="L10" s="600" t="str">
        <f>IF(AND(J10&gt;=31,J10&lt;=60),H10,"")</f>
        <v/>
      </c>
      <c r="M10" s="601" t="str">
        <f>IF(AND(J10&gt;=61,J10&lt;=90),H10,"")</f>
        <v/>
      </c>
      <c r="N10" s="600" t="str">
        <f>IF(AND(J10&gt;=91,J10&lt;=180),H10,"")</f>
        <v/>
      </c>
      <c r="O10" s="600" t="str">
        <f>IF(AND(J10&gt;=181,J10&lt;=360),H10,"")</f>
        <v/>
      </c>
      <c r="P10" s="600" t="str">
        <f>IF(J10&gt;=360,H10,"")</f>
        <v/>
      </c>
    </row>
    <row r="11" spans="2:16" s="477" customFormat="1" ht="21">
      <c r="B11" s="617">
        <v>10000581</v>
      </c>
      <c r="C11" s="621" t="s">
        <v>10</v>
      </c>
      <c r="D11" s="561" t="s">
        <v>28</v>
      </c>
      <c r="E11" s="549" t="s">
        <v>221</v>
      </c>
      <c r="F11" s="566" t="s">
        <v>29</v>
      </c>
      <c r="G11" s="574">
        <v>44410</v>
      </c>
      <c r="H11" s="580">
        <v>56578862.039423943</v>
      </c>
      <c r="I11" s="586">
        <v>44258</v>
      </c>
      <c r="J11" s="626">
        <f t="shared" ca="1" si="0"/>
        <v>162</v>
      </c>
      <c r="K11" s="600" t="str">
        <f t="shared" ca="1" si="1"/>
        <v/>
      </c>
      <c r="L11" s="600" t="str">
        <f t="shared" ca="1" si="2"/>
        <v/>
      </c>
      <c r="M11" s="601" t="str">
        <f t="shared" ca="1" si="3"/>
        <v/>
      </c>
      <c r="N11" s="600">
        <f t="shared" ca="1" si="4"/>
        <v>56578862.039423943</v>
      </c>
      <c r="O11" s="600" t="str">
        <f t="shared" ca="1" si="5"/>
        <v/>
      </c>
      <c r="P11" s="600" t="str">
        <f t="shared" ca="1" si="6"/>
        <v/>
      </c>
    </row>
    <row r="12" spans="2:16" s="477" customFormat="1" ht="21">
      <c r="B12" s="617">
        <v>10000581</v>
      </c>
      <c r="C12" s="621" t="s">
        <v>10</v>
      </c>
      <c r="D12" s="561" t="s">
        <v>28</v>
      </c>
      <c r="E12" s="549" t="s">
        <v>222</v>
      </c>
      <c r="F12" s="566" t="s">
        <v>301</v>
      </c>
      <c r="G12" s="574">
        <v>44319</v>
      </c>
      <c r="H12" s="580">
        <v>99623212.688884497</v>
      </c>
      <c r="I12" s="586">
        <v>44275</v>
      </c>
      <c r="J12" s="626">
        <f t="shared" ca="1" si="0"/>
        <v>145</v>
      </c>
      <c r="K12" s="600" t="str">
        <f t="shared" ca="1" si="1"/>
        <v/>
      </c>
      <c r="L12" s="600" t="str">
        <f t="shared" ca="1" si="2"/>
        <v/>
      </c>
      <c r="M12" s="601" t="str">
        <f t="shared" ca="1" si="3"/>
        <v/>
      </c>
      <c r="N12" s="600">
        <f t="shared" ca="1" si="4"/>
        <v>99623212.688884497</v>
      </c>
      <c r="O12" s="600" t="str">
        <f t="shared" ca="1" si="5"/>
        <v/>
      </c>
      <c r="P12" s="600" t="str">
        <f t="shared" ca="1" si="6"/>
        <v/>
      </c>
    </row>
    <row r="13" spans="2:16" s="477" customFormat="1" ht="21">
      <c r="B13" s="618"/>
      <c r="C13" s="618"/>
      <c r="D13" s="562"/>
      <c r="E13" s="572"/>
      <c r="F13" s="567"/>
      <c r="G13" s="576"/>
      <c r="H13" s="581"/>
      <c r="I13" s="588"/>
      <c r="J13" s="626"/>
      <c r="K13" s="600" t="str">
        <f>IF(AND(J13&gt;=16,J13&lt;=30),H13,"")</f>
        <v/>
      </c>
      <c r="L13" s="600" t="str">
        <f>IF(AND(J13&gt;=31,J13&lt;=60),H13,"")</f>
        <v/>
      </c>
      <c r="M13" s="601" t="str">
        <f>IF(AND(J13&gt;=61,J13&lt;=90),H13,"")</f>
        <v/>
      </c>
      <c r="N13" s="600" t="str">
        <f>IF(AND(J13&gt;=91,J13&lt;=180),H13,"")</f>
        <v/>
      </c>
      <c r="O13" s="600" t="str">
        <f>IF(AND(J13&gt;=181,J13&lt;=360),H13,"")</f>
        <v/>
      </c>
      <c r="P13" s="600" t="str">
        <f>IF(J13&gt;=360,H13,"")</f>
        <v/>
      </c>
    </row>
    <row r="14" spans="2:16">
      <c r="B14" s="619">
        <v>10000433</v>
      </c>
      <c r="C14" s="619" t="s">
        <v>10</v>
      </c>
      <c r="D14" s="563" t="s">
        <v>30</v>
      </c>
      <c r="E14" s="243" t="s">
        <v>195</v>
      </c>
      <c r="F14" s="568" t="s">
        <v>333</v>
      </c>
      <c r="G14" s="573" t="s">
        <v>197</v>
      </c>
      <c r="H14" s="579">
        <v>98306.172228250187</v>
      </c>
      <c r="I14" s="584">
        <v>44001</v>
      </c>
      <c r="J14" s="626">
        <f t="shared" ca="1" si="0"/>
        <v>419</v>
      </c>
      <c r="K14" s="600" t="str">
        <f t="shared" ca="1" si="1"/>
        <v/>
      </c>
      <c r="L14" s="600" t="str">
        <f t="shared" ca="1" si="2"/>
        <v/>
      </c>
      <c r="M14" s="601" t="str">
        <f t="shared" ca="1" si="3"/>
        <v/>
      </c>
      <c r="N14" s="600" t="str">
        <f t="shared" ca="1" si="4"/>
        <v/>
      </c>
      <c r="O14" s="600" t="str">
        <f t="shared" ca="1" si="5"/>
        <v/>
      </c>
      <c r="P14" s="600">
        <f t="shared" ca="1" si="6"/>
        <v>98306.172228250187</v>
      </c>
    </row>
    <row r="15" spans="2:16">
      <c r="B15" s="619">
        <v>10000433</v>
      </c>
      <c r="C15" s="619" t="s">
        <v>10</v>
      </c>
      <c r="D15" s="563" t="s">
        <v>30</v>
      </c>
      <c r="E15" s="243" t="s">
        <v>199</v>
      </c>
      <c r="F15" s="568" t="s">
        <v>335</v>
      </c>
      <c r="G15" s="573">
        <v>44049</v>
      </c>
      <c r="H15" s="579">
        <v>1145943.9785100017</v>
      </c>
      <c r="I15" s="584">
        <v>44015</v>
      </c>
      <c r="J15" s="626">
        <f t="shared" ca="1" si="0"/>
        <v>405</v>
      </c>
      <c r="K15" s="600" t="str">
        <f t="shared" ca="1" si="1"/>
        <v/>
      </c>
      <c r="L15" s="600" t="str">
        <f t="shared" ca="1" si="2"/>
        <v/>
      </c>
      <c r="M15" s="601" t="str">
        <f t="shared" ca="1" si="3"/>
        <v/>
      </c>
      <c r="N15" s="600" t="str">
        <f t="shared" ca="1" si="4"/>
        <v/>
      </c>
      <c r="O15" s="600" t="str">
        <f t="shared" ca="1" si="5"/>
        <v/>
      </c>
      <c r="P15" s="600">
        <f t="shared" ca="1" si="6"/>
        <v>1145943.9785100017</v>
      </c>
    </row>
    <row r="16" spans="2:16">
      <c r="B16" s="619">
        <v>10000433</v>
      </c>
      <c r="C16" s="619" t="s">
        <v>10</v>
      </c>
      <c r="D16" s="563" t="s">
        <v>30</v>
      </c>
      <c r="E16" s="243" t="s">
        <v>203</v>
      </c>
      <c r="F16" s="568" t="s">
        <v>338</v>
      </c>
      <c r="G16" s="573">
        <v>43990</v>
      </c>
      <c r="H16" s="579">
        <v>11215589.548319997</v>
      </c>
      <c r="I16" s="584">
        <v>44064</v>
      </c>
      <c r="J16" s="626">
        <f ca="1">DATEDIF(I16,$J$4,"D")</f>
        <v>356</v>
      </c>
      <c r="K16" s="600" t="str">
        <f t="shared" ref="K16:K21" ca="1" si="7">IF(AND(J16&gt;=16,J16&lt;=30),H16,"")</f>
        <v/>
      </c>
      <c r="L16" s="600" t="str">
        <f t="shared" ref="L16:L21" ca="1" si="8">IF(AND(J16&gt;=31,J16&lt;=60),H16,"")</f>
        <v/>
      </c>
      <c r="M16" s="601" t="str">
        <f t="shared" ref="M16:M21" ca="1" si="9">IF(AND(J16&gt;=61,J16&lt;=90),H16,"")</f>
        <v/>
      </c>
      <c r="N16" s="600" t="str">
        <f t="shared" ref="N16:N21" ca="1" si="10">IF(AND(J16&gt;=91,J16&lt;=180),H16,"")</f>
        <v/>
      </c>
      <c r="O16" s="600">
        <f t="shared" ref="O16:O21" ca="1" si="11">IF(AND(J16&gt;=181,J16&lt;=360),H16,"")</f>
        <v>11215589.548319997</v>
      </c>
      <c r="P16" s="600" t="str">
        <f t="shared" ref="P16:P21" ca="1" si="12">IF(J16&gt;=360,H16,"")</f>
        <v/>
      </c>
    </row>
    <row r="17" spans="2:16">
      <c r="B17" s="619">
        <v>10000433</v>
      </c>
      <c r="C17" s="619" t="s">
        <v>10</v>
      </c>
      <c r="D17" s="563" t="s">
        <v>30</v>
      </c>
      <c r="E17" s="243" t="s">
        <v>207</v>
      </c>
      <c r="F17" s="568" t="s">
        <v>340</v>
      </c>
      <c r="G17" s="573" t="s">
        <v>292</v>
      </c>
      <c r="H17" s="579">
        <v>16464152.47194</v>
      </c>
      <c r="I17" s="584">
        <v>44099</v>
      </c>
      <c r="J17" s="626">
        <f ca="1">DATEDIF(I17,$J$4,"D")</f>
        <v>321</v>
      </c>
      <c r="K17" s="600" t="str">
        <f t="shared" ca="1" si="7"/>
        <v/>
      </c>
      <c r="L17" s="600" t="str">
        <f t="shared" ca="1" si="8"/>
        <v/>
      </c>
      <c r="M17" s="601" t="str">
        <f t="shared" ca="1" si="9"/>
        <v/>
      </c>
      <c r="N17" s="600" t="str">
        <f t="shared" ca="1" si="10"/>
        <v/>
      </c>
      <c r="O17" s="600">
        <f t="shared" ca="1" si="11"/>
        <v>16464152.47194</v>
      </c>
      <c r="P17" s="600" t="str">
        <f t="shared" ca="1" si="12"/>
        <v/>
      </c>
    </row>
    <row r="18" spans="2:16">
      <c r="B18" s="619"/>
      <c r="C18" s="619"/>
      <c r="D18" s="563"/>
      <c r="E18" s="243"/>
      <c r="F18" s="568"/>
      <c r="J18" s="626"/>
      <c r="K18" s="600" t="str">
        <f t="shared" si="7"/>
        <v/>
      </c>
      <c r="L18" s="600" t="str">
        <f t="shared" si="8"/>
        <v/>
      </c>
      <c r="M18" s="601" t="str">
        <f t="shared" si="9"/>
        <v/>
      </c>
      <c r="N18" s="600" t="str">
        <f t="shared" si="10"/>
        <v/>
      </c>
      <c r="O18" s="600" t="str">
        <f t="shared" si="11"/>
        <v/>
      </c>
      <c r="P18" s="600" t="str">
        <f t="shared" si="12"/>
        <v/>
      </c>
    </row>
    <row r="19" spans="2:16">
      <c r="B19" s="617">
        <v>10011811</v>
      </c>
      <c r="C19" s="621" t="s">
        <v>10</v>
      </c>
      <c r="D19" s="564" t="s">
        <v>354</v>
      </c>
      <c r="E19" s="550" t="s">
        <v>207</v>
      </c>
      <c r="F19" s="566" t="s">
        <v>385</v>
      </c>
      <c r="G19" s="574" t="s">
        <v>292</v>
      </c>
      <c r="H19" s="580">
        <v>11961728.460331507</v>
      </c>
      <c r="I19" s="589">
        <v>44099</v>
      </c>
      <c r="J19" s="626">
        <f ca="1">DATEDIF(I19,$J$4,"D")</f>
        <v>321</v>
      </c>
      <c r="K19" s="600" t="str">
        <f t="shared" ca="1" si="7"/>
        <v/>
      </c>
      <c r="L19" s="600" t="str">
        <f t="shared" ca="1" si="8"/>
        <v/>
      </c>
      <c r="M19" s="601" t="str">
        <f t="shared" ca="1" si="9"/>
        <v/>
      </c>
      <c r="N19" s="600" t="str">
        <f t="shared" ca="1" si="10"/>
        <v/>
      </c>
      <c r="O19" s="600">
        <f t="shared" ca="1" si="11"/>
        <v>11961728.460331507</v>
      </c>
      <c r="P19" s="600" t="str">
        <f t="shared" ca="1" si="12"/>
        <v/>
      </c>
    </row>
    <row r="20" spans="2:16">
      <c r="B20" s="617">
        <v>10011811</v>
      </c>
      <c r="C20" s="621" t="s">
        <v>10</v>
      </c>
      <c r="D20" s="564" t="s">
        <v>354</v>
      </c>
      <c r="E20" s="550" t="s">
        <v>218</v>
      </c>
      <c r="F20" s="566" t="s">
        <v>39</v>
      </c>
      <c r="G20" s="574">
        <v>44024</v>
      </c>
      <c r="H20" s="580">
        <v>13659639.038073748</v>
      </c>
      <c r="I20" s="589">
        <v>44208</v>
      </c>
      <c r="J20" s="626"/>
      <c r="K20" s="600" t="str">
        <f t="shared" si="7"/>
        <v/>
      </c>
      <c r="L20" s="600" t="str">
        <f t="shared" si="8"/>
        <v/>
      </c>
      <c r="M20" s="601" t="str">
        <f t="shared" si="9"/>
        <v/>
      </c>
      <c r="N20" s="600" t="str">
        <f t="shared" si="10"/>
        <v/>
      </c>
      <c r="O20" s="600" t="str">
        <f t="shared" si="11"/>
        <v/>
      </c>
      <c r="P20" s="600" t="str">
        <f t="shared" si="12"/>
        <v/>
      </c>
    </row>
    <row r="21" spans="2:16">
      <c r="B21" s="617">
        <v>10011811</v>
      </c>
      <c r="C21" s="621" t="s">
        <v>10</v>
      </c>
      <c r="D21" s="564" t="s">
        <v>354</v>
      </c>
      <c r="E21" s="550" t="s">
        <v>222</v>
      </c>
      <c r="F21" s="566" t="s">
        <v>393</v>
      </c>
      <c r="G21" s="574">
        <v>44319</v>
      </c>
      <c r="H21" s="580">
        <v>17537324.554827001</v>
      </c>
      <c r="I21" s="586">
        <v>44275</v>
      </c>
      <c r="J21" s="626"/>
      <c r="K21" s="600" t="str">
        <f t="shared" si="7"/>
        <v/>
      </c>
      <c r="L21" s="600" t="str">
        <f t="shared" si="8"/>
        <v/>
      </c>
      <c r="M21" s="601" t="str">
        <f t="shared" si="9"/>
        <v/>
      </c>
      <c r="N21" s="600" t="str">
        <f t="shared" si="10"/>
        <v/>
      </c>
      <c r="O21" s="600" t="str">
        <f t="shared" si="11"/>
        <v/>
      </c>
      <c r="P21" s="600" t="str">
        <f t="shared" si="12"/>
        <v/>
      </c>
    </row>
    <row r="22" spans="2:16">
      <c r="B22" s="617"/>
      <c r="C22" s="621"/>
      <c r="D22" s="564"/>
      <c r="E22" s="245"/>
      <c r="F22" s="569"/>
      <c r="G22" s="577"/>
      <c r="H22" s="582"/>
      <c r="I22" s="590"/>
      <c r="J22" s="625"/>
    </row>
    <row r="23" spans="2:16">
      <c r="B23" s="617"/>
      <c r="C23" s="621"/>
      <c r="D23" s="564"/>
      <c r="E23" s="551"/>
      <c r="F23" s="566"/>
      <c r="G23" s="574"/>
      <c r="H23" s="580"/>
      <c r="I23" s="591"/>
      <c r="J23" s="625"/>
    </row>
    <row r="24" spans="2:16">
      <c r="B24" s="617"/>
      <c r="C24" s="621"/>
      <c r="D24" s="565"/>
      <c r="E24" s="551"/>
      <c r="F24" s="566"/>
      <c r="G24" s="574"/>
      <c r="H24" s="580"/>
      <c r="I24" s="589"/>
      <c r="J24" s="625"/>
    </row>
    <row r="25" spans="2:16">
      <c r="B25" s="617">
        <v>10000438</v>
      </c>
      <c r="C25" s="621" t="s">
        <v>10</v>
      </c>
      <c r="D25" s="565" t="s">
        <v>395</v>
      </c>
      <c r="E25" s="550" t="s">
        <v>136</v>
      </c>
      <c r="F25" s="566"/>
      <c r="G25" s="574"/>
      <c r="H25" s="582">
        <v>1733718.1639857001</v>
      </c>
      <c r="I25" s="591"/>
      <c r="J25" s="626"/>
      <c r="K25" s="600" t="str">
        <f t="shared" ref="K25:K46" si="13">IF(AND(J25&gt;=16,J25&lt;=30),H25,"")</f>
        <v/>
      </c>
      <c r="L25" s="600" t="str">
        <f t="shared" ref="L25:L46" si="14">IF(AND(J25&gt;=31,J25&lt;=60),H25,"")</f>
        <v/>
      </c>
      <c r="M25" s="601" t="str">
        <f t="shared" ref="M25:M46" si="15">IF(AND(J25&gt;=61,J25&lt;=90),H25,"")</f>
        <v/>
      </c>
      <c r="N25" s="600" t="str">
        <f t="shared" ref="N25:N46" si="16">IF(AND(J25&gt;=91,J25&lt;=180),H25,"")</f>
        <v/>
      </c>
      <c r="O25" s="600" t="str">
        <f t="shared" ref="O25:O46" si="17">IF(AND(J25&gt;=181,J25&lt;=360),H25,"")</f>
        <v/>
      </c>
      <c r="P25" s="600" t="str">
        <f t="shared" ref="P25:P46" si="18">IF(J25&gt;=360,H25,"")</f>
        <v/>
      </c>
    </row>
    <row r="26" spans="2:16">
      <c r="B26" s="617">
        <v>10000438</v>
      </c>
      <c r="C26" s="621" t="s">
        <v>10</v>
      </c>
      <c r="D26" s="565" t="s">
        <v>395</v>
      </c>
      <c r="E26" s="550" t="s">
        <v>191</v>
      </c>
      <c r="F26" s="566" t="s">
        <v>445</v>
      </c>
      <c r="G26" s="574">
        <v>43986</v>
      </c>
      <c r="H26" s="582">
        <v>22437.782442000003</v>
      </c>
      <c r="I26" s="591">
        <v>43949</v>
      </c>
      <c r="J26" s="626">
        <f t="shared" ref="J26:J46" ca="1" si="19">DATEDIF(I26,$J$4,"D")</f>
        <v>471</v>
      </c>
      <c r="K26" s="600" t="str">
        <f t="shared" ca="1" si="13"/>
        <v/>
      </c>
      <c r="L26" s="600" t="str">
        <f t="shared" ca="1" si="14"/>
        <v/>
      </c>
      <c r="M26" s="601" t="str">
        <f t="shared" ca="1" si="15"/>
        <v/>
      </c>
      <c r="N26" s="600" t="str">
        <f t="shared" ca="1" si="16"/>
        <v/>
      </c>
      <c r="O26" s="600" t="str">
        <f t="shared" ca="1" si="17"/>
        <v/>
      </c>
      <c r="P26" s="600">
        <f t="shared" ca="1" si="18"/>
        <v>22437.782442000003</v>
      </c>
    </row>
    <row r="27" spans="2:16">
      <c r="B27" s="617">
        <v>10000438</v>
      </c>
      <c r="C27" s="621" t="s">
        <v>10</v>
      </c>
      <c r="D27" s="565" t="s">
        <v>395</v>
      </c>
      <c r="E27" s="550" t="s">
        <v>195</v>
      </c>
      <c r="F27" s="566" t="s">
        <v>446</v>
      </c>
      <c r="G27" s="574" t="s">
        <v>197</v>
      </c>
      <c r="H27" s="582">
        <v>19797.941771499998</v>
      </c>
      <c r="I27" s="591">
        <v>43980</v>
      </c>
      <c r="J27" s="626">
        <f t="shared" ca="1" si="19"/>
        <v>440</v>
      </c>
      <c r="K27" s="600" t="str">
        <f t="shared" ca="1" si="13"/>
        <v/>
      </c>
      <c r="L27" s="600" t="str">
        <f t="shared" ca="1" si="14"/>
        <v/>
      </c>
      <c r="M27" s="601" t="str">
        <f t="shared" ca="1" si="15"/>
        <v/>
      </c>
      <c r="N27" s="600" t="str">
        <f t="shared" ca="1" si="16"/>
        <v/>
      </c>
      <c r="O27" s="600" t="str">
        <f t="shared" ca="1" si="17"/>
        <v/>
      </c>
      <c r="P27" s="600">
        <f t="shared" ca="1" si="18"/>
        <v>19797.941771499998</v>
      </c>
    </row>
    <row r="28" spans="2:16">
      <c r="B28" s="617">
        <v>10000438</v>
      </c>
      <c r="C28" s="621" t="s">
        <v>10</v>
      </c>
      <c r="D28" s="565" t="s">
        <v>395</v>
      </c>
      <c r="E28" s="550" t="s">
        <v>199</v>
      </c>
      <c r="F28" s="566" t="s">
        <v>447</v>
      </c>
      <c r="G28" s="574">
        <v>44049</v>
      </c>
      <c r="H28" s="582">
        <v>22615.347440000001</v>
      </c>
      <c r="I28" s="591">
        <v>44015</v>
      </c>
      <c r="J28" s="626">
        <f t="shared" ca="1" si="19"/>
        <v>405</v>
      </c>
      <c r="K28" s="600" t="str">
        <f t="shared" ca="1" si="13"/>
        <v/>
      </c>
      <c r="L28" s="600" t="str">
        <f t="shared" ca="1" si="14"/>
        <v/>
      </c>
      <c r="M28" s="601" t="str">
        <f t="shared" ca="1" si="15"/>
        <v/>
      </c>
      <c r="N28" s="600" t="str">
        <f t="shared" ca="1" si="16"/>
        <v/>
      </c>
      <c r="O28" s="600" t="str">
        <f t="shared" ca="1" si="17"/>
        <v/>
      </c>
      <c r="P28" s="600">
        <f t="shared" ca="1" si="18"/>
        <v>22615.347440000001</v>
      </c>
    </row>
    <row r="29" spans="2:16">
      <c r="B29" s="617">
        <v>10000438</v>
      </c>
      <c r="C29" s="621" t="s">
        <v>10</v>
      </c>
      <c r="D29" s="565" t="s">
        <v>395</v>
      </c>
      <c r="E29" s="550" t="s">
        <v>201</v>
      </c>
      <c r="F29" s="566" t="s">
        <v>448</v>
      </c>
      <c r="G29" s="574" t="s">
        <v>449</v>
      </c>
      <c r="H29" s="582">
        <v>23693.977859999999</v>
      </c>
      <c r="I29" s="591">
        <v>44050</v>
      </c>
      <c r="J29" s="626">
        <f t="shared" ca="1" si="19"/>
        <v>370</v>
      </c>
      <c r="K29" s="600" t="str">
        <f t="shared" ca="1" si="13"/>
        <v/>
      </c>
      <c r="L29" s="600" t="str">
        <f t="shared" ca="1" si="14"/>
        <v/>
      </c>
      <c r="M29" s="601" t="str">
        <f t="shared" ca="1" si="15"/>
        <v/>
      </c>
      <c r="N29" s="600" t="str">
        <f t="shared" ca="1" si="16"/>
        <v/>
      </c>
      <c r="O29" s="600" t="str">
        <f t="shared" ca="1" si="17"/>
        <v/>
      </c>
      <c r="P29" s="600">
        <f t="shared" ca="1" si="18"/>
        <v>23693.977859999999</v>
      </c>
    </row>
    <row r="30" spans="2:16">
      <c r="B30" s="617">
        <v>10000438</v>
      </c>
      <c r="C30" s="621" t="s">
        <v>10</v>
      </c>
      <c r="D30" s="565" t="s">
        <v>395</v>
      </c>
      <c r="E30" s="550" t="s">
        <v>203</v>
      </c>
      <c r="F30" s="566" t="s">
        <v>448</v>
      </c>
      <c r="G30" s="574">
        <v>44020</v>
      </c>
      <c r="H30" s="582">
        <v>25385.736946499997</v>
      </c>
      <c r="I30" s="591">
        <v>44065</v>
      </c>
      <c r="J30" s="626">
        <f t="shared" ca="1" si="19"/>
        <v>355</v>
      </c>
      <c r="K30" s="600" t="str">
        <f t="shared" ca="1" si="13"/>
        <v/>
      </c>
      <c r="L30" s="600" t="str">
        <f t="shared" ca="1" si="14"/>
        <v/>
      </c>
      <c r="M30" s="601" t="str">
        <f t="shared" ca="1" si="15"/>
        <v/>
      </c>
      <c r="N30" s="600" t="str">
        <f t="shared" ca="1" si="16"/>
        <v/>
      </c>
      <c r="O30" s="600">
        <f t="shared" ca="1" si="17"/>
        <v>25385.736946499997</v>
      </c>
      <c r="P30" s="600" t="str">
        <f t="shared" ca="1" si="18"/>
        <v/>
      </c>
    </row>
    <row r="31" spans="2:16">
      <c r="B31" s="617">
        <v>10000438</v>
      </c>
      <c r="C31" s="621" t="s">
        <v>10</v>
      </c>
      <c r="D31" s="565" t="s">
        <v>395</v>
      </c>
      <c r="E31" s="550" t="s">
        <v>207</v>
      </c>
      <c r="F31" s="566" t="s">
        <v>451</v>
      </c>
      <c r="G31" s="574" t="s">
        <v>209</v>
      </c>
      <c r="H31" s="582">
        <v>28160.28138</v>
      </c>
      <c r="I31" s="591">
        <v>44098</v>
      </c>
      <c r="J31" s="626">
        <f t="shared" ca="1" si="19"/>
        <v>322</v>
      </c>
      <c r="K31" s="600" t="str">
        <f t="shared" ca="1" si="13"/>
        <v/>
      </c>
      <c r="L31" s="600" t="str">
        <f t="shared" ca="1" si="14"/>
        <v/>
      </c>
      <c r="M31" s="601" t="str">
        <f t="shared" ca="1" si="15"/>
        <v/>
      </c>
      <c r="N31" s="600" t="str">
        <f t="shared" ca="1" si="16"/>
        <v/>
      </c>
      <c r="O31" s="600">
        <f t="shared" ca="1" si="17"/>
        <v>28160.28138</v>
      </c>
      <c r="P31" s="600" t="str">
        <f t="shared" ca="1" si="18"/>
        <v/>
      </c>
    </row>
    <row r="32" spans="2:16">
      <c r="B32" s="617">
        <v>10000438</v>
      </c>
      <c r="C32" s="621" t="s">
        <v>10</v>
      </c>
      <c r="D32" s="565" t="s">
        <v>395</v>
      </c>
      <c r="E32" s="550" t="s">
        <v>212</v>
      </c>
      <c r="F32" s="566" t="s">
        <v>452</v>
      </c>
      <c r="G32" s="574">
        <v>44084</v>
      </c>
      <c r="H32" s="582">
        <v>29744.284779000001</v>
      </c>
      <c r="I32" s="591">
        <v>44129</v>
      </c>
      <c r="J32" s="626">
        <f t="shared" ca="1" si="19"/>
        <v>291</v>
      </c>
      <c r="K32" s="600" t="str">
        <f t="shared" ca="1" si="13"/>
        <v/>
      </c>
      <c r="L32" s="600" t="str">
        <f t="shared" ca="1" si="14"/>
        <v/>
      </c>
      <c r="M32" s="601" t="str">
        <f t="shared" ca="1" si="15"/>
        <v/>
      </c>
      <c r="N32" s="600" t="str">
        <f t="shared" ca="1" si="16"/>
        <v/>
      </c>
      <c r="O32" s="600">
        <f t="shared" ca="1" si="17"/>
        <v>29744.284779000001</v>
      </c>
      <c r="P32" s="600" t="str">
        <f t="shared" ca="1" si="18"/>
        <v/>
      </c>
    </row>
    <row r="33" spans="2:16">
      <c r="B33" s="617">
        <v>10000438</v>
      </c>
      <c r="C33" s="621" t="s">
        <v>10</v>
      </c>
      <c r="D33" s="565" t="s">
        <v>395</v>
      </c>
      <c r="E33" s="550" t="s">
        <v>214</v>
      </c>
      <c r="F33" s="566" t="s">
        <v>453</v>
      </c>
      <c r="G33" s="574">
        <v>43962</v>
      </c>
      <c r="H33" s="582">
        <v>27779.716882499997</v>
      </c>
      <c r="I33" s="591" t="s">
        <v>2216</v>
      </c>
      <c r="J33" s="626">
        <f t="shared" ca="1" si="19"/>
        <v>263</v>
      </c>
      <c r="K33" s="600" t="str">
        <f t="shared" ca="1" si="13"/>
        <v/>
      </c>
      <c r="L33" s="600" t="str">
        <f t="shared" ca="1" si="14"/>
        <v/>
      </c>
      <c r="M33" s="601" t="str">
        <f t="shared" ca="1" si="15"/>
        <v/>
      </c>
      <c r="N33" s="600" t="str">
        <f t="shared" ca="1" si="16"/>
        <v/>
      </c>
      <c r="O33" s="600">
        <f t="shared" ca="1" si="17"/>
        <v>27779.716882499997</v>
      </c>
      <c r="P33" s="600" t="str">
        <f t="shared" ca="1" si="18"/>
        <v/>
      </c>
    </row>
    <row r="34" spans="2:16">
      <c r="B34" s="617">
        <v>10000438</v>
      </c>
      <c r="C34" s="621" t="s">
        <v>10</v>
      </c>
      <c r="D34" s="565" t="s">
        <v>395</v>
      </c>
      <c r="E34" s="549" t="s">
        <v>218</v>
      </c>
      <c r="F34" s="566" t="s">
        <v>454</v>
      </c>
      <c r="G34" s="574">
        <v>44024</v>
      </c>
      <c r="H34" s="580">
        <v>26422.262459999998</v>
      </c>
      <c r="I34" s="591">
        <v>44208</v>
      </c>
      <c r="J34" s="626">
        <f t="shared" ca="1" si="19"/>
        <v>212</v>
      </c>
      <c r="K34" s="600" t="str">
        <f t="shared" ca="1" si="13"/>
        <v/>
      </c>
      <c r="L34" s="600" t="str">
        <f t="shared" ca="1" si="14"/>
        <v/>
      </c>
      <c r="M34" s="601" t="str">
        <f t="shared" ca="1" si="15"/>
        <v/>
      </c>
      <c r="N34" s="600" t="str">
        <f t="shared" ca="1" si="16"/>
        <v/>
      </c>
      <c r="O34" s="600">
        <f t="shared" ca="1" si="17"/>
        <v>26422.262459999998</v>
      </c>
      <c r="P34" s="600" t="str">
        <f t="shared" ca="1" si="18"/>
        <v/>
      </c>
    </row>
    <row r="35" spans="2:16">
      <c r="B35" s="617">
        <v>10000438</v>
      </c>
      <c r="C35" s="621" t="s">
        <v>10</v>
      </c>
      <c r="D35" s="565" t="s">
        <v>395</v>
      </c>
      <c r="E35" s="549" t="s">
        <v>219</v>
      </c>
      <c r="F35" s="566" t="s">
        <v>455</v>
      </c>
      <c r="G35" s="574">
        <v>44409</v>
      </c>
      <c r="H35" s="580">
        <v>29970.883469999993</v>
      </c>
      <c r="I35" s="591">
        <v>44219</v>
      </c>
      <c r="J35" s="626">
        <f t="shared" ca="1" si="19"/>
        <v>201</v>
      </c>
      <c r="K35" s="600" t="str">
        <f t="shared" ca="1" si="13"/>
        <v/>
      </c>
      <c r="L35" s="600" t="str">
        <f t="shared" ca="1" si="14"/>
        <v/>
      </c>
      <c r="M35" s="601" t="str">
        <f t="shared" ca="1" si="15"/>
        <v/>
      </c>
      <c r="N35" s="600" t="str">
        <f t="shared" ca="1" si="16"/>
        <v/>
      </c>
      <c r="O35" s="600">
        <f t="shared" ca="1" si="17"/>
        <v>29970.883469999993</v>
      </c>
      <c r="P35" s="600" t="str">
        <f t="shared" ca="1" si="18"/>
        <v/>
      </c>
    </row>
    <row r="36" spans="2:16">
      <c r="B36" s="617">
        <v>10000438</v>
      </c>
      <c r="C36" s="621" t="s">
        <v>10</v>
      </c>
      <c r="D36" s="565" t="s">
        <v>395</v>
      </c>
      <c r="E36" s="552" t="s">
        <v>221</v>
      </c>
      <c r="F36" s="570" t="s">
        <v>31</v>
      </c>
      <c r="G36" s="574">
        <v>44502</v>
      </c>
      <c r="H36" s="580">
        <v>26952.417887999996</v>
      </c>
      <c r="I36" s="592">
        <v>44253</v>
      </c>
      <c r="J36" s="626">
        <f t="shared" ca="1" si="19"/>
        <v>167</v>
      </c>
      <c r="K36" s="600" t="str">
        <f t="shared" ca="1" si="13"/>
        <v/>
      </c>
      <c r="L36" s="600" t="str">
        <f t="shared" ca="1" si="14"/>
        <v/>
      </c>
      <c r="M36" s="601" t="str">
        <f t="shared" ca="1" si="15"/>
        <v/>
      </c>
      <c r="N36" s="600">
        <f t="shared" ca="1" si="16"/>
        <v>26952.417887999996</v>
      </c>
      <c r="O36" s="600" t="str">
        <f t="shared" ca="1" si="17"/>
        <v/>
      </c>
      <c r="P36" s="600" t="str">
        <f t="shared" ca="1" si="18"/>
        <v/>
      </c>
    </row>
    <row r="37" spans="2:16">
      <c r="B37" s="617">
        <v>10000438</v>
      </c>
      <c r="C37" s="621" t="s">
        <v>10</v>
      </c>
      <c r="D37" s="565" t="s">
        <v>395</v>
      </c>
      <c r="E37" s="549" t="s">
        <v>222</v>
      </c>
      <c r="F37" s="566" t="s">
        <v>457</v>
      </c>
      <c r="G37" s="574">
        <v>44319</v>
      </c>
      <c r="H37" s="580">
        <v>28008.453297</v>
      </c>
      <c r="I37" s="591">
        <v>44275</v>
      </c>
      <c r="J37" s="626">
        <f t="shared" ca="1" si="19"/>
        <v>145</v>
      </c>
      <c r="K37" s="600" t="str">
        <f t="shared" ca="1" si="13"/>
        <v/>
      </c>
      <c r="L37" s="600" t="str">
        <f t="shared" ca="1" si="14"/>
        <v/>
      </c>
      <c r="M37" s="601" t="str">
        <f t="shared" ca="1" si="15"/>
        <v/>
      </c>
      <c r="N37" s="600">
        <f t="shared" ca="1" si="16"/>
        <v>28008.453297</v>
      </c>
      <c r="O37" s="600" t="str">
        <f t="shared" ca="1" si="17"/>
        <v/>
      </c>
      <c r="P37" s="600" t="str">
        <f t="shared" ca="1" si="18"/>
        <v/>
      </c>
    </row>
    <row r="38" spans="2:16">
      <c r="B38" s="617"/>
      <c r="C38" s="621"/>
      <c r="D38" s="565"/>
      <c r="E38" s="549"/>
      <c r="F38" s="566"/>
      <c r="G38" s="574"/>
      <c r="H38" s="580"/>
      <c r="I38" s="591"/>
      <c r="J38" s="626"/>
      <c r="K38" s="600" t="str">
        <f t="shared" si="13"/>
        <v/>
      </c>
      <c r="L38" s="600" t="str">
        <f t="shared" si="14"/>
        <v/>
      </c>
      <c r="M38" s="601" t="str">
        <f t="shared" si="15"/>
        <v/>
      </c>
      <c r="N38" s="600" t="str">
        <f t="shared" si="16"/>
        <v/>
      </c>
      <c r="O38" s="600" t="str">
        <f t="shared" si="17"/>
        <v/>
      </c>
      <c r="P38" s="600" t="str">
        <f t="shared" si="18"/>
        <v/>
      </c>
    </row>
    <row r="39" spans="2:16">
      <c r="B39" s="617"/>
      <c r="C39" s="621"/>
      <c r="D39" s="565"/>
      <c r="E39" s="552"/>
      <c r="F39" s="570"/>
      <c r="G39" s="574"/>
      <c r="H39" s="580"/>
      <c r="I39" s="592"/>
      <c r="J39" s="626"/>
      <c r="K39" s="600" t="str">
        <f t="shared" si="13"/>
        <v/>
      </c>
      <c r="L39" s="600" t="str">
        <f t="shared" si="14"/>
        <v/>
      </c>
      <c r="M39" s="601" t="str">
        <f t="shared" si="15"/>
        <v/>
      </c>
      <c r="N39" s="600" t="str">
        <f t="shared" si="16"/>
        <v/>
      </c>
      <c r="O39" s="600" t="str">
        <f t="shared" si="17"/>
        <v/>
      </c>
      <c r="P39" s="600" t="str">
        <f t="shared" si="18"/>
        <v/>
      </c>
    </row>
    <row r="40" spans="2:16">
      <c r="B40" s="617">
        <v>10009630</v>
      </c>
      <c r="C40" s="621" t="s">
        <v>10</v>
      </c>
      <c r="D40" s="565" t="str">
        <f>'WEEKLY REPORT'!B192</f>
        <v>TOTAL FOR ASCL (3D HI-TECH THERMAL POWER)</v>
      </c>
      <c r="E40" s="549" t="str">
        <f>'WEEKLY REPORT'!C257</f>
        <v>DECEMBER 2020</v>
      </c>
      <c r="F40" s="566" t="str">
        <f>'WEEKLY REPORT'!D257</f>
        <v>NGS 071</v>
      </c>
      <c r="G40" s="574">
        <f>'WEEKLY REPORT'!E257</f>
        <v>44409</v>
      </c>
      <c r="H40" s="580">
        <f>'WEEKLY REPORT'!F257</f>
        <v>834442124.15817869</v>
      </c>
      <c r="I40" s="591">
        <v>44275</v>
      </c>
      <c r="J40" s="626">
        <f t="shared" ca="1" si="19"/>
        <v>145</v>
      </c>
      <c r="K40" s="600" t="str">
        <f t="shared" ca="1" si="13"/>
        <v/>
      </c>
      <c r="L40" s="600" t="str">
        <f t="shared" ca="1" si="14"/>
        <v/>
      </c>
      <c r="M40" s="601" t="str">
        <f t="shared" ca="1" si="15"/>
        <v/>
      </c>
      <c r="N40" s="600">
        <f t="shared" ca="1" si="16"/>
        <v>834442124.15817869</v>
      </c>
      <c r="O40" s="600" t="str">
        <f t="shared" ca="1" si="17"/>
        <v/>
      </c>
      <c r="P40" s="600" t="str">
        <f t="shared" ca="1" si="18"/>
        <v/>
      </c>
    </row>
    <row r="41" spans="2:16">
      <c r="B41" s="617"/>
      <c r="C41" s="621"/>
      <c r="D41" s="565"/>
      <c r="E41" s="549"/>
      <c r="F41" s="566"/>
      <c r="G41" s="574"/>
      <c r="H41" s="580"/>
      <c r="I41" s="591"/>
      <c r="J41" s="626"/>
      <c r="K41" s="600" t="str">
        <f t="shared" si="13"/>
        <v/>
      </c>
      <c r="L41" s="600" t="str">
        <f t="shared" si="14"/>
        <v/>
      </c>
      <c r="M41" s="601" t="str">
        <f t="shared" si="15"/>
        <v/>
      </c>
      <c r="N41" s="600" t="str">
        <f t="shared" si="16"/>
        <v/>
      </c>
      <c r="O41" s="600" t="str">
        <f t="shared" si="17"/>
        <v/>
      </c>
      <c r="P41" s="600" t="str">
        <f t="shared" si="18"/>
        <v/>
      </c>
    </row>
    <row r="42" spans="2:16">
      <c r="B42" s="617"/>
      <c r="C42" s="621"/>
      <c r="D42" s="565"/>
      <c r="E42" s="549"/>
      <c r="F42" s="566"/>
      <c r="G42" s="574"/>
      <c r="H42" s="580"/>
      <c r="I42" s="591"/>
      <c r="J42" s="626"/>
      <c r="K42" s="600" t="str">
        <f t="shared" si="13"/>
        <v/>
      </c>
      <c r="L42" s="600" t="str">
        <f t="shared" si="14"/>
        <v/>
      </c>
      <c r="M42" s="601" t="str">
        <f t="shared" si="15"/>
        <v/>
      </c>
      <c r="N42" s="600" t="str">
        <f t="shared" si="16"/>
        <v/>
      </c>
      <c r="O42" s="600" t="str">
        <f t="shared" si="17"/>
        <v/>
      </c>
      <c r="P42" s="600" t="str">
        <f t="shared" si="18"/>
        <v/>
      </c>
    </row>
    <row r="43" spans="2:16">
      <c r="B43" s="617">
        <v>10014634</v>
      </c>
      <c r="C43" s="621" t="s">
        <v>10</v>
      </c>
      <c r="D43" s="565" t="s">
        <v>34</v>
      </c>
      <c r="E43" s="552" t="s">
        <v>136</v>
      </c>
      <c r="F43" s="570"/>
      <c r="G43" s="574"/>
      <c r="H43" s="580">
        <v>202279082.99540427</v>
      </c>
      <c r="I43" s="592"/>
      <c r="J43" s="626"/>
      <c r="K43" s="600" t="str">
        <f t="shared" si="13"/>
        <v/>
      </c>
      <c r="L43" s="600" t="str">
        <f t="shared" si="14"/>
        <v/>
      </c>
      <c r="M43" s="601" t="str">
        <f t="shared" si="15"/>
        <v/>
      </c>
      <c r="N43" s="600" t="str">
        <f t="shared" si="16"/>
        <v/>
      </c>
      <c r="O43" s="600" t="str">
        <f t="shared" si="17"/>
        <v/>
      </c>
      <c r="P43" s="600" t="str">
        <f t="shared" si="18"/>
        <v/>
      </c>
    </row>
    <row r="44" spans="2:16">
      <c r="B44" s="617">
        <v>10014634</v>
      </c>
      <c r="C44" s="621" t="s">
        <v>10</v>
      </c>
      <c r="D44" s="565" t="s">
        <v>34</v>
      </c>
      <c r="E44" s="552" t="s">
        <v>207</v>
      </c>
      <c r="F44" s="570" t="s">
        <v>39</v>
      </c>
      <c r="G44" s="574" t="s">
        <v>209</v>
      </c>
      <c r="H44" s="580">
        <v>39950718.185320005</v>
      </c>
      <c r="I44" s="592">
        <v>44067</v>
      </c>
      <c r="J44" s="626">
        <f t="shared" ca="1" si="19"/>
        <v>353</v>
      </c>
      <c r="K44" s="600" t="str">
        <f t="shared" ca="1" si="13"/>
        <v/>
      </c>
      <c r="L44" s="600" t="str">
        <f t="shared" ca="1" si="14"/>
        <v/>
      </c>
      <c r="M44" s="601" t="str">
        <f t="shared" ca="1" si="15"/>
        <v/>
      </c>
      <c r="N44" s="600" t="str">
        <f t="shared" ca="1" si="16"/>
        <v/>
      </c>
      <c r="O44" s="600">
        <f t="shared" ca="1" si="17"/>
        <v>39950718.185320005</v>
      </c>
      <c r="P44" s="600" t="str">
        <f t="shared" ca="1" si="18"/>
        <v/>
      </c>
    </row>
    <row r="45" spans="2:16">
      <c r="B45" s="617">
        <v>10014634</v>
      </c>
      <c r="C45" s="621" t="s">
        <v>10</v>
      </c>
      <c r="D45" s="565" t="s">
        <v>34</v>
      </c>
      <c r="E45" s="549" t="s">
        <v>218</v>
      </c>
      <c r="F45" s="566" t="s">
        <v>393</v>
      </c>
      <c r="G45" s="574">
        <v>44024</v>
      </c>
      <c r="H45" s="580">
        <v>46039367.726856008</v>
      </c>
      <c r="I45" s="591">
        <v>44208</v>
      </c>
      <c r="J45" s="626">
        <f t="shared" ca="1" si="19"/>
        <v>212</v>
      </c>
      <c r="K45" s="600" t="str">
        <f t="shared" ca="1" si="13"/>
        <v/>
      </c>
      <c r="L45" s="600" t="str">
        <f t="shared" ca="1" si="14"/>
        <v/>
      </c>
      <c r="M45" s="601" t="str">
        <f t="shared" ca="1" si="15"/>
        <v/>
      </c>
      <c r="N45" s="600" t="str">
        <f t="shared" ca="1" si="16"/>
        <v/>
      </c>
      <c r="O45" s="600">
        <f t="shared" ca="1" si="17"/>
        <v>46039367.726856008</v>
      </c>
      <c r="P45" s="600" t="str">
        <f t="shared" ca="1" si="18"/>
        <v/>
      </c>
    </row>
    <row r="46" spans="2:16">
      <c r="B46" s="617">
        <v>10014634</v>
      </c>
      <c r="C46" s="621" t="s">
        <v>10</v>
      </c>
      <c r="D46" s="565" t="s">
        <v>34</v>
      </c>
      <c r="E46" s="549" t="s">
        <v>219</v>
      </c>
      <c r="F46" s="566" t="s">
        <v>528</v>
      </c>
      <c r="G46" s="574">
        <v>44409</v>
      </c>
      <c r="H46" s="580">
        <v>44424060.079911001</v>
      </c>
      <c r="I46" s="591">
        <v>44219</v>
      </c>
      <c r="J46" s="626">
        <f t="shared" ca="1" si="19"/>
        <v>201</v>
      </c>
      <c r="K46" s="600" t="str">
        <f t="shared" ca="1" si="13"/>
        <v/>
      </c>
      <c r="L46" s="600" t="str">
        <f t="shared" ca="1" si="14"/>
        <v/>
      </c>
      <c r="M46" s="601" t="str">
        <f t="shared" ca="1" si="15"/>
        <v/>
      </c>
      <c r="N46" s="600" t="str">
        <f t="shared" ca="1" si="16"/>
        <v/>
      </c>
      <c r="O46" s="600">
        <f t="shared" ca="1" si="17"/>
        <v>44424060.079911001</v>
      </c>
      <c r="P46" s="600" t="str">
        <f t="shared" ca="1" si="18"/>
        <v/>
      </c>
    </row>
    <row r="47" spans="2:16">
      <c r="B47" s="617">
        <v>10014634</v>
      </c>
      <c r="C47" s="621" t="s">
        <v>10</v>
      </c>
      <c r="D47" s="565" t="s">
        <v>34</v>
      </c>
      <c r="E47" s="552" t="s">
        <v>221</v>
      </c>
      <c r="F47" s="570" t="s">
        <v>35</v>
      </c>
      <c r="G47" s="574">
        <v>44471</v>
      </c>
      <c r="H47" s="580">
        <v>47422415.011175007</v>
      </c>
      <c r="I47" s="592">
        <v>44250</v>
      </c>
      <c r="J47" s="626">
        <f t="shared" ref="J47:J107" ca="1" si="20">DATEDIF(I47,$J$4,"D")</f>
        <v>170</v>
      </c>
      <c r="K47" s="600" t="str">
        <f t="shared" ref="K47:K110" ca="1" si="21">IF(AND(J47&gt;=16,J47&lt;=30),H47,"")</f>
        <v/>
      </c>
      <c r="L47" s="600" t="str">
        <f t="shared" ref="L47:L110" ca="1" si="22">IF(AND(J47&gt;=31,J47&lt;=60),H47,"")</f>
        <v/>
      </c>
      <c r="M47" s="601" t="str">
        <f t="shared" ref="M47:M110" ca="1" si="23">IF(AND(J47&gt;=61,J47&lt;=90),H47,"")</f>
        <v/>
      </c>
      <c r="N47" s="600">
        <f t="shared" ref="N47:N110" ca="1" si="24">IF(AND(J47&gt;=91,J47&lt;=180),H47,"")</f>
        <v>47422415.011175007</v>
      </c>
      <c r="O47" s="600" t="str">
        <f t="shared" ref="O47:O110" ca="1" si="25">IF(AND(J47&gt;=181,J47&lt;=360),H47,"")</f>
        <v/>
      </c>
      <c r="P47" s="600" t="str">
        <f t="shared" ref="P47:P110" ca="1" si="26">IF(J47&gt;=360,H47,"")</f>
        <v/>
      </c>
    </row>
    <row r="48" spans="2:16">
      <c r="B48" s="617">
        <v>10014634</v>
      </c>
      <c r="C48" s="621" t="s">
        <v>10</v>
      </c>
      <c r="D48" s="565" t="s">
        <v>34</v>
      </c>
      <c r="E48" s="549" t="s">
        <v>222</v>
      </c>
      <c r="F48" s="566" t="s">
        <v>530</v>
      </c>
      <c r="G48" s="574">
        <v>44319</v>
      </c>
      <c r="H48" s="580">
        <v>43037413.127175003</v>
      </c>
      <c r="I48" s="591">
        <v>44275</v>
      </c>
      <c r="J48" s="626">
        <f t="shared" ca="1" si="20"/>
        <v>145</v>
      </c>
      <c r="K48" s="600" t="str">
        <f t="shared" ca="1" si="21"/>
        <v/>
      </c>
      <c r="L48" s="600" t="str">
        <f t="shared" ca="1" si="22"/>
        <v/>
      </c>
      <c r="M48" s="601" t="str">
        <f t="shared" ca="1" si="23"/>
        <v/>
      </c>
      <c r="N48" s="600">
        <f t="shared" ca="1" si="24"/>
        <v>43037413.127175003</v>
      </c>
      <c r="O48" s="600" t="str">
        <f t="shared" ca="1" si="25"/>
        <v/>
      </c>
      <c r="P48" s="600" t="str">
        <f t="shared" ca="1" si="26"/>
        <v/>
      </c>
    </row>
    <row r="49" spans="2:16">
      <c r="B49" s="617"/>
      <c r="C49" s="621"/>
      <c r="D49" s="565"/>
      <c r="E49" s="549"/>
      <c r="F49" s="566"/>
      <c r="G49" s="574"/>
      <c r="H49" s="580"/>
      <c r="I49" s="591"/>
      <c r="J49" s="626"/>
      <c r="K49" s="600" t="str">
        <f t="shared" si="21"/>
        <v/>
      </c>
      <c r="L49" s="600" t="str">
        <f t="shared" si="22"/>
        <v/>
      </c>
      <c r="M49" s="601" t="str">
        <f t="shared" si="23"/>
        <v/>
      </c>
      <c r="N49" s="600" t="str">
        <f t="shared" si="24"/>
        <v/>
      </c>
      <c r="O49" s="600" t="str">
        <f t="shared" si="25"/>
        <v/>
      </c>
      <c r="P49" s="600" t="str">
        <f t="shared" si="26"/>
        <v/>
      </c>
    </row>
    <row r="50" spans="2:16">
      <c r="B50" s="617"/>
      <c r="C50" s="621"/>
      <c r="D50" s="565"/>
      <c r="E50" s="552"/>
      <c r="F50" s="570"/>
      <c r="G50" s="574"/>
      <c r="H50" s="580"/>
      <c r="I50" s="592"/>
      <c r="J50" s="626"/>
      <c r="K50" s="600" t="str">
        <f t="shared" si="21"/>
        <v/>
      </c>
      <c r="L50" s="600" t="str">
        <f t="shared" si="22"/>
        <v/>
      </c>
      <c r="M50" s="601" t="str">
        <f t="shared" si="23"/>
        <v/>
      </c>
      <c r="N50" s="600" t="str">
        <f t="shared" si="24"/>
        <v/>
      </c>
      <c r="O50" s="600" t="str">
        <f t="shared" si="25"/>
        <v/>
      </c>
      <c r="P50" s="600" t="str">
        <f t="shared" si="26"/>
        <v/>
      </c>
    </row>
    <row r="51" spans="2:16">
      <c r="B51" s="617">
        <v>10011384</v>
      </c>
      <c r="C51" s="621" t="s">
        <v>10</v>
      </c>
      <c r="D51" s="565" t="str">
        <f>'WEEKLY REPORT'!B311</f>
        <v xml:space="preserve"> TOTAL FOR BORKIR INTNL</v>
      </c>
      <c r="E51" s="549" t="s">
        <v>199</v>
      </c>
      <c r="F51" s="566" t="s">
        <v>167</v>
      </c>
      <c r="G51" s="574">
        <v>44049</v>
      </c>
      <c r="H51" s="580">
        <f>'WEEKLY REPORT'!K330</f>
        <v>12224.912944013253</v>
      </c>
      <c r="I51" s="591">
        <v>43897</v>
      </c>
      <c r="J51" s="626">
        <f t="shared" ca="1" si="20"/>
        <v>523</v>
      </c>
      <c r="K51" s="600" t="str">
        <f t="shared" ca="1" si="21"/>
        <v/>
      </c>
      <c r="L51" s="600" t="str">
        <f t="shared" ca="1" si="22"/>
        <v/>
      </c>
      <c r="M51" s="601" t="str">
        <f t="shared" ca="1" si="23"/>
        <v/>
      </c>
      <c r="N51" s="600" t="str">
        <f t="shared" ca="1" si="24"/>
        <v/>
      </c>
      <c r="O51" s="600" t="str">
        <f t="shared" ca="1" si="25"/>
        <v/>
      </c>
      <c r="P51" s="600">
        <f t="shared" ca="1" si="26"/>
        <v>12224.912944013253</v>
      </c>
    </row>
    <row r="52" spans="2:16">
      <c r="B52" s="617"/>
      <c r="C52" s="621"/>
      <c r="D52" s="565"/>
      <c r="E52" s="549"/>
      <c r="F52" s="566"/>
      <c r="G52" s="574"/>
      <c r="H52" s="580"/>
      <c r="I52" s="591"/>
      <c r="J52" s="626"/>
      <c r="K52" s="600" t="str">
        <f t="shared" si="21"/>
        <v/>
      </c>
      <c r="L52" s="600" t="str">
        <f t="shared" si="22"/>
        <v/>
      </c>
      <c r="M52" s="601" t="str">
        <f t="shared" si="23"/>
        <v/>
      </c>
      <c r="N52" s="600" t="str">
        <f t="shared" si="24"/>
        <v/>
      </c>
      <c r="O52" s="600" t="str">
        <f t="shared" si="25"/>
        <v/>
      </c>
      <c r="P52" s="600" t="str">
        <f t="shared" si="26"/>
        <v/>
      </c>
    </row>
    <row r="53" spans="2:16">
      <c r="B53" s="617">
        <v>10012643</v>
      </c>
      <c r="C53" s="621" t="s">
        <v>10</v>
      </c>
      <c r="D53" s="565" t="s">
        <v>37</v>
      </c>
      <c r="E53" s="552" t="s">
        <v>136</v>
      </c>
      <c r="F53" s="570"/>
      <c r="G53" s="574"/>
      <c r="H53" s="580">
        <v>18609917.51024437</v>
      </c>
      <c r="I53" s="592"/>
      <c r="J53" s="626"/>
      <c r="K53" s="600" t="str">
        <f t="shared" si="21"/>
        <v/>
      </c>
      <c r="L53" s="600" t="str">
        <f t="shared" si="22"/>
        <v/>
      </c>
      <c r="M53" s="601" t="str">
        <f t="shared" si="23"/>
        <v/>
      </c>
      <c r="N53" s="600" t="str">
        <f t="shared" si="24"/>
        <v/>
      </c>
      <c r="O53" s="600" t="str">
        <f t="shared" si="25"/>
        <v/>
      </c>
      <c r="P53" s="600" t="str">
        <f t="shared" si="26"/>
        <v/>
      </c>
    </row>
    <row r="54" spans="2:16">
      <c r="B54" s="617">
        <v>10012643</v>
      </c>
      <c r="C54" s="621" t="s">
        <v>10</v>
      </c>
      <c r="D54" s="565" t="s">
        <v>37</v>
      </c>
      <c r="E54" s="549" t="s">
        <v>221</v>
      </c>
      <c r="F54" s="566" t="s">
        <v>38</v>
      </c>
      <c r="G54" s="574">
        <v>44471</v>
      </c>
      <c r="H54" s="580">
        <v>1099999999.9950001</v>
      </c>
      <c r="I54" s="591">
        <v>44260</v>
      </c>
      <c r="J54" s="626">
        <f t="shared" ca="1" si="20"/>
        <v>160</v>
      </c>
      <c r="K54" s="600" t="str">
        <f t="shared" ca="1" si="21"/>
        <v/>
      </c>
      <c r="L54" s="600" t="str">
        <f t="shared" ca="1" si="22"/>
        <v/>
      </c>
      <c r="M54" s="601" t="str">
        <f t="shared" ca="1" si="23"/>
        <v/>
      </c>
      <c r="N54" s="600">
        <f t="shared" ca="1" si="24"/>
        <v>1099999999.9950001</v>
      </c>
      <c r="O54" s="600" t="str">
        <f t="shared" ca="1" si="25"/>
        <v/>
      </c>
      <c r="P54" s="600" t="str">
        <f t="shared" ca="1" si="26"/>
        <v/>
      </c>
    </row>
    <row r="55" spans="2:16">
      <c r="B55" s="617">
        <v>10012643</v>
      </c>
      <c r="C55" s="621" t="s">
        <v>10</v>
      </c>
      <c r="D55" s="565" t="s">
        <v>37</v>
      </c>
      <c r="E55" s="549" t="s">
        <v>222</v>
      </c>
      <c r="F55" s="566" t="s">
        <v>548</v>
      </c>
      <c r="G55" s="574">
        <v>44319</v>
      </c>
      <c r="H55" s="580">
        <v>2526146689.6082501</v>
      </c>
      <c r="I55" s="591">
        <v>44275</v>
      </c>
      <c r="J55" s="626">
        <f t="shared" ca="1" si="20"/>
        <v>145</v>
      </c>
      <c r="K55" s="600" t="str">
        <f t="shared" ca="1" si="21"/>
        <v/>
      </c>
      <c r="L55" s="600" t="str">
        <f t="shared" ca="1" si="22"/>
        <v/>
      </c>
      <c r="M55" s="601" t="str">
        <f t="shared" ca="1" si="23"/>
        <v/>
      </c>
      <c r="N55" s="600">
        <f t="shared" ca="1" si="24"/>
        <v>2526146689.6082501</v>
      </c>
      <c r="O55" s="600" t="str">
        <f t="shared" ca="1" si="25"/>
        <v/>
      </c>
      <c r="P55" s="600" t="str">
        <f t="shared" ca="1" si="26"/>
        <v/>
      </c>
    </row>
    <row r="56" spans="2:16">
      <c r="B56" s="617"/>
      <c r="C56" s="621"/>
      <c r="D56" s="565"/>
      <c r="E56" s="552"/>
      <c r="F56" s="570"/>
      <c r="G56" s="574"/>
      <c r="H56" s="580"/>
      <c r="I56" s="592"/>
      <c r="J56" s="626"/>
      <c r="K56" s="600" t="str">
        <f t="shared" si="21"/>
        <v/>
      </c>
      <c r="L56" s="600" t="str">
        <f t="shared" si="22"/>
        <v/>
      </c>
      <c r="M56" s="601" t="str">
        <f t="shared" si="23"/>
        <v/>
      </c>
      <c r="N56" s="600" t="str">
        <f t="shared" si="24"/>
        <v/>
      </c>
      <c r="O56" s="600" t="str">
        <f t="shared" si="25"/>
        <v/>
      </c>
      <c r="P56" s="600" t="str">
        <f t="shared" si="26"/>
        <v/>
      </c>
    </row>
    <row r="57" spans="2:16">
      <c r="B57" s="617"/>
      <c r="C57" s="621"/>
      <c r="D57" s="565"/>
      <c r="E57" s="549"/>
      <c r="F57" s="566"/>
      <c r="G57" s="574"/>
      <c r="H57" s="580">
        <v>-2414.9561357945204</v>
      </c>
      <c r="I57" s="591"/>
      <c r="J57" s="626"/>
      <c r="K57" s="600" t="str">
        <f t="shared" si="21"/>
        <v/>
      </c>
      <c r="L57" s="600" t="str">
        <f t="shared" si="22"/>
        <v/>
      </c>
      <c r="M57" s="601" t="str">
        <f t="shared" si="23"/>
        <v/>
      </c>
      <c r="N57" s="600" t="str">
        <f t="shared" si="24"/>
        <v/>
      </c>
      <c r="O57" s="600" t="str">
        <f t="shared" si="25"/>
        <v/>
      </c>
      <c r="P57" s="600" t="str">
        <f t="shared" si="26"/>
        <v/>
      </c>
    </row>
    <row r="58" spans="2:16">
      <c r="B58" s="617">
        <v>10014633</v>
      </c>
      <c r="C58" s="621" t="s">
        <v>10</v>
      </c>
      <c r="D58" s="565" t="s">
        <v>666</v>
      </c>
      <c r="E58" s="549" t="s">
        <v>222</v>
      </c>
      <c r="F58" s="566" t="s">
        <v>390</v>
      </c>
      <c r="G58" s="574">
        <v>44411</v>
      </c>
      <c r="H58" s="580">
        <v>95134967.033427075</v>
      </c>
      <c r="I58" s="591">
        <v>44278</v>
      </c>
      <c r="J58" s="626">
        <f t="shared" ca="1" si="20"/>
        <v>142</v>
      </c>
      <c r="K58" s="600" t="str">
        <f t="shared" ca="1" si="21"/>
        <v/>
      </c>
      <c r="L58" s="600" t="str">
        <f t="shared" ca="1" si="22"/>
        <v/>
      </c>
      <c r="M58" s="601" t="str">
        <f t="shared" ca="1" si="23"/>
        <v/>
      </c>
      <c r="N58" s="600">
        <f t="shared" ca="1" si="24"/>
        <v>95134967.033427075</v>
      </c>
      <c r="O58" s="600" t="str">
        <f t="shared" ca="1" si="25"/>
        <v/>
      </c>
      <c r="P58" s="600" t="str">
        <f t="shared" ca="1" si="26"/>
        <v/>
      </c>
    </row>
    <row r="59" spans="2:16">
      <c r="B59" s="617"/>
      <c r="C59" s="621"/>
      <c r="D59" s="565"/>
      <c r="E59" s="552"/>
      <c r="F59" s="570"/>
      <c r="G59" s="574"/>
      <c r="H59" s="580"/>
      <c r="I59" s="592"/>
      <c r="J59" s="626"/>
      <c r="K59" s="600" t="str">
        <f t="shared" si="21"/>
        <v/>
      </c>
      <c r="L59" s="600" t="str">
        <f t="shared" si="22"/>
        <v/>
      </c>
      <c r="M59" s="601" t="str">
        <f t="shared" si="23"/>
        <v/>
      </c>
      <c r="N59" s="600" t="str">
        <f t="shared" si="24"/>
        <v/>
      </c>
      <c r="O59" s="600" t="str">
        <f t="shared" si="25"/>
        <v/>
      </c>
      <c r="P59" s="600" t="str">
        <f t="shared" si="26"/>
        <v/>
      </c>
    </row>
    <row r="60" spans="2:16">
      <c r="B60" s="617"/>
      <c r="C60" s="621"/>
      <c r="D60" s="565"/>
      <c r="E60" s="552"/>
      <c r="F60" s="570"/>
      <c r="G60" s="574"/>
      <c r="H60" s="580"/>
      <c r="I60" s="592"/>
      <c r="J60" s="626"/>
      <c r="K60" s="600" t="str">
        <f t="shared" si="21"/>
        <v/>
      </c>
      <c r="L60" s="600" t="str">
        <f t="shared" si="22"/>
        <v/>
      </c>
      <c r="M60" s="601" t="str">
        <f t="shared" si="23"/>
        <v/>
      </c>
      <c r="N60" s="600" t="str">
        <f t="shared" si="24"/>
        <v/>
      </c>
      <c r="O60" s="600" t="str">
        <f t="shared" si="25"/>
        <v/>
      </c>
      <c r="P60" s="600" t="str">
        <f t="shared" si="26"/>
        <v/>
      </c>
    </row>
    <row r="61" spans="2:16">
      <c r="B61" s="617">
        <v>10011552</v>
      </c>
      <c r="C61" s="621" t="s">
        <v>10</v>
      </c>
      <c r="D61" s="565" t="s">
        <v>40</v>
      </c>
      <c r="E61" s="549" t="s">
        <v>218</v>
      </c>
      <c r="F61" s="566" t="s">
        <v>192</v>
      </c>
      <c r="G61" s="574">
        <v>44024</v>
      </c>
      <c r="H61" s="580">
        <v>14301999.50485228</v>
      </c>
      <c r="I61" s="591">
        <v>44208</v>
      </c>
      <c r="J61" s="626">
        <f t="shared" ca="1" si="20"/>
        <v>212</v>
      </c>
      <c r="K61" s="600" t="str">
        <f t="shared" ca="1" si="21"/>
        <v/>
      </c>
      <c r="L61" s="600" t="str">
        <f t="shared" ca="1" si="22"/>
        <v/>
      </c>
      <c r="M61" s="601" t="str">
        <f t="shared" ca="1" si="23"/>
        <v/>
      </c>
      <c r="N61" s="600" t="str">
        <f t="shared" ca="1" si="24"/>
        <v/>
      </c>
      <c r="O61" s="600">
        <f t="shared" ca="1" si="25"/>
        <v>14301999.50485228</v>
      </c>
      <c r="P61" s="600" t="str">
        <f t="shared" ca="1" si="26"/>
        <v/>
      </c>
    </row>
    <row r="62" spans="2:16">
      <c r="B62" s="617">
        <v>10011552</v>
      </c>
      <c r="C62" s="621" t="s">
        <v>10</v>
      </c>
      <c r="D62" s="565" t="s">
        <v>40</v>
      </c>
      <c r="E62" s="549" t="s">
        <v>221</v>
      </c>
      <c r="F62" s="566" t="s">
        <v>41</v>
      </c>
      <c r="G62" s="574">
        <v>44471</v>
      </c>
      <c r="H62" s="580">
        <v>13770824.307569753</v>
      </c>
      <c r="I62" s="591">
        <v>44250</v>
      </c>
      <c r="J62" s="626">
        <f t="shared" ca="1" si="20"/>
        <v>170</v>
      </c>
      <c r="K62" s="600" t="str">
        <f t="shared" ca="1" si="21"/>
        <v/>
      </c>
      <c r="L62" s="600" t="str">
        <f t="shared" ca="1" si="22"/>
        <v/>
      </c>
      <c r="M62" s="601" t="str">
        <f t="shared" ca="1" si="23"/>
        <v/>
      </c>
      <c r="N62" s="600">
        <f t="shared" ca="1" si="24"/>
        <v>13770824.307569753</v>
      </c>
      <c r="O62" s="600" t="str">
        <f t="shared" ca="1" si="25"/>
        <v/>
      </c>
      <c r="P62" s="600" t="str">
        <f t="shared" ca="1" si="26"/>
        <v/>
      </c>
    </row>
    <row r="63" spans="2:16">
      <c r="B63" s="617">
        <v>10011552</v>
      </c>
      <c r="C63" s="621" t="s">
        <v>10</v>
      </c>
      <c r="D63" s="565" t="s">
        <v>40</v>
      </c>
      <c r="E63" s="552" t="s">
        <v>222</v>
      </c>
      <c r="F63" s="570" t="s">
        <v>359</v>
      </c>
      <c r="G63" s="574">
        <v>44319</v>
      </c>
      <c r="H63" s="580">
        <v>11397697.096527472</v>
      </c>
      <c r="I63" s="592">
        <v>44275</v>
      </c>
      <c r="J63" s="626">
        <f t="shared" ca="1" si="20"/>
        <v>145</v>
      </c>
      <c r="K63" s="600" t="str">
        <f t="shared" ca="1" si="21"/>
        <v/>
      </c>
      <c r="L63" s="600" t="str">
        <f t="shared" ca="1" si="22"/>
        <v/>
      </c>
      <c r="M63" s="601" t="str">
        <f t="shared" ca="1" si="23"/>
        <v/>
      </c>
      <c r="N63" s="600">
        <f t="shared" ca="1" si="24"/>
        <v>11397697.096527472</v>
      </c>
      <c r="O63" s="600" t="str">
        <f t="shared" ca="1" si="25"/>
        <v/>
      </c>
      <c r="P63" s="600" t="str">
        <f t="shared" ca="1" si="26"/>
        <v/>
      </c>
    </row>
    <row r="64" spans="2:16">
      <c r="B64" s="617"/>
      <c r="C64" s="621"/>
      <c r="D64" s="565"/>
      <c r="E64" s="549"/>
      <c r="F64" s="566"/>
      <c r="G64" s="574"/>
      <c r="H64" s="580"/>
      <c r="I64" s="591"/>
      <c r="J64" s="626"/>
      <c r="K64" s="600" t="str">
        <f t="shared" si="21"/>
        <v/>
      </c>
      <c r="L64" s="600" t="str">
        <f t="shared" si="22"/>
        <v/>
      </c>
      <c r="M64" s="601" t="str">
        <f t="shared" si="23"/>
        <v/>
      </c>
      <c r="N64" s="600" t="str">
        <f t="shared" si="24"/>
        <v/>
      </c>
      <c r="O64" s="600" t="str">
        <f t="shared" si="25"/>
        <v/>
      </c>
      <c r="P64" s="600" t="str">
        <f t="shared" si="26"/>
        <v/>
      </c>
    </row>
    <row r="65" spans="2:16">
      <c r="B65" s="617"/>
      <c r="C65" s="621"/>
      <c r="D65" s="565"/>
      <c r="E65" s="549"/>
      <c r="F65" s="566"/>
      <c r="G65" s="574"/>
      <c r="H65" s="580"/>
      <c r="I65" s="591"/>
      <c r="J65" s="626"/>
      <c r="K65" s="600" t="str">
        <f t="shared" si="21"/>
        <v/>
      </c>
      <c r="L65" s="600" t="str">
        <f t="shared" si="22"/>
        <v/>
      </c>
      <c r="M65" s="601" t="str">
        <f t="shared" si="23"/>
        <v/>
      </c>
      <c r="N65" s="600" t="str">
        <f t="shared" si="24"/>
        <v/>
      </c>
      <c r="O65" s="600" t="str">
        <f t="shared" si="25"/>
        <v/>
      </c>
      <c r="P65" s="600" t="str">
        <f t="shared" si="26"/>
        <v/>
      </c>
    </row>
    <row r="66" spans="2:16">
      <c r="B66" s="617">
        <v>10000078</v>
      </c>
      <c r="C66" s="621" t="s">
        <v>10</v>
      </c>
      <c r="D66" s="565" t="s">
        <v>42</v>
      </c>
      <c r="E66" s="549" t="s">
        <v>203</v>
      </c>
      <c r="F66" s="566" t="s">
        <v>35</v>
      </c>
      <c r="G66" s="574">
        <v>44020</v>
      </c>
      <c r="H66" s="580">
        <v>3098870.2260000035</v>
      </c>
      <c r="I66" s="591">
        <v>44065</v>
      </c>
      <c r="J66" s="626">
        <f t="shared" ca="1" si="20"/>
        <v>355</v>
      </c>
      <c r="K66" s="600" t="str">
        <f t="shared" ca="1" si="21"/>
        <v/>
      </c>
      <c r="L66" s="600" t="str">
        <f t="shared" ca="1" si="22"/>
        <v/>
      </c>
      <c r="M66" s="601" t="str">
        <f t="shared" ca="1" si="23"/>
        <v/>
      </c>
      <c r="N66" s="600" t="str">
        <f t="shared" ca="1" si="24"/>
        <v/>
      </c>
      <c r="O66" s="600">
        <f t="shared" ca="1" si="25"/>
        <v>3098870.2260000035</v>
      </c>
      <c r="P66" s="600" t="str">
        <f t="shared" ca="1" si="26"/>
        <v/>
      </c>
    </row>
    <row r="67" spans="2:16">
      <c r="B67" s="617">
        <v>10000078</v>
      </c>
      <c r="C67" s="621" t="s">
        <v>10</v>
      </c>
      <c r="D67" s="565" t="s">
        <v>42</v>
      </c>
      <c r="E67" s="552" t="s">
        <v>214</v>
      </c>
      <c r="F67" s="570" t="s">
        <v>534</v>
      </c>
      <c r="G67" s="574">
        <v>43962</v>
      </c>
      <c r="H67" s="580">
        <v>48076345.048290253</v>
      </c>
      <c r="I67" s="592">
        <v>44170</v>
      </c>
      <c r="J67" s="626">
        <f t="shared" ca="1" si="20"/>
        <v>250</v>
      </c>
      <c r="K67" s="600" t="str">
        <f t="shared" ca="1" si="21"/>
        <v/>
      </c>
      <c r="L67" s="600" t="str">
        <f t="shared" ca="1" si="22"/>
        <v/>
      </c>
      <c r="M67" s="601" t="str">
        <f t="shared" ca="1" si="23"/>
        <v/>
      </c>
      <c r="N67" s="600" t="str">
        <f t="shared" ca="1" si="24"/>
        <v/>
      </c>
      <c r="O67" s="600">
        <f t="shared" ca="1" si="25"/>
        <v>48076345.048290253</v>
      </c>
      <c r="P67" s="600" t="str">
        <f t="shared" ca="1" si="26"/>
        <v/>
      </c>
    </row>
    <row r="68" spans="2:16">
      <c r="B68" s="617">
        <v>10000078</v>
      </c>
      <c r="C68" s="621" t="s">
        <v>10</v>
      </c>
      <c r="D68" s="565" t="s">
        <v>42</v>
      </c>
      <c r="E68" s="549" t="s">
        <v>218</v>
      </c>
      <c r="F68" s="566" t="s">
        <v>535</v>
      </c>
      <c r="G68" s="574">
        <v>44024</v>
      </c>
      <c r="H68" s="580">
        <v>46955169.110612996</v>
      </c>
      <c r="I68" s="591">
        <v>44208</v>
      </c>
      <c r="J68" s="626">
        <f t="shared" ca="1" si="20"/>
        <v>212</v>
      </c>
      <c r="K68" s="600" t="str">
        <f t="shared" ca="1" si="21"/>
        <v/>
      </c>
      <c r="L68" s="600" t="str">
        <f t="shared" ca="1" si="22"/>
        <v/>
      </c>
      <c r="M68" s="601" t="str">
        <f t="shared" ca="1" si="23"/>
        <v/>
      </c>
      <c r="N68" s="600" t="str">
        <f t="shared" ca="1" si="24"/>
        <v/>
      </c>
      <c r="O68" s="600">
        <f t="shared" ca="1" si="25"/>
        <v>46955169.110612996</v>
      </c>
      <c r="P68" s="600" t="str">
        <f t="shared" ca="1" si="26"/>
        <v/>
      </c>
    </row>
    <row r="69" spans="2:16">
      <c r="B69" s="617">
        <v>10000078</v>
      </c>
      <c r="C69" s="621" t="s">
        <v>10</v>
      </c>
      <c r="D69" s="565" t="s">
        <v>42</v>
      </c>
      <c r="E69" s="549" t="s">
        <v>219</v>
      </c>
      <c r="F69" s="566" t="s">
        <v>538</v>
      </c>
      <c r="G69" s="574">
        <v>44409</v>
      </c>
      <c r="H69" s="580">
        <v>48969993.699518502</v>
      </c>
      <c r="I69" s="591">
        <v>44234</v>
      </c>
      <c r="J69" s="626">
        <f t="shared" ca="1" si="20"/>
        <v>186</v>
      </c>
      <c r="K69" s="600" t="str">
        <f t="shared" ca="1" si="21"/>
        <v/>
      </c>
      <c r="L69" s="600" t="str">
        <f t="shared" ca="1" si="22"/>
        <v/>
      </c>
      <c r="M69" s="601" t="str">
        <f t="shared" ca="1" si="23"/>
        <v/>
      </c>
      <c r="N69" s="600" t="str">
        <f t="shared" ca="1" si="24"/>
        <v/>
      </c>
      <c r="O69" s="600">
        <f t="shared" ca="1" si="25"/>
        <v>48969993.699518502</v>
      </c>
      <c r="P69" s="600" t="str">
        <f t="shared" ca="1" si="26"/>
        <v/>
      </c>
    </row>
    <row r="70" spans="2:16">
      <c r="B70" s="617">
        <v>10000078</v>
      </c>
      <c r="C70" s="621" t="s">
        <v>10</v>
      </c>
      <c r="D70" s="565" t="s">
        <v>42</v>
      </c>
      <c r="E70" s="552" t="s">
        <v>221</v>
      </c>
      <c r="F70" s="570" t="s">
        <v>43</v>
      </c>
      <c r="G70" s="574">
        <v>44410</v>
      </c>
      <c r="H70" s="580">
        <v>47911744.384638742</v>
      </c>
      <c r="I70" s="592">
        <v>44258</v>
      </c>
      <c r="J70" s="626">
        <f t="shared" ca="1" si="20"/>
        <v>162</v>
      </c>
      <c r="K70" s="600" t="str">
        <f t="shared" ca="1" si="21"/>
        <v/>
      </c>
      <c r="L70" s="600" t="str">
        <f t="shared" ca="1" si="22"/>
        <v/>
      </c>
      <c r="M70" s="601" t="str">
        <f t="shared" ca="1" si="23"/>
        <v/>
      </c>
      <c r="N70" s="600">
        <f t="shared" ca="1" si="24"/>
        <v>47911744.384638742</v>
      </c>
      <c r="O70" s="600" t="str">
        <f t="shared" ca="1" si="25"/>
        <v/>
      </c>
      <c r="P70" s="600" t="str">
        <f t="shared" ca="1" si="26"/>
        <v/>
      </c>
    </row>
    <row r="71" spans="2:16">
      <c r="B71" s="617">
        <v>10000078</v>
      </c>
      <c r="C71" s="621" t="s">
        <v>10</v>
      </c>
      <c r="D71" s="565" t="s">
        <v>42</v>
      </c>
      <c r="E71" s="549" t="s">
        <v>222</v>
      </c>
      <c r="F71" s="566" t="s">
        <v>540</v>
      </c>
      <c r="G71" s="574">
        <v>44319</v>
      </c>
      <c r="H71" s="580">
        <v>48237864.923729241</v>
      </c>
      <c r="I71" s="591">
        <v>44275</v>
      </c>
      <c r="J71" s="626">
        <f t="shared" ca="1" si="20"/>
        <v>145</v>
      </c>
      <c r="K71" s="600" t="str">
        <f t="shared" ca="1" si="21"/>
        <v/>
      </c>
      <c r="L71" s="600" t="str">
        <f t="shared" ca="1" si="22"/>
        <v/>
      </c>
      <c r="M71" s="601" t="str">
        <f t="shared" ca="1" si="23"/>
        <v/>
      </c>
      <c r="N71" s="600">
        <f t="shared" ca="1" si="24"/>
        <v>48237864.923729241</v>
      </c>
      <c r="O71" s="600" t="str">
        <f t="shared" ca="1" si="25"/>
        <v/>
      </c>
      <c r="P71" s="600" t="str">
        <f t="shared" ca="1" si="26"/>
        <v/>
      </c>
    </row>
    <row r="72" spans="2:16">
      <c r="B72" s="617"/>
      <c r="C72" s="621"/>
      <c r="D72" s="565"/>
      <c r="E72" s="549"/>
      <c r="F72" s="566"/>
      <c r="G72" s="574"/>
      <c r="H72" s="580"/>
      <c r="I72" s="591"/>
      <c r="J72" s="626"/>
      <c r="K72" s="600" t="str">
        <f t="shared" si="21"/>
        <v/>
      </c>
      <c r="L72" s="600" t="str">
        <f t="shared" si="22"/>
        <v/>
      </c>
      <c r="M72" s="601" t="str">
        <f t="shared" si="23"/>
        <v/>
      </c>
      <c r="N72" s="600" t="str">
        <f t="shared" si="24"/>
        <v/>
      </c>
      <c r="O72" s="600" t="str">
        <f t="shared" si="25"/>
        <v/>
      </c>
      <c r="P72" s="600" t="str">
        <f t="shared" si="26"/>
        <v/>
      </c>
    </row>
    <row r="73" spans="2:16">
      <c r="B73" s="617"/>
      <c r="C73" s="621"/>
      <c r="D73" s="565"/>
      <c r="E73" s="549"/>
      <c r="F73" s="566"/>
      <c r="G73" s="574"/>
      <c r="H73" s="580"/>
      <c r="I73" s="591"/>
      <c r="J73" s="626"/>
      <c r="K73" s="600" t="str">
        <f t="shared" si="21"/>
        <v/>
      </c>
      <c r="L73" s="600" t="str">
        <f t="shared" si="22"/>
        <v/>
      </c>
      <c r="M73" s="601" t="str">
        <f t="shared" si="23"/>
        <v/>
      </c>
      <c r="N73" s="600" t="str">
        <f t="shared" si="24"/>
        <v/>
      </c>
      <c r="O73" s="600" t="str">
        <f t="shared" si="25"/>
        <v/>
      </c>
      <c r="P73" s="600" t="str">
        <f t="shared" si="26"/>
        <v/>
      </c>
    </row>
    <row r="74" spans="2:16">
      <c r="B74" s="617">
        <v>10000105</v>
      </c>
      <c r="C74" s="621" t="s">
        <v>10</v>
      </c>
      <c r="D74" s="565" t="s">
        <v>738</v>
      </c>
      <c r="E74" s="549" t="s">
        <v>136</v>
      </c>
      <c r="F74" s="566"/>
      <c r="G74" s="574"/>
      <c r="H74" s="580">
        <v>5571257648.5909977</v>
      </c>
      <c r="I74" s="591"/>
      <c r="J74" s="626"/>
      <c r="K74" s="600" t="str">
        <f t="shared" si="21"/>
        <v/>
      </c>
      <c r="L74" s="600" t="str">
        <f t="shared" si="22"/>
        <v/>
      </c>
      <c r="M74" s="601" t="str">
        <f t="shared" si="23"/>
        <v/>
      </c>
      <c r="N74" s="600" t="str">
        <f t="shared" si="24"/>
        <v/>
      </c>
      <c r="O74" s="600" t="str">
        <f t="shared" si="25"/>
        <v/>
      </c>
      <c r="P74" s="600" t="str">
        <f t="shared" si="26"/>
        <v/>
      </c>
    </row>
    <row r="75" spans="2:16">
      <c r="B75" s="617">
        <v>10000105</v>
      </c>
      <c r="C75" s="621" t="s">
        <v>10</v>
      </c>
      <c r="D75" s="565" t="s">
        <v>738</v>
      </c>
      <c r="E75" s="553" t="s">
        <v>191</v>
      </c>
      <c r="F75" s="566" t="s">
        <v>29</v>
      </c>
      <c r="G75" s="574">
        <v>43986</v>
      </c>
      <c r="H75" s="580">
        <v>561967031.04300022</v>
      </c>
      <c r="I75" s="591">
        <v>43949</v>
      </c>
      <c r="J75" s="626">
        <f t="shared" ca="1" si="20"/>
        <v>471</v>
      </c>
      <c r="K75" s="600" t="str">
        <f t="shared" ca="1" si="21"/>
        <v/>
      </c>
      <c r="L75" s="600" t="str">
        <f t="shared" ca="1" si="22"/>
        <v/>
      </c>
      <c r="M75" s="601" t="str">
        <f t="shared" ca="1" si="23"/>
        <v/>
      </c>
      <c r="N75" s="600" t="str">
        <f t="shared" ca="1" si="24"/>
        <v/>
      </c>
      <c r="O75" s="600" t="str">
        <f t="shared" ca="1" si="25"/>
        <v/>
      </c>
      <c r="P75" s="600">
        <f t="shared" ca="1" si="26"/>
        <v>561967031.04300022</v>
      </c>
    </row>
    <row r="76" spans="2:16">
      <c r="B76" s="617">
        <v>10000105</v>
      </c>
      <c r="C76" s="621" t="s">
        <v>10</v>
      </c>
      <c r="D76" s="565" t="s">
        <v>738</v>
      </c>
      <c r="E76" s="553" t="s">
        <v>195</v>
      </c>
      <c r="F76" s="566" t="s">
        <v>301</v>
      </c>
      <c r="G76" s="574" t="s">
        <v>197</v>
      </c>
      <c r="H76" s="580">
        <v>252006618.45600033</v>
      </c>
      <c r="I76" s="591">
        <v>43980</v>
      </c>
      <c r="J76" s="626">
        <f t="shared" ca="1" si="20"/>
        <v>440</v>
      </c>
      <c r="K76" s="600" t="str">
        <f t="shared" ca="1" si="21"/>
        <v/>
      </c>
      <c r="L76" s="600" t="str">
        <f t="shared" ca="1" si="22"/>
        <v/>
      </c>
      <c r="M76" s="601" t="str">
        <f t="shared" ca="1" si="23"/>
        <v/>
      </c>
      <c r="N76" s="600" t="str">
        <f t="shared" ca="1" si="24"/>
        <v/>
      </c>
      <c r="O76" s="600" t="str">
        <f t="shared" ca="1" si="25"/>
        <v/>
      </c>
      <c r="P76" s="600">
        <f t="shared" ca="1" si="26"/>
        <v>252006618.45600033</v>
      </c>
    </row>
    <row r="77" spans="2:16">
      <c r="B77" s="617">
        <v>10000105</v>
      </c>
      <c r="C77" s="621" t="s">
        <v>10</v>
      </c>
      <c r="D77" s="565" t="s">
        <v>738</v>
      </c>
      <c r="E77" s="553" t="s">
        <v>199</v>
      </c>
      <c r="F77" s="566" t="s">
        <v>313</v>
      </c>
      <c r="G77" s="574">
        <v>44049</v>
      </c>
      <c r="H77" s="580">
        <v>215667234.67999983</v>
      </c>
      <c r="I77" s="591">
        <v>43985</v>
      </c>
      <c r="J77" s="626">
        <f t="shared" ca="1" si="20"/>
        <v>435</v>
      </c>
      <c r="K77" s="600" t="str">
        <f t="shared" ca="1" si="21"/>
        <v/>
      </c>
      <c r="L77" s="600" t="str">
        <f t="shared" ca="1" si="22"/>
        <v/>
      </c>
      <c r="M77" s="601" t="str">
        <f t="shared" ca="1" si="23"/>
        <v/>
      </c>
      <c r="N77" s="600" t="str">
        <f t="shared" ca="1" si="24"/>
        <v/>
      </c>
      <c r="O77" s="600" t="str">
        <f t="shared" ca="1" si="25"/>
        <v/>
      </c>
      <c r="P77" s="600">
        <f t="shared" ca="1" si="26"/>
        <v>215667234.67999983</v>
      </c>
    </row>
    <row r="78" spans="2:16">
      <c r="B78" s="617">
        <v>10000105</v>
      </c>
      <c r="C78" s="621" t="s">
        <v>10</v>
      </c>
      <c r="D78" s="565" t="s">
        <v>738</v>
      </c>
      <c r="E78" s="553" t="s">
        <v>201</v>
      </c>
      <c r="F78" s="566" t="s">
        <v>314</v>
      </c>
      <c r="G78" s="574" t="s">
        <v>449</v>
      </c>
      <c r="H78" s="580">
        <v>215609772.69000006</v>
      </c>
      <c r="I78" s="591">
        <v>44047</v>
      </c>
      <c r="J78" s="626">
        <f t="shared" ca="1" si="20"/>
        <v>373</v>
      </c>
      <c r="K78" s="600" t="str">
        <f t="shared" ca="1" si="21"/>
        <v/>
      </c>
      <c r="L78" s="600" t="str">
        <f t="shared" ca="1" si="22"/>
        <v/>
      </c>
      <c r="M78" s="601" t="str">
        <f t="shared" ca="1" si="23"/>
        <v/>
      </c>
      <c r="N78" s="600" t="str">
        <f t="shared" ca="1" si="24"/>
        <v/>
      </c>
      <c r="O78" s="600" t="str">
        <f t="shared" ca="1" si="25"/>
        <v/>
      </c>
      <c r="P78" s="600">
        <f t="shared" ca="1" si="26"/>
        <v>215609772.69000006</v>
      </c>
    </row>
    <row r="79" spans="2:16">
      <c r="B79" s="617">
        <v>10000105</v>
      </c>
      <c r="C79" s="621" t="s">
        <v>10</v>
      </c>
      <c r="D79" s="565" t="s">
        <v>738</v>
      </c>
      <c r="E79" s="553" t="s">
        <v>203</v>
      </c>
      <c r="F79" s="566" t="s">
        <v>315</v>
      </c>
      <c r="G79" s="574">
        <v>44020</v>
      </c>
      <c r="H79" s="580">
        <v>244578359.43500042</v>
      </c>
      <c r="I79" s="591">
        <v>44065</v>
      </c>
      <c r="J79" s="626">
        <f t="shared" ca="1" si="20"/>
        <v>355</v>
      </c>
      <c r="K79" s="600" t="str">
        <f t="shared" ca="1" si="21"/>
        <v/>
      </c>
      <c r="L79" s="600" t="str">
        <f t="shared" ca="1" si="22"/>
        <v/>
      </c>
      <c r="M79" s="601" t="str">
        <f t="shared" ca="1" si="23"/>
        <v/>
      </c>
      <c r="N79" s="600" t="str">
        <f t="shared" ca="1" si="24"/>
        <v/>
      </c>
      <c r="O79" s="600">
        <f t="shared" ca="1" si="25"/>
        <v>244578359.43500042</v>
      </c>
      <c r="P79" s="600" t="str">
        <f t="shared" ca="1" si="26"/>
        <v/>
      </c>
    </row>
    <row r="80" spans="2:16">
      <c r="B80" s="617">
        <v>10000105</v>
      </c>
      <c r="C80" s="621" t="s">
        <v>10</v>
      </c>
      <c r="D80" s="565" t="s">
        <v>738</v>
      </c>
      <c r="E80" s="553" t="s">
        <v>207</v>
      </c>
      <c r="F80" s="566" t="s">
        <v>316</v>
      </c>
      <c r="G80" s="574" t="s">
        <v>292</v>
      </c>
      <c r="H80" s="580">
        <v>247811342.33999968</v>
      </c>
      <c r="I80" s="591">
        <v>44099</v>
      </c>
      <c r="J80" s="626">
        <f t="shared" ca="1" si="20"/>
        <v>321</v>
      </c>
      <c r="K80" s="600" t="str">
        <f t="shared" ca="1" si="21"/>
        <v/>
      </c>
      <c r="L80" s="600" t="str">
        <f t="shared" ca="1" si="22"/>
        <v/>
      </c>
      <c r="M80" s="601" t="str">
        <f t="shared" ca="1" si="23"/>
        <v/>
      </c>
      <c r="N80" s="600" t="str">
        <f t="shared" ca="1" si="24"/>
        <v/>
      </c>
      <c r="O80" s="600">
        <f t="shared" ca="1" si="25"/>
        <v>247811342.33999968</v>
      </c>
      <c r="P80" s="600" t="str">
        <f t="shared" ca="1" si="26"/>
        <v/>
      </c>
    </row>
    <row r="81" spans="2:16">
      <c r="B81" s="617">
        <v>10000105</v>
      </c>
      <c r="C81" s="621" t="s">
        <v>10</v>
      </c>
      <c r="D81" s="565" t="s">
        <v>738</v>
      </c>
      <c r="E81" s="553" t="s">
        <v>212</v>
      </c>
      <c r="F81" s="566" t="s">
        <v>786</v>
      </c>
      <c r="G81" s="574" t="s">
        <v>736</v>
      </c>
      <c r="H81" s="580">
        <v>312150738.72300005</v>
      </c>
      <c r="I81" s="591">
        <v>44132</v>
      </c>
      <c r="J81" s="626">
        <f t="shared" ca="1" si="20"/>
        <v>288</v>
      </c>
      <c r="K81" s="600" t="str">
        <f t="shared" ca="1" si="21"/>
        <v/>
      </c>
      <c r="L81" s="600" t="str">
        <f t="shared" ca="1" si="22"/>
        <v/>
      </c>
      <c r="M81" s="601" t="str">
        <f t="shared" ca="1" si="23"/>
        <v/>
      </c>
      <c r="N81" s="600" t="str">
        <f t="shared" ca="1" si="24"/>
        <v/>
      </c>
      <c r="O81" s="600">
        <f t="shared" ca="1" si="25"/>
        <v>312150738.72300005</v>
      </c>
      <c r="P81" s="600" t="str">
        <f t="shared" ca="1" si="26"/>
        <v/>
      </c>
    </row>
    <row r="82" spans="2:16">
      <c r="B82" s="617">
        <v>10000105</v>
      </c>
      <c r="C82" s="621" t="s">
        <v>10</v>
      </c>
      <c r="D82" s="565" t="s">
        <v>738</v>
      </c>
      <c r="E82" s="553" t="s">
        <v>214</v>
      </c>
      <c r="F82" s="566" t="s">
        <v>319</v>
      </c>
      <c r="G82" s="574">
        <v>43962</v>
      </c>
      <c r="H82" s="580">
        <v>306165311.65474939</v>
      </c>
      <c r="I82" s="591">
        <v>44157</v>
      </c>
      <c r="J82" s="626">
        <f t="shared" ca="1" si="20"/>
        <v>263</v>
      </c>
      <c r="K82" s="600" t="str">
        <f t="shared" ca="1" si="21"/>
        <v/>
      </c>
      <c r="L82" s="600" t="str">
        <f t="shared" ca="1" si="22"/>
        <v/>
      </c>
      <c r="M82" s="601" t="str">
        <f t="shared" ca="1" si="23"/>
        <v/>
      </c>
      <c r="N82" s="600" t="str">
        <f t="shared" ca="1" si="24"/>
        <v/>
      </c>
      <c r="O82" s="600">
        <f t="shared" ca="1" si="25"/>
        <v>306165311.65474939</v>
      </c>
      <c r="P82" s="600" t="str">
        <f t="shared" ca="1" si="26"/>
        <v/>
      </c>
    </row>
    <row r="83" spans="2:16">
      <c r="B83" s="617">
        <v>10000105</v>
      </c>
      <c r="C83" s="621" t="s">
        <v>10</v>
      </c>
      <c r="D83" s="565" t="s">
        <v>738</v>
      </c>
      <c r="E83" s="553" t="s">
        <v>218</v>
      </c>
      <c r="F83" s="566" t="s">
        <v>787</v>
      </c>
      <c r="G83" s="574">
        <v>44024</v>
      </c>
      <c r="H83" s="580">
        <v>266813821.14815044</v>
      </c>
      <c r="I83" s="591">
        <v>44208</v>
      </c>
      <c r="J83" s="626">
        <f t="shared" ca="1" si="20"/>
        <v>212</v>
      </c>
      <c r="K83" s="600" t="str">
        <f t="shared" ca="1" si="21"/>
        <v/>
      </c>
      <c r="L83" s="600" t="str">
        <f t="shared" ca="1" si="22"/>
        <v/>
      </c>
      <c r="M83" s="601" t="str">
        <f t="shared" ca="1" si="23"/>
        <v/>
      </c>
      <c r="N83" s="600" t="str">
        <f t="shared" ca="1" si="24"/>
        <v/>
      </c>
      <c r="O83" s="600">
        <f t="shared" ca="1" si="25"/>
        <v>266813821.14815044</v>
      </c>
      <c r="P83" s="600" t="str">
        <f t="shared" ca="1" si="26"/>
        <v/>
      </c>
    </row>
    <row r="84" spans="2:16">
      <c r="B84" s="617">
        <v>10000105</v>
      </c>
      <c r="C84" s="621" t="s">
        <v>10</v>
      </c>
      <c r="D84" s="565" t="s">
        <v>738</v>
      </c>
      <c r="E84" s="553" t="s">
        <v>219</v>
      </c>
      <c r="F84" s="566" t="s">
        <v>323</v>
      </c>
      <c r="G84" s="574">
        <v>44409</v>
      </c>
      <c r="H84" s="580">
        <v>299145921.82399988</v>
      </c>
      <c r="I84" s="591">
        <v>44219</v>
      </c>
      <c r="J84" s="626">
        <f t="shared" ca="1" si="20"/>
        <v>201</v>
      </c>
      <c r="K84" s="600" t="str">
        <f t="shared" ca="1" si="21"/>
        <v/>
      </c>
      <c r="L84" s="600" t="str">
        <f t="shared" ca="1" si="22"/>
        <v/>
      </c>
      <c r="M84" s="601" t="str">
        <f t="shared" ca="1" si="23"/>
        <v/>
      </c>
      <c r="N84" s="600" t="str">
        <f t="shared" ca="1" si="24"/>
        <v/>
      </c>
      <c r="O84" s="600">
        <f t="shared" ca="1" si="25"/>
        <v>299145921.82399988</v>
      </c>
      <c r="P84" s="600" t="str">
        <f t="shared" ca="1" si="26"/>
        <v/>
      </c>
    </row>
    <row r="85" spans="2:16">
      <c r="B85" s="617">
        <v>10000105</v>
      </c>
      <c r="C85" s="621" t="s">
        <v>10</v>
      </c>
      <c r="D85" s="565" t="s">
        <v>738</v>
      </c>
      <c r="E85" s="553" t="s">
        <v>221</v>
      </c>
      <c r="F85" s="566" t="s">
        <v>44</v>
      </c>
      <c r="G85" s="574">
        <v>44441</v>
      </c>
      <c r="H85" s="580">
        <v>332723755.26900005</v>
      </c>
      <c r="I85" s="591">
        <v>44259</v>
      </c>
      <c r="J85" s="626">
        <f t="shared" ca="1" si="20"/>
        <v>161</v>
      </c>
      <c r="K85" s="600" t="str">
        <f t="shared" ca="1" si="21"/>
        <v/>
      </c>
      <c r="L85" s="600" t="str">
        <f t="shared" ca="1" si="22"/>
        <v/>
      </c>
      <c r="M85" s="601" t="str">
        <f t="shared" ca="1" si="23"/>
        <v/>
      </c>
      <c r="N85" s="600">
        <f t="shared" ca="1" si="24"/>
        <v>332723755.26900005</v>
      </c>
      <c r="O85" s="600" t="str">
        <f t="shared" ca="1" si="25"/>
        <v/>
      </c>
      <c r="P85" s="600" t="str">
        <f t="shared" ca="1" si="26"/>
        <v/>
      </c>
    </row>
    <row r="86" spans="2:16">
      <c r="B86" s="617">
        <v>10000105</v>
      </c>
      <c r="C86" s="621" t="s">
        <v>10</v>
      </c>
      <c r="D86" s="565" t="s">
        <v>738</v>
      </c>
      <c r="E86" s="549" t="s">
        <v>222</v>
      </c>
      <c r="F86" s="566" t="s">
        <v>326</v>
      </c>
      <c r="G86" s="574">
        <v>44319</v>
      </c>
      <c r="H86" s="580">
        <v>4359188111.0785007</v>
      </c>
      <c r="I86" s="591">
        <v>44275</v>
      </c>
      <c r="J86" s="626">
        <f t="shared" ca="1" si="20"/>
        <v>145</v>
      </c>
      <c r="K86" s="600" t="str">
        <f t="shared" ca="1" si="21"/>
        <v/>
      </c>
      <c r="L86" s="600" t="str">
        <f t="shared" ca="1" si="22"/>
        <v/>
      </c>
      <c r="M86" s="601" t="str">
        <f t="shared" ca="1" si="23"/>
        <v/>
      </c>
      <c r="N86" s="600">
        <f t="shared" ca="1" si="24"/>
        <v>4359188111.0785007</v>
      </c>
      <c r="O86" s="600" t="str">
        <f t="shared" ca="1" si="25"/>
        <v/>
      </c>
      <c r="P86" s="600" t="str">
        <f t="shared" ca="1" si="26"/>
        <v/>
      </c>
    </row>
    <row r="87" spans="2:16">
      <c r="B87" s="617"/>
      <c r="C87" s="621"/>
      <c r="D87" s="565"/>
      <c r="E87" s="549"/>
      <c r="F87" s="566"/>
      <c r="G87" s="574"/>
      <c r="H87" s="580"/>
      <c r="I87" s="591"/>
      <c r="J87" s="626"/>
      <c r="K87" s="600" t="str">
        <f t="shared" si="21"/>
        <v/>
      </c>
      <c r="L87" s="600" t="str">
        <f t="shared" si="22"/>
        <v/>
      </c>
      <c r="M87" s="601" t="str">
        <f t="shared" si="23"/>
        <v/>
      </c>
      <c r="N87" s="600" t="str">
        <f t="shared" si="24"/>
        <v/>
      </c>
      <c r="O87" s="600" t="str">
        <f t="shared" si="25"/>
        <v/>
      </c>
      <c r="P87" s="600" t="str">
        <f t="shared" si="26"/>
        <v/>
      </c>
    </row>
    <row r="88" spans="2:16">
      <c r="B88" s="617"/>
      <c r="C88" s="621"/>
      <c r="D88" s="565"/>
      <c r="E88" s="554"/>
      <c r="F88" s="570"/>
      <c r="G88" s="574"/>
      <c r="H88" s="580"/>
      <c r="I88" s="592"/>
      <c r="J88" s="626"/>
      <c r="K88" s="600" t="str">
        <f t="shared" si="21"/>
        <v/>
      </c>
      <c r="L88" s="600" t="str">
        <f t="shared" si="22"/>
        <v/>
      </c>
      <c r="M88" s="601" t="str">
        <f t="shared" si="23"/>
        <v/>
      </c>
      <c r="N88" s="600" t="str">
        <f t="shared" si="24"/>
        <v/>
      </c>
      <c r="O88" s="600" t="str">
        <f t="shared" si="25"/>
        <v/>
      </c>
      <c r="P88" s="600" t="str">
        <f t="shared" si="26"/>
        <v/>
      </c>
    </row>
    <row r="89" spans="2:16">
      <c r="B89" s="617"/>
      <c r="C89" s="621"/>
      <c r="D89" s="565"/>
      <c r="E89" s="553"/>
      <c r="F89" s="566"/>
      <c r="G89" s="574"/>
      <c r="H89" s="580"/>
      <c r="I89" s="591"/>
      <c r="J89" s="626"/>
      <c r="K89" s="600" t="str">
        <f t="shared" si="21"/>
        <v/>
      </c>
      <c r="L89" s="600" t="str">
        <f t="shared" si="22"/>
        <v/>
      </c>
      <c r="M89" s="601" t="str">
        <f t="shared" si="23"/>
        <v/>
      </c>
      <c r="N89" s="600" t="str">
        <f t="shared" si="24"/>
        <v/>
      </c>
      <c r="O89" s="600" t="str">
        <f t="shared" si="25"/>
        <v/>
      </c>
      <c r="P89" s="600" t="str">
        <f t="shared" si="26"/>
        <v/>
      </c>
    </row>
    <row r="90" spans="2:16">
      <c r="B90" s="617">
        <v>10014024</v>
      </c>
      <c r="C90" s="621" t="s">
        <v>10</v>
      </c>
      <c r="D90" s="565" t="s">
        <v>45</v>
      </c>
      <c r="E90" s="553" t="s">
        <v>136</v>
      </c>
      <c r="F90" s="566"/>
      <c r="G90" s="574"/>
      <c r="H90" s="580">
        <v>1378830567.8316069</v>
      </c>
      <c r="I90" s="591"/>
      <c r="J90" s="626"/>
      <c r="K90" s="600" t="str">
        <f t="shared" si="21"/>
        <v/>
      </c>
      <c r="L90" s="600" t="str">
        <f t="shared" si="22"/>
        <v/>
      </c>
      <c r="M90" s="601" t="str">
        <f t="shared" si="23"/>
        <v/>
      </c>
      <c r="N90" s="600" t="str">
        <f t="shared" si="24"/>
        <v/>
      </c>
      <c r="O90" s="600" t="str">
        <f t="shared" si="25"/>
        <v/>
      </c>
      <c r="P90" s="600" t="str">
        <f t="shared" si="26"/>
        <v/>
      </c>
    </row>
    <row r="91" spans="2:16">
      <c r="B91" s="617">
        <v>10014024</v>
      </c>
      <c r="C91" s="621" t="s">
        <v>10</v>
      </c>
      <c r="D91" s="565" t="s">
        <v>45</v>
      </c>
      <c r="E91" s="554" t="s">
        <v>214</v>
      </c>
      <c r="F91" s="570" t="s">
        <v>866</v>
      </c>
      <c r="G91" s="574">
        <v>43962</v>
      </c>
      <c r="H91" s="580">
        <v>86118422.812999964</v>
      </c>
      <c r="I91" s="592">
        <v>44170</v>
      </c>
      <c r="J91" s="626">
        <f t="shared" ca="1" si="20"/>
        <v>250</v>
      </c>
      <c r="K91" s="600" t="str">
        <f t="shared" ca="1" si="21"/>
        <v/>
      </c>
      <c r="L91" s="600" t="str">
        <f t="shared" ca="1" si="22"/>
        <v/>
      </c>
      <c r="M91" s="601" t="str">
        <f t="shared" ca="1" si="23"/>
        <v/>
      </c>
      <c r="N91" s="600" t="str">
        <f t="shared" ca="1" si="24"/>
        <v/>
      </c>
      <c r="O91" s="600">
        <f t="shared" ca="1" si="25"/>
        <v>86118422.812999964</v>
      </c>
      <c r="P91" s="600" t="str">
        <f t="shared" ca="1" si="26"/>
        <v/>
      </c>
    </row>
    <row r="92" spans="2:16">
      <c r="B92" s="617">
        <v>10014024</v>
      </c>
      <c r="C92" s="621" t="s">
        <v>10</v>
      </c>
      <c r="D92" s="565" t="s">
        <v>45</v>
      </c>
      <c r="E92" s="553" t="s">
        <v>218</v>
      </c>
      <c r="F92" s="566" t="s">
        <v>868</v>
      </c>
      <c r="G92" s="574">
        <v>44147</v>
      </c>
      <c r="H92" s="580">
        <v>126054539.57200003</v>
      </c>
      <c r="I92" s="591">
        <v>44177</v>
      </c>
      <c r="J92" s="626">
        <f t="shared" ca="1" si="20"/>
        <v>243</v>
      </c>
      <c r="K92" s="600" t="str">
        <f t="shared" ca="1" si="21"/>
        <v/>
      </c>
      <c r="L92" s="600" t="str">
        <f t="shared" ca="1" si="22"/>
        <v/>
      </c>
      <c r="M92" s="601" t="str">
        <f t="shared" ca="1" si="23"/>
        <v/>
      </c>
      <c r="N92" s="600" t="str">
        <f t="shared" ca="1" si="24"/>
        <v/>
      </c>
      <c r="O92" s="600">
        <f t="shared" ca="1" si="25"/>
        <v>126054539.57200003</v>
      </c>
      <c r="P92" s="600" t="str">
        <f t="shared" ca="1" si="26"/>
        <v/>
      </c>
    </row>
    <row r="93" spans="2:16">
      <c r="B93" s="617">
        <v>10014024</v>
      </c>
      <c r="C93" s="621" t="s">
        <v>10</v>
      </c>
      <c r="D93" s="565" t="s">
        <v>45</v>
      </c>
      <c r="E93" s="553" t="s">
        <v>219</v>
      </c>
      <c r="F93" s="566" t="s">
        <v>869</v>
      </c>
      <c r="G93" s="574">
        <v>44409</v>
      </c>
      <c r="H93" s="580">
        <v>84079492.943750024</v>
      </c>
      <c r="I93" s="591">
        <v>44234</v>
      </c>
      <c r="J93" s="626">
        <f t="shared" ca="1" si="20"/>
        <v>186</v>
      </c>
      <c r="K93" s="600" t="str">
        <f t="shared" ca="1" si="21"/>
        <v/>
      </c>
      <c r="L93" s="600" t="str">
        <f t="shared" ca="1" si="22"/>
        <v/>
      </c>
      <c r="M93" s="601" t="str">
        <f t="shared" ca="1" si="23"/>
        <v/>
      </c>
      <c r="N93" s="600" t="str">
        <f t="shared" ca="1" si="24"/>
        <v/>
      </c>
      <c r="O93" s="600">
        <f t="shared" ca="1" si="25"/>
        <v>84079492.943750024</v>
      </c>
      <c r="P93" s="600" t="str">
        <f t="shared" ca="1" si="26"/>
        <v/>
      </c>
    </row>
    <row r="94" spans="2:16">
      <c r="B94" s="617">
        <v>10014024</v>
      </c>
      <c r="C94" s="621" t="s">
        <v>10</v>
      </c>
      <c r="D94" s="565" t="s">
        <v>45</v>
      </c>
      <c r="E94" s="554" t="s">
        <v>221</v>
      </c>
      <c r="F94" s="570" t="s">
        <v>46</v>
      </c>
      <c r="G94" s="574" t="s">
        <v>47</v>
      </c>
      <c r="H94" s="580">
        <v>91060333.940750003</v>
      </c>
      <c r="I94" s="592">
        <v>44270</v>
      </c>
      <c r="J94" s="626">
        <f t="shared" ca="1" si="20"/>
        <v>150</v>
      </c>
      <c r="K94" s="600" t="str">
        <f t="shared" ca="1" si="21"/>
        <v/>
      </c>
      <c r="L94" s="600" t="str">
        <f t="shared" ca="1" si="22"/>
        <v/>
      </c>
      <c r="M94" s="601" t="str">
        <f t="shared" ca="1" si="23"/>
        <v/>
      </c>
      <c r="N94" s="600">
        <f t="shared" ca="1" si="24"/>
        <v>91060333.940750003</v>
      </c>
      <c r="O94" s="600" t="str">
        <f t="shared" ca="1" si="25"/>
        <v/>
      </c>
      <c r="P94" s="600" t="str">
        <f t="shared" ca="1" si="26"/>
        <v/>
      </c>
    </row>
    <row r="95" spans="2:16">
      <c r="B95" s="617">
        <v>10014024</v>
      </c>
      <c r="C95" s="621" t="s">
        <v>10</v>
      </c>
      <c r="D95" s="565" t="s">
        <v>45</v>
      </c>
      <c r="E95" s="553" t="s">
        <v>222</v>
      </c>
      <c r="F95" s="566" t="s">
        <v>870</v>
      </c>
      <c r="G95" s="574">
        <v>44472</v>
      </c>
      <c r="H95" s="580">
        <v>806334520.61725008</v>
      </c>
      <c r="I95" s="591">
        <v>44280</v>
      </c>
      <c r="J95" s="626">
        <f t="shared" ca="1" si="20"/>
        <v>140</v>
      </c>
      <c r="K95" s="600" t="str">
        <f t="shared" ca="1" si="21"/>
        <v/>
      </c>
      <c r="L95" s="600" t="str">
        <f t="shared" ca="1" si="22"/>
        <v/>
      </c>
      <c r="M95" s="601" t="str">
        <f t="shared" ca="1" si="23"/>
        <v/>
      </c>
      <c r="N95" s="600">
        <f t="shared" ca="1" si="24"/>
        <v>806334520.61725008</v>
      </c>
      <c r="O95" s="600" t="str">
        <f t="shared" ca="1" si="25"/>
        <v/>
      </c>
      <c r="P95" s="600" t="str">
        <f t="shared" ca="1" si="26"/>
        <v/>
      </c>
    </row>
    <row r="96" spans="2:16">
      <c r="B96" s="617"/>
      <c r="C96" s="621"/>
      <c r="D96" s="565"/>
      <c r="E96" s="553"/>
      <c r="F96" s="566"/>
      <c r="G96" s="574"/>
      <c r="H96" s="580"/>
      <c r="I96" s="591"/>
      <c r="J96" s="626"/>
      <c r="K96" s="600" t="str">
        <f t="shared" si="21"/>
        <v/>
      </c>
      <c r="L96" s="600" t="str">
        <f t="shared" si="22"/>
        <v/>
      </c>
      <c r="M96" s="601" t="str">
        <f t="shared" si="23"/>
        <v/>
      </c>
      <c r="N96" s="600" t="str">
        <f t="shared" si="24"/>
        <v/>
      </c>
      <c r="O96" s="600" t="str">
        <f t="shared" si="25"/>
        <v/>
      </c>
      <c r="P96" s="600" t="str">
        <f t="shared" si="26"/>
        <v/>
      </c>
    </row>
    <row r="97" spans="2:16">
      <c r="B97" s="617"/>
      <c r="C97" s="621"/>
      <c r="D97" s="565"/>
      <c r="E97" s="554"/>
      <c r="F97" s="570"/>
      <c r="G97" s="574"/>
      <c r="H97" s="580"/>
      <c r="I97" s="592"/>
      <c r="J97" s="626"/>
      <c r="K97" s="600" t="str">
        <f t="shared" si="21"/>
        <v/>
      </c>
      <c r="L97" s="600" t="str">
        <f t="shared" si="22"/>
        <v/>
      </c>
      <c r="M97" s="601" t="str">
        <f t="shared" si="23"/>
        <v/>
      </c>
      <c r="N97" s="600" t="str">
        <f t="shared" si="24"/>
        <v/>
      </c>
      <c r="O97" s="600" t="str">
        <f t="shared" si="25"/>
        <v/>
      </c>
      <c r="P97" s="600" t="str">
        <f t="shared" si="26"/>
        <v/>
      </c>
    </row>
    <row r="98" spans="2:16">
      <c r="B98" s="617">
        <v>10014429</v>
      </c>
      <c r="C98" s="621" t="s">
        <v>10</v>
      </c>
      <c r="D98" s="565" t="s">
        <v>49</v>
      </c>
      <c r="E98" s="553" t="s">
        <v>873</v>
      </c>
      <c r="F98" s="566" t="s">
        <v>140</v>
      </c>
      <c r="G98" s="574"/>
      <c r="H98" s="580">
        <v>915842620.83999991</v>
      </c>
      <c r="I98" s="591"/>
      <c r="J98" s="626">
        <f t="shared" ca="1" si="20"/>
        <v>44420</v>
      </c>
      <c r="K98" s="600" t="str">
        <f t="shared" ca="1" si="21"/>
        <v/>
      </c>
      <c r="L98" s="600" t="str">
        <f t="shared" ca="1" si="22"/>
        <v/>
      </c>
      <c r="M98" s="601" t="str">
        <f t="shared" ca="1" si="23"/>
        <v/>
      </c>
      <c r="N98" s="600" t="str">
        <f t="shared" ca="1" si="24"/>
        <v/>
      </c>
      <c r="O98" s="600" t="str">
        <f t="shared" ca="1" si="25"/>
        <v/>
      </c>
      <c r="P98" s="600">
        <f t="shared" ca="1" si="26"/>
        <v>915842620.83999991</v>
      </c>
    </row>
    <row r="99" spans="2:16">
      <c r="B99" s="617">
        <v>10014429</v>
      </c>
      <c r="C99" s="621" t="s">
        <v>10</v>
      </c>
      <c r="D99" s="565" t="s">
        <v>49</v>
      </c>
      <c r="E99" s="553" t="s">
        <v>874</v>
      </c>
      <c r="F99" s="566" t="s">
        <v>120</v>
      </c>
      <c r="G99" s="574"/>
      <c r="H99" s="580">
        <v>137321037.64999998</v>
      </c>
      <c r="I99" s="591"/>
      <c r="J99" s="626">
        <f t="shared" ca="1" si="20"/>
        <v>44420</v>
      </c>
      <c r="K99" s="600" t="str">
        <f t="shared" ca="1" si="21"/>
        <v/>
      </c>
      <c r="L99" s="600" t="str">
        <f t="shared" ca="1" si="22"/>
        <v/>
      </c>
      <c r="M99" s="601" t="str">
        <f t="shared" ca="1" si="23"/>
        <v/>
      </c>
      <c r="N99" s="600" t="str">
        <f t="shared" ca="1" si="24"/>
        <v/>
      </c>
      <c r="O99" s="600" t="str">
        <f t="shared" ca="1" si="25"/>
        <v/>
      </c>
      <c r="P99" s="600">
        <f t="shared" ca="1" si="26"/>
        <v>137321037.64999998</v>
      </c>
    </row>
    <row r="100" spans="2:16">
      <c r="B100" s="617"/>
      <c r="C100" s="621"/>
      <c r="D100" s="565"/>
      <c r="E100" s="552"/>
      <c r="F100" s="570"/>
      <c r="G100" s="574"/>
      <c r="H100" s="580"/>
      <c r="I100" s="592"/>
      <c r="J100" s="626"/>
      <c r="K100" s="600" t="str">
        <f t="shared" si="21"/>
        <v/>
      </c>
      <c r="L100" s="600" t="str">
        <f t="shared" si="22"/>
        <v/>
      </c>
      <c r="M100" s="601" t="str">
        <f t="shared" si="23"/>
        <v/>
      </c>
      <c r="N100" s="600" t="str">
        <f t="shared" si="24"/>
        <v/>
      </c>
      <c r="O100" s="600" t="str">
        <f t="shared" si="25"/>
        <v/>
      </c>
      <c r="P100" s="600" t="str">
        <f t="shared" si="26"/>
        <v/>
      </c>
    </row>
    <row r="101" spans="2:16">
      <c r="B101" s="617"/>
      <c r="C101" s="621"/>
      <c r="D101" s="565"/>
      <c r="E101" s="549"/>
      <c r="F101" s="566"/>
      <c r="G101" s="574"/>
      <c r="H101" s="580"/>
      <c r="I101" s="591"/>
      <c r="J101" s="626"/>
      <c r="K101" s="600" t="str">
        <f t="shared" si="21"/>
        <v/>
      </c>
      <c r="L101" s="600" t="str">
        <f t="shared" si="22"/>
        <v/>
      </c>
      <c r="M101" s="601" t="str">
        <f t="shared" si="23"/>
        <v/>
      </c>
      <c r="N101" s="600" t="str">
        <f t="shared" si="24"/>
        <v/>
      </c>
      <c r="O101" s="600" t="str">
        <f t="shared" si="25"/>
        <v/>
      </c>
      <c r="P101" s="600" t="str">
        <f t="shared" si="26"/>
        <v/>
      </c>
    </row>
    <row r="102" spans="2:16">
      <c r="B102" s="617"/>
      <c r="C102" s="621"/>
      <c r="D102" s="565"/>
      <c r="E102" s="549" t="s">
        <v>136</v>
      </c>
      <c r="F102" s="566"/>
      <c r="G102" s="574"/>
      <c r="H102" s="580">
        <v>12942329.994842738</v>
      </c>
      <c r="I102" s="591"/>
      <c r="J102" s="626"/>
      <c r="K102" s="600" t="str">
        <f t="shared" si="21"/>
        <v/>
      </c>
      <c r="L102" s="600" t="str">
        <f t="shared" si="22"/>
        <v/>
      </c>
      <c r="M102" s="601" t="str">
        <f t="shared" si="23"/>
        <v/>
      </c>
      <c r="N102" s="600" t="str">
        <f t="shared" si="24"/>
        <v/>
      </c>
      <c r="O102" s="600" t="str">
        <f t="shared" si="25"/>
        <v/>
      </c>
      <c r="P102" s="600" t="str">
        <f t="shared" si="26"/>
        <v/>
      </c>
    </row>
    <row r="103" spans="2:16">
      <c r="B103" s="617">
        <v>10000570</v>
      </c>
      <c r="C103" s="621" t="s">
        <v>10</v>
      </c>
      <c r="D103" s="565" t="s">
        <v>51</v>
      </c>
      <c r="E103" s="549" t="s">
        <v>214</v>
      </c>
      <c r="F103" s="566" t="s">
        <v>202</v>
      </c>
      <c r="G103" s="574">
        <v>43962</v>
      </c>
      <c r="H103" s="580">
        <v>48837846.796495005</v>
      </c>
      <c r="I103" s="591">
        <v>44157</v>
      </c>
      <c r="J103" s="626">
        <f t="shared" ca="1" si="20"/>
        <v>263</v>
      </c>
      <c r="K103" s="600" t="str">
        <f t="shared" ca="1" si="21"/>
        <v/>
      </c>
      <c r="L103" s="600" t="str">
        <f t="shared" ca="1" si="22"/>
        <v/>
      </c>
      <c r="M103" s="601" t="str">
        <f t="shared" ca="1" si="23"/>
        <v/>
      </c>
      <c r="N103" s="600" t="str">
        <f t="shared" ca="1" si="24"/>
        <v/>
      </c>
      <c r="O103" s="600">
        <f t="shared" ca="1" si="25"/>
        <v>48837846.796495005</v>
      </c>
      <c r="P103" s="600" t="str">
        <f t="shared" ca="1" si="26"/>
        <v/>
      </c>
    </row>
    <row r="104" spans="2:16">
      <c r="B104" s="617">
        <v>10000570</v>
      </c>
      <c r="C104" s="621" t="s">
        <v>10</v>
      </c>
      <c r="D104" s="565" t="s">
        <v>51</v>
      </c>
      <c r="E104" s="552" t="s">
        <v>218</v>
      </c>
      <c r="F104" s="570" t="s">
        <v>204</v>
      </c>
      <c r="G104" s="574">
        <v>44024</v>
      </c>
      <c r="H104" s="580">
        <v>90780060.608184993</v>
      </c>
      <c r="I104" s="592">
        <v>44208</v>
      </c>
      <c r="J104" s="626">
        <f t="shared" ca="1" si="20"/>
        <v>212</v>
      </c>
      <c r="K104" s="600" t="str">
        <f t="shared" ca="1" si="21"/>
        <v/>
      </c>
      <c r="L104" s="600" t="str">
        <f t="shared" ca="1" si="22"/>
        <v/>
      </c>
      <c r="M104" s="601" t="str">
        <f t="shared" ca="1" si="23"/>
        <v/>
      </c>
      <c r="N104" s="600" t="str">
        <f t="shared" ca="1" si="24"/>
        <v/>
      </c>
      <c r="O104" s="600">
        <f t="shared" ca="1" si="25"/>
        <v>90780060.608184993</v>
      </c>
      <c r="P104" s="600" t="str">
        <f t="shared" ca="1" si="26"/>
        <v/>
      </c>
    </row>
    <row r="105" spans="2:16">
      <c r="B105" s="617">
        <v>10000570</v>
      </c>
      <c r="C105" s="621" t="s">
        <v>10</v>
      </c>
      <c r="D105" s="565" t="s">
        <v>51</v>
      </c>
      <c r="E105" s="549" t="s">
        <v>219</v>
      </c>
      <c r="F105" s="566" t="s">
        <v>208</v>
      </c>
      <c r="G105" s="574">
        <v>44409</v>
      </c>
      <c r="H105" s="580">
        <v>78836289.725026503</v>
      </c>
      <c r="I105" s="591">
        <v>44219</v>
      </c>
      <c r="J105" s="626">
        <f t="shared" ca="1" si="20"/>
        <v>201</v>
      </c>
      <c r="K105" s="600" t="str">
        <f t="shared" ca="1" si="21"/>
        <v/>
      </c>
      <c r="L105" s="600" t="str">
        <f t="shared" ca="1" si="22"/>
        <v/>
      </c>
      <c r="M105" s="601" t="str">
        <f t="shared" ca="1" si="23"/>
        <v/>
      </c>
      <c r="N105" s="600" t="str">
        <f t="shared" ca="1" si="24"/>
        <v/>
      </c>
      <c r="O105" s="600">
        <f t="shared" ca="1" si="25"/>
        <v>78836289.725026503</v>
      </c>
      <c r="P105" s="600" t="str">
        <f t="shared" ca="1" si="26"/>
        <v/>
      </c>
    </row>
    <row r="106" spans="2:16">
      <c r="B106" s="617">
        <v>10000570</v>
      </c>
      <c r="C106" s="621" t="s">
        <v>10</v>
      </c>
      <c r="D106" s="565" t="s">
        <v>51</v>
      </c>
      <c r="E106" s="549" t="s">
        <v>221</v>
      </c>
      <c r="F106" s="566" t="s">
        <v>52</v>
      </c>
      <c r="G106" s="574">
        <v>44471</v>
      </c>
      <c r="H106" s="580">
        <v>141675499.47766</v>
      </c>
      <c r="I106" s="591">
        <v>44250</v>
      </c>
      <c r="J106" s="626">
        <f t="shared" ca="1" si="20"/>
        <v>170</v>
      </c>
      <c r="K106" s="600" t="str">
        <f t="shared" ca="1" si="21"/>
        <v/>
      </c>
      <c r="L106" s="600" t="str">
        <f t="shared" ca="1" si="22"/>
        <v/>
      </c>
      <c r="M106" s="601" t="str">
        <f t="shared" ca="1" si="23"/>
        <v/>
      </c>
      <c r="N106" s="600">
        <f t="shared" ca="1" si="24"/>
        <v>141675499.47766</v>
      </c>
      <c r="O106" s="600" t="str">
        <f t="shared" ca="1" si="25"/>
        <v/>
      </c>
      <c r="P106" s="600" t="str">
        <f t="shared" ca="1" si="26"/>
        <v/>
      </c>
    </row>
    <row r="107" spans="2:16">
      <c r="B107" s="617">
        <v>10000570</v>
      </c>
      <c r="C107" s="621" t="s">
        <v>10</v>
      </c>
      <c r="D107" s="565" t="s">
        <v>51</v>
      </c>
      <c r="E107" s="552" t="s">
        <v>222</v>
      </c>
      <c r="F107" s="570" t="s">
        <v>215</v>
      </c>
      <c r="G107" s="574">
        <v>44319</v>
      </c>
      <c r="H107" s="580">
        <v>131976736.77294001</v>
      </c>
      <c r="I107" s="592">
        <v>44275</v>
      </c>
      <c r="J107" s="626">
        <f t="shared" ca="1" si="20"/>
        <v>145</v>
      </c>
      <c r="K107" s="600" t="str">
        <f t="shared" ca="1" si="21"/>
        <v/>
      </c>
      <c r="L107" s="600" t="str">
        <f t="shared" ca="1" si="22"/>
        <v/>
      </c>
      <c r="M107" s="601" t="str">
        <f t="shared" ca="1" si="23"/>
        <v/>
      </c>
      <c r="N107" s="600">
        <f t="shared" ca="1" si="24"/>
        <v>131976736.77294001</v>
      </c>
      <c r="O107" s="600" t="str">
        <f t="shared" ca="1" si="25"/>
        <v/>
      </c>
      <c r="P107" s="600" t="str">
        <f t="shared" ca="1" si="26"/>
        <v/>
      </c>
    </row>
    <row r="108" spans="2:16">
      <c r="B108" s="617"/>
      <c r="C108" s="621"/>
      <c r="D108" s="565"/>
      <c r="E108" s="549"/>
      <c r="F108" s="566"/>
      <c r="G108" s="574"/>
      <c r="H108" s="580"/>
      <c r="I108" s="591"/>
      <c r="J108" s="626"/>
      <c r="K108" s="600" t="str">
        <f t="shared" si="21"/>
        <v/>
      </c>
      <c r="L108" s="600" t="str">
        <f t="shared" si="22"/>
        <v/>
      </c>
      <c r="M108" s="601" t="str">
        <f t="shared" si="23"/>
        <v/>
      </c>
      <c r="N108" s="600" t="str">
        <f t="shared" si="24"/>
        <v/>
      </c>
      <c r="O108" s="600" t="str">
        <f t="shared" si="25"/>
        <v/>
      </c>
      <c r="P108" s="600" t="str">
        <f t="shared" si="26"/>
        <v/>
      </c>
    </row>
    <row r="109" spans="2:16">
      <c r="B109" s="617"/>
      <c r="C109" s="621"/>
      <c r="D109" s="565"/>
      <c r="E109" s="549"/>
      <c r="F109" s="570"/>
      <c r="G109" s="574"/>
      <c r="H109" s="580"/>
      <c r="I109" s="592"/>
      <c r="J109" s="626"/>
      <c r="K109" s="600" t="str">
        <f t="shared" si="21"/>
        <v/>
      </c>
      <c r="L109" s="600" t="str">
        <f t="shared" si="22"/>
        <v/>
      </c>
      <c r="M109" s="601" t="str">
        <f t="shared" si="23"/>
        <v/>
      </c>
      <c r="N109" s="600" t="str">
        <f t="shared" si="24"/>
        <v/>
      </c>
      <c r="O109" s="600" t="str">
        <f t="shared" si="25"/>
        <v/>
      </c>
      <c r="P109" s="600" t="str">
        <f t="shared" si="26"/>
        <v/>
      </c>
    </row>
    <row r="110" spans="2:16">
      <c r="B110" s="617">
        <v>10010603</v>
      </c>
      <c r="C110" s="621" t="s">
        <v>10</v>
      </c>
      <c r="D110" s="565" t="s">
        <v>53</v>
      </c>
      <c r="E110" s="552" t="s">
        <v>136</v>
      </c>
      <c r="F110" s="570"/>
      <c r="G110" s="574"/>
      <c r="H110" s="580">
        <v>39569649.035918973</v>
      </c>
      <c r="I110" s="592"/>
      <c r="J110" s="626"/>
      <c r="K110" s="600" t="str">
        <f t="shared" si="21"/>
        <v/>
      </c>
      <c r="L110" s="600" t="str">
        <f t="shared" si="22"/>
        <v/>
      </c>
      <c r="M110" s="601" t="str">
        <f t="shared" si="23"/>
        <v/>
      </c>
      <c r="N110" s="600" t="str">
        <f t="shared" si="24"/>
        <v/>
      </c>
      <c r="O110" s="600" t="str">
        <f t="shared" si="25"/>
        <v/>
      </c>
      <c r="P110" s="600" t="str">
        <f t="shared" si="26"/>
        <v/>
      </c>
    </row>
    <row r="111" spans="2:16">
      <c r="B111" s="617">
        <v>10010603</v>
      </c>
      <c r="C111" s="621" t="s">
        <v>10</v>
      </c>
      <c r="D111" s="565" t="s">
        <v>53</v>
      </c>
      <c r="E111" s="549" t="s">
        <v>191</v>
      </c>
      <c r="F111" s="566" t="s">
        <v>368</v>
      </c>
      <c r="G111" s="574">
        <v>43986</v>
      </c>
      <c r="H111" s="580">
        <v>39326279.312700748</v>
      </c>
      <c r="I111" s="591">
        <v>43918</v>
      </c>
      <c r="J111" s="626">
        <f t="shared" ref="J111:J174" ca="1" si="27">DATEDIF(I111,$J$4,"D")</f>
        <v>502</v>
      </c>
      <c r="K111" s="600" t="str">
        <f t="shared" ref="K111:K174" ca="1" si="28">IF(AND(J111&gt;=16,J111&lt;=30),H111,"")</f>
        <v/>
      </c>
      <c r="L111" s="600" t="str">
        <f t="shared" ref="L111:L174" ca="1" si="29">IF(AND(J111&gt;=31,J111&lt;=60),H111,"")</f>
        <v/>
      </c>
      <c r="M111" s="601" t="str">
        <f t="shared" ref="M111:M174" ca="1" si="30">IF(AND(J111&gt;=61,J111&lt;=90),H111,"")</f>
        <v/>
      </c>
      <c r="N111" s="600" t="str">
        <f t="shared" ref="N111:N174" ca="1" si="31">IF(AND(J111&gt;=91,J111&lt;=180),H111,"")</f>
        <v/>
      </c>
      <c r="O111" s="600" t="str">
        <f t="shared" ref="O111:O174" ca="1" si="32">IF(AND(J111&gt;=181,J111&lt;=360),H111,"")</f>
        <v/>
      </c>
      <c r="P111" s="600">
        <f t="shared" ref="P111:P174" ca="1" si="33">IF(J111&gt;=360,H111,"")</f>
        <v>39326279.312700748</v>
      </c>
    </row>
    <row r="112" spans="2:16">
      <c r="B112" s="617">
        <v>10010603</v>
      </c>
      <c r="C112" s="621" t="s">
        <v>10</v>
      </c>
      <c r="D112" s="565" t="s">
        <v>53</v>
      </c>
      <c r="E112" s="549" t="s">
        <v>195</v>
      </c>
      <c r="F112" s="566" t="s">
        <v>370</v>
      </c>
      <c r="G112" s="574" t="s">
        <v>197</v>
      </c>
      <c r="H112" s="580">
        <v>23001372.231996499</v>
      </c>
      <c r="I112" s="591">
        <v>43980</v>
      </c>
      <c r="J112" s="626">
        <f t="shared" ca="1" si="27"/>
        <v>440</v>
      </c>
      <c r="K112" s="600" t="str">
        <f t="shared" ca="1" si="28"/>
        <v/>
      </c>
      <c r="L112" s="600" t="str">
        <f t="shared" ca="1" si="29"/>
        <v/>
      </c>
      <c r="M112" s="601" t="str">
        <f t="shared" ca="1" si="30"/>
        <v/>
      </c>
      <c r="N112" s="600" t="str">
        <f t="shared" ca="1" si="31"/>
        <v/>
      </c>
      <c r="O112" s="600" t="str">
        <f t="shared" ca="1" si="32"/>
        <v/>
      </c>
      <c r="P112" s="600">
        <f t="shared" ca="1" si="33"/>
        <v>23001372.231996499</v>
      </c>
    </row>
    <row r="113" spans="2:16">
      <c r="B113" s="617">
        <v>10010603</v>
      </c>
      <c r="C113" s="621" t="s">
        <v>10</v>
      </c>
      <c r="D113" s="565" t="s">
        <v>53</v>
      </c>
      <c r="E113" s="552" t="s">
        <v>199</v>
      </c>
      <c r="F113" s="570" t="s">
        <v>371</v>
      </c>
      <c r="G113" s="574">
        <v>44049</v>
      </c>
      <c r="H113" s="580">
        <v>26180167.09</v>
      </c>
      <c r="I113" s="592">
        <v>44015</v>
      </c>
      <c r="J113" s="626">
        <f t="shared" ca="1" si="27"/>
        <v>405</v>
      </c>
      <c r="K113" s="600" t="str">
        <f t="shared" ca="1" si="28"/>
        <v/>
      </c>
      <c r="L113" s="600" t="str">
        <f t="shared" ca="1" si="29"/>
        <v/>
      </c>
      <c r="M113" s="601" t="str">
        <f t="shared" ca="1" si="30"/>
        <v/>
      </c>
      <c r="N113" s="600" t="str">
        <f t="shared" ca="1" si="31"/>
        <v/>
      </c>
      <c r="O113" s="600" t="str">
        <f t="shared" ca="1" si="32"/>
        <v/>
      </c>
      <c r="P113" s="600">
        <f t="shared" ca="1" si="33"/>
        <v>26180167.09</v>
      </c>
    </row>
    <row r="114" spans="2:16">
      <c r="B114" s="617">
        <v>10010603</v>
      </c>
      <c r="C114" s="621" t="s">
        <v>10</v>
      </c>
      <c r="D114" s="565" t="s">
        <v>53</v>
      </c>
      <c r="E114" s="549" t="s">
        <v>201</v>
      </c>
      <c r="F114" s="566" t="s">
        <v>372</v>
      </c>
      <c r="G114" s="574" t="s">
        <v>449</v>
      </c>
      <c r="H114" s="580">
        <v>29201519.420029998</v>
      </c>
      <c r="I114" s="591">
        <v>44047</v>
      </c>
      <c r="J114" s="626">
        <f t="shared" ca="1" si="27"/>
        <v>373</v>
      </c>
      <c r="K114" s="600" t="str">
        <f t="shared" ca="1" si="28"/>
        <v/>
      </c>
      <c r="L114" s="600" t="str">
        <f t="shared" ca="1" si="29"/>
        <v/>
      </c>
      <c r="M114" s="601" t="str">
        <f t="shared" ca="1" si="30"/>
        <v/>
      </c>
      <c r="N114" s="600" t="str">
        <f t="shared" ca="1" si="31"/>
        <v/>
      </c>
      <c r="O114" s="600" t="str">
        <f t="shared" ca="1" si="32"/>
        <v/>
      </c>
      <c r="P114" s="600">
        <f t="shared" ca="1" si="33"/>
        <v>29201519.420029998</v>
      </c>
    </row>
    <row r="115" spans="2:16">
      <c r="B115" s="617">
        <v>10010603</v>
      </c>
      <c r="C115" s="621" t="s">
        <v>10</v>
      </c>
      <c r="D115" s="565" t="s">
        <v>53</v>
      </c>
      <c r="E115" s="549" t="s">
        <v>203</v>
      </c>
      <c r="F115" s="566" t="s">
        <v>373</v>
      </c>
      <c r="G115" s="574">
        <v>43990</v>
      </c>
      <c r="H115" s="580">
        <v>28215992.989999998</v>
      </c>
      <c r="I115" s="591">
        <v>44064</v>
      </c>
      <c r="J115" s="626">
        <f t="shared" ca="1" si="27"/>
        <v>356</v>
      </c>
      <c r="K115" s="600" t="str">
        <f t="shared" ca="1" si="28"/>
        <v/>
      </c>
      <c r="L115" s="600" t="str">
        <f t="shared" ca="1" si="29"/>
        <v/>
      </c>
      <c r="M115" s="601" t="str">
        <f t="shared" ca="1" si="30"/>
        <v/>
      </c>
      <c r="N115" s="600" t="str">
        <f t="shared" ca="1" si="31"/>
        <v/>
      </c>
      <c r="O115" s="600">
        <f t="shared" ca="1" si="32"/>
        <v>28215992.989999998</v>
      </c>
      <c r="P115" s="600" t="str">
        <f t="shared" ca="1" si="33"/>
        <v/>
      </c>
    </row>
    <row r="116" spans="2:16">
      <c r="B116" s="617">
        <v>10010603</v>
      </c>
      <c r="C116" s="621" t="s">
        <v>10</v>
      </c>
      <c r="D116" s="565" t="s">
        <v>53</v>
      </c>
      <c r="E116" s="552" t="s">
        <v>207</v>
      </c>
      <c r="F116" s="570" t="s">
        <v>373</v>
      </c>
      <c r="G116" s="574" t="s">
        <v>209</v>
      </c>
      <c r="H116" s="580">
        <v>24258739.375689998</v>
      </c>
      <c r="I116" s="592">
        <v>44098</v>
      </c>
      <c r="J116" s="626">
        <f t="shared" ca="1" si="27"/>
        <v>322</v>
      </c>
      <c r="K116" s="600" t="str">
        <f t="shared" ca="1" si="28"/>
        <v/>
      </c>
      <c r="L116" s="600" t="str">
        <f t="shared" ca="1" si="29"/>
        <v/>
      </c>
      <c r="M116" s="601" t="str">
        <f t="shared" ca="1" si="30"/>
        <v/>
      </c>
      <c r="N116" s="600" t="str">
        <f t="shared" ca="1" si="31"/>
        <v/>
      </c>
      <c r="O116" s="600">
        <f t="shared" ca="1" si="32"/>
        <v>24258739.375689998</v>
      </c>
      <c r="P116" s="600" t="str">
        <f t="shared" ca="1" si="33"/>
        <v/>
      </c>
    </row>
    <row r="117" spans="2:16">
      <c r="B117" s="617">
        <v>10010603</v>
      </c>
      <c r="C117" s="621" t="s">
        <v>10</v>
      </c>
      <c r="D117" s="565" t="s">
        <v>53</v>
      </c>
      <c r="E117" s="549" t="s">
        <v>212</v>
      </c>
      <c r="F117" s="566" t="s">
        <v>92</v>
      </c>
      <c r="G117" s="574">
        <v>44084</v>
      </c>
      <c r="H117" s="580">
        <v>35028704.109999999</v>
      </c>
      <c r="I117" s="591">
        <v>44129</v>
      </c>
      <c r="J117" s="626">
        <f t="shared" ca="1" si="27"/>
        <v>291</v>
      </c>
      <c r="K117" s="600" t="str">
        <f t="shared" ca="1" si="28"/>
        <v/>
      </c>
      <c r="L117" s="600" t="str">
        <f t="shared" ca="1" si="29"/>
        <v/>
      </c>
      <c r="M117" s="601" t="str">
        <f t="shared" ca="1" si="30"/>
        <v/>
      </c>
      <c r="N117" s="600" t="str">
        <f t="shared" ca="1" si="31"/>
        <v/>
      </c>
      <c r="O117" s="600">
        <f t="shared" ca="1" si="32"/>
        <v>35028704.109999999</v>
      </c>
      <c r="P117" s="600" t="str">
        <f t="shared" ca="1" si="33"/>
        <v/>
      </c>
    </row>
    <row r="118" spans="2:16">
      <c r="B118" s="617">
        <v>10010603</v>
      </c>
      <c r="C118" s="621" t="s">
        <v>10</v>
      </c>
      <c r="D118" s="565" t="s">
        <v>53</v>
      </c>
      <c r="E118" s="549" t="s">
        <v>214</v>
      </c>
      <c r="F118" s="566" t="s">
        <v>63</v>
      </c>
      <c r="G118" s="574">
        <v>43962</v>
      </c>
      <c r="H118" s="580">
        <v>38391621.706249997</v>
      </c>
      <c r="I118" s="591">
        <v>44157</v>
      </c>
      <c r="J118" s="626">
        <f t="shared" ca="1" si="27"/>
        <v>263</v>
      </c>
      <c r="K118" s="600" t="str">
        <f t="shared" ca="1" si="28"/>
        <v/>
      </c>
      <c r="L118" s="600" t="str">
        <f t="shared" ca="1" si="29"/>
        <v/>
      </c>
      <c r="M118" s="601" t="str">
        <f t="shared" ca="1" si="30"/>
        <v/>
      </c>
      <c r="N118" s="600" t="str">
        <f t="shared" ca="1" si="31"/>
        <v/>
      </c>
      <c r="O118" s="600">
        <f t="shared" ca="1" si="32"/>
        <v>38391621.706249997</v>
      </c>
      <c r="P118" s="600" t="str">
        <f t="shared" ca="1" si="33"/>
        <v/>
      </c>
    </row>
    <row r="119" spans="2:16">
      <c r="B119" s="617">
        <v>10010603</v>
      </c>
      <c r="C119" s="621" t="s">
        <v>10</v>
      </c>
      <c r="D119" s="565" t="s">
        <v>53</v>
      </c>
      <c r="E119" s="552" t="s">
        <v>218</v>
      </c>
      <c r="F119" s="570" t="s">
        <v>921</v>
      </c>
      <c r="G119" s="574">
        <v>44147</v>
      </c>
      <c r="H119" s="580">
        <v>35937823.954999998</v>
      </c>
      <c r="I119" s="592">
        <v>44193</v>
      </c>
      <c r="J119" s="626">
        <f t="shared" ca="1" si="27"/>
        <v>227</v>
      </c>
      <c r="K119" s="600" t="str">
        <f t="shared" ca="1" si="28"/>
        <v/>
      </c>
      <c r="L119" s="600" t="str">
        <f t="shared" ca="1" si="29"/>
        <v/>
      </c>
      <c r="M119" s="601" t="str">
        <f t="shared" ca="1" si="30"/>
        <v/>
      </c>
      <c r="N119" s="600" t="str">
        <f t="shared" ca="1" si="31"/>
        <v/>
      </c>
      <c r="O119" s="600">
        <f t="shared" ca="1" si="32"/>
        <v>35937823.954999998</v>
      </c>
      <c r="P119" s="600" t="str">
        <f t="shared" ca="1" si="33"/>
        <v/>
      </c>
    </row>
    <row r="120" spans="2:16">
      <c r="B120" s="617">
        <v>10010603</v>
      </c>
      <c r="C120" s="621" t="s">
        <v>10</v>
      </c>
      <c r="D120" s="565" t="s">
        <v>53</v>
      </c>
      <c r="E120" s="549" t="s">
        <v>219</v>
      </c>
      <c r="F120" s="566" t="s">
        <v>376</v>
      </c>
      <c r="G120" s="574">
        <v>44409</v>
      </c>
      <c r="H120" s="580">
        <v>34627280.255477503</v>
      </c>
      <c r="I120" s="591">
        <v>44219</v>
      </c>
      <c r="J120" s="626">
        <f t="shared" ca="1" si="27"/>
        <v>201</v>
      </c>
      <c r="K120" s="600" t="str">
        <f t="shared" ca="1" si="28"/>
        <v/>
      </c>
      <c r="L120" s="600" t="str">
        <f t="shared" ca="1" si="29"/>
        <v/>
      </c>
      <c r="M120" s="601" t="str">
        <f t="shared" ca="1" si="30"/>
        <v/>
      </c>
      <c r="N120" s="600" t="str">
        <f t="shared" ca="1" si="31"/>
        <v/>
      </c>
      <c r="O120" s="600">
        <f t="shared" ca="1" si="32"/>
        <v>34627280.255477503</v>
      </c>
      <c r="P120" s="600" t="str">
        <f t="shared" ca="1" si="33"/>
        <v/>
      </c>
    </row>
    <row r="121" spans="2:16">
      <c r="B121" s="617">
        <v>10010603</v>
      </c>
      <c r="C121" s="621" t="s">
        <v>10</v>
      </c>
      <c r="D121" s="565" t="s">
        <v>53</v>
      </c>
      <c r="E121" s="549" t="s">
        <v>221</v>
      </c>
      <c r="F121" s="566" t="s">
        <v>54</v>
      </c>
      <c r="G121" s="574">
        <v>44441</v>
      </c>
      <c r="H121" s="580">
        <v>37224214.963947497</v>
      </c>
      <c r="I121" s="591">
        <v>44259</v>
      </c>
      <c r="J121" s="626">
        <f t="shared" ca="1" si="27"/>
        <v>161</v>
      </c>
      <c r="K121" s="600" t="str">
        <f t="shared" ca="1" si="28"/>
        <v/>
      </c>
      <c r="L121" s="600" t="str">
        <f t="shared" ca="1" si="29"/>
        <v/>
      </c>
      <c r="M121" s="601" t="str">
        <f t="shared" ca="1" si="30"/>
        <v/>
      </c>
      <c r="N121" s="600">
        <f t="shared" ca="1" si="31"/>
        <v>37224214.963947497</v>
      </c>
      <c r="O121" s="600" t="str">
        <f t="shared" ca="1" si="32"/>
        <v/>
      </c>
      <c r="P121" s="600" t="str">
        <f t="shared" ca="1" si="33"/>
        <v/>
      </c>
    </row>
    <row r="122" spans="2:16">
      <c r="B122" s="617">
        <v>10010603</v>
      </c>
      <c r="C122" s="621" t="s">
        <v>10</v>
      </c>
      <c r="D122" s="565" t="s">
        <v>53</v>
      </c>
      <c r="E122" s="552" t="s">
        <v>222</v>
      </c>
      <c r="F122" s="570" t="s">
        <v>379</v>
      </c>
      <c r="G122" s="574">
        <v>44472</v>
      </c>
      <c r="H122" s="580">
        <v>38996047.711499996</v>
      </c>
      <c r="I122" s="592">
        <v>44280</v>
      </c>
      <c r="J122" s="626">
        <f t="shared" ca="1" si="27"/>
        <v>140</v>
      </c>
      <c r="K122" s="600" t="str">
        <f t="shared" ca="1" si="28"/>
        <v/>
      </c>
      <c r="L122" s="600" t="str">
        <f t="shared" ca="1" si="29"/>
        <v/>
      </c>
      <c r="M122" s="601" t="str">
        <f t="shared" ca="1" si="30"/>
        <v/>
      </c>
      <c r="N122" s="600">
        <f t="shared" ca="1" si="31"/>
        <v>38996047.711499996</v>
      </c>
      <c r="O122" s="600" t="str">
        <f t="shared" ca="1" si="32"/>
        <v/>
      </c>
      <c r="P122" s="600" t="str">
        <f t="shared" ca="1" si="33"/>
        <v/>
      </c>
    </row>
    <row r="123" spans="2:16">
      <c r="B123" s="617"/>
      <c r="C123" s="621"/>
      <c r="D123" s="565"/>
      <c r="E123" s="549"/>
      <c r="F123" s="566"/>
      <c r="G123" s="574"/>
      <c r="H123" s="580"/>
      <c r="I123" s="591"/>
      <c r="J123" s="626"/>
      <c r="K123" s="600" t="str">
        <f t="shared" si="28"/>
        <v/>
      </c>
      <c r="L123" s="600" t="str">
        <f t="shared" si="29"/>
        <v/>
      </c>
      <c r="M123" s="601" t="str">
        <f t="shared" si="30"/>
        <v/>
      </c>
      <c r="N123" s="600" t="str">
        <f t="shared" si="31"/>
        <v/>
      </c>
      <c r="O123" s="600" t="str">
        <f t="shared" si="32"/>
        <v/>
      </c>
      <c r="P123" s="600" t="str">
        <f t="shared" si="33"/>
        <v/>
      </c>
    </row>
    <row r="124" spans="2:16">
      <c r="B124" s="617"/>
      <c r="C124" s="621"/>
      <c r="D124" s="565"/>
      <c r="E124" s="549"/>
      <c r="F124" s="566"/>
      <c r="G124" s="574"/>
      <c r="H124" s="580"/>
      <c r="I124" s="591"/>
      <c r="J124" s="626"/>
      <c r="K124" s="600" t="str">
        <f t="shared" si="28"/>
        <v/>
      </c>
      <c r="L124" s="600" t="str">
        <f t="shared" si="29"/>
        <v/>
      </c>
      <c r="M124" s="601" t="str">
        <f t="shared" si="30"/>
        <v/>
      </c>
      <c r="N124" s="600" t="str">
        <f t="shared" si="31"/>
        <v/>
      </c>
      <c r="O124" s="600" t="str">
        <f t="shared" si="32"/>
        <v/>
      </c>
      <c r="P124" s="600" t="str">
        <f t="shared" si="33"/>
        <v/>
      </c>
    </row>
    <row r="125" spans="2:16">
      <c r="B125" s="617"/>
      <c r="C125" s="621"/>
      <c r="D125" s="565"/>
      <c r="E125" s="552"/>
      <c r="F125" s="570"/>
      <c r="G125" s="574"/>
      <c r="H125" s="580"/>
      <c r="I125" s="592"/>
      <c r="J125" s="626"/>
      <c r="K125" s="600" t="str">
        <f t="shared" si="28"/>
        <v/>
      </c>
      <c r="L125" s="600" t="str">
        <f t="shared" si="29"/>
        <v/>
      </c>
      <c r="M125" s="601" t="str">
        <f t="shared" si="30"/>
        <v/>
      </c>
      <c r="N125" s="600" t="str">
        <f t="shared" si="31"/>
        <v/>
      </c>
      <c r="O125" s="600" t="str">
        <f t="shared" si="32"/>
        <v/>
      </c>
      <c r="P125" s="600" t="str">
        <f t="shared" si="33"/>
        <v/>
      </c>
    </row>
    <row r="126" spans="2:16">
      <c r="B126" s="617">
        <v>10012645</v>
      </c>
      <c r="C126" s="621" t="s">
        <v>10</v>
      </c>
      <c r="D126" s="565" t="s">
        <v>55</v>
      </c>
      <c r="E126" s="549" t="s">
        <v>222</v>
      </c>
      <c r="F126" s="566"/>
      <c r="G126" s="574"/>
      <c r="H126" s="580">
        <f>4180163810.8075+59436948.26</f>
        <v>4239600759.0675001</v>
      </c>
      <c r="I126" s="591"/>
      <c r="J126" s="626">
        <f ca="1">DATEDIF(I126,$J$4,"D")</f>
        <v>44420</v>
      </c>
      <c r="K126" s="600" t="str">
        <f t="shared" ca="1" si="28"/>
        <v/>
      </c>
      <c r="L126" s="600" t="str">
        <f t="shared" ca="1" si="29"/>
        <v/>
      </c>
      <c r="M126" s="601" t="str">
        <f t="shared" ca="1" si="30"/>
        <v/>
      </c>
      <c r="N126" s="600" t="str">
        <f t="shared" ca="1" si="31"/>
        <v/>
      </c>
      <c r="O126" s="600" t="str">
        <f t="shared" ca="1" si="32"/>
        <v/>
      </c>
      <c r="P126" s="600">
        <f t="shared" ca="1" si="33"/>
        <v>4239600759.0675001</v>
      </c>
    </row>
    <row r="127" spans="2:16">
      <c r="B127" s="617"/>
      <c r="C127" s="621"/>
      <c r="D127" s="565"/>
      <c r="E127" s="549"/>
      <c r="F127" s="566"/>
      <c r="G127" s="574"/>
      <c r="H127" s="580"/>
      <c r="I127" s="591"/>
      <c r="J127" s="626"/>
      <c r="K127" s="600" t="str">
        <f t="shared" si="28"/>
        <v/>
      </c>
      <c r="L127" s="600" t="str">
        <f t="shared" si="29"/>
        <v/>
      </c>
      <c r="M127" s="601" t="str">
        <f t="shared" si="30"/>
        <v/>
      </c>
      <c r="N127" s="600" t="str">
        <f t="shared" si="31"/>
        <v/>
      </c>
      <c r="O127" s="600" t="str">
        <f t="shared" si="32"/>
        <v/>
      </c>
      <c r="P127" s="600" t="str">
        <f t="shared" si="33"/>
        <v/>
      </c>
    </row>
    <row r="128" spans="2:16">
      <c r="B128" s="617"/>
      <c r="C128" s="621"/>
      <c r="D128" s="565"/>
      <c r="E128" s="549"/>
      <c r="F128" s="566"/>
      <c r="G128" s="574"/>
      <c r="H128" s="580"/>
      <c r="I128" s="591"/>
      <c r="J128" s="626"/>
      <c r="K128" s="600" t="str">
        <f t="shared" si="28"/>
        <v/>
      </c>
      <c r="L128" s="600" t="str">
        <f t="shared" si="29"/>
        <v/>
      </c>
      <c r="M128" s="601" t="str">
        <f t="shared" si="30"/>
        <v/>
      </c>
      <c r="N128" s="600" t="str">
        <f t="shared" si="31"/>
        <v/>
      </c>
      <c r="O128" s="600" t="str">
        <f t="shared" si="32"/>
        <v/>
      </c>
      <c r="P128" s="600" t="str">
        <f t="shared" si="33"/>
        <v/>
      </c>
    </row>
    <row r="129" spans="2:16">
      <c r="B129" s="617"/>
      <c r="C129" s="621"/>
      <c r="D129" s="565"/>
      <c r="E129" s="549"/>
      <c r="F129" s="566"/>
      <c r="G129" s="574"/>
      <c r="H129" s="580"/>
      <c r="I129" s="591"/>
      <c r="J129" s="626"/>
      <c r="K129" s="600" t="str">
        <f t="shared" si="28"/>
        <v/>
      </c>
      <c r="L129" s="600" t="str">
        <f t="shared" si="29"/>
        <v/>
      </c>
      <c r="M129" s="601" t="str">
        <f t="shared" si="30"/>
        <v/>
      </c>
      <c r="N129" s="600" t="str">
        <f t="shared" si="31"/>
        <v/>
      </c>
      <c r="O129" s="600" t="str">
        <f t="shared" si="32"/>
        <v/>
      </c>
      <c r="P129" s="600" t="str">
        <f t="shared" si="33"/>
        <v/>
      </c>
    </row>
    <row r="130" spans="2:16">
      <c r="B130" s="617">
        <v>10000577</v>
      </c>
      <c r="C130" s="621" t="s">
        <v>10</v>
      </c>
      <c r="D130" s="565" t="s">
        <v>56</v>
      </c>
      <c r="E130" s="549" t="s">
        <v>136</v>
      </c>
      <c r="F130" s="566"/>
      <c r="G130" s="574"/>
      <c r="H130" s="580">
        <v>298078644.35790837</v>
      </c>
      <c r="I130" s="591"/>
      <c r="J130" s="626"/>
      <c r="K130" s="600" t="str">
        <f t="shared" si="28"/>
        <v/>
      </c>
      <c r="L130" s="600" t="str">
        <f t="shared" si="29"/>
        <v/>
      </c>
      <c r="M130" s="601" t="str">
        <f t="shared" si="30"/>
        <v/>
      </c>
      <c r="N130" s="600" t="str">
        <f t="shared" si="31"/>
        <v/>
      </c>
      <c r="O130" s="600" t="str">
        <f t="shared" si="32"/>
        <v/>
      </c>
      <c r="P130" s="600" t="str">
        <f t="shared" si="33"/>
        <v/>
      </c>
    </row>
    <row r="131" spans="2:16">
      <c r="B131" s="617">
        <v>10000577</v>
      </c>
      <c r="C131" s="621" t="s">
        <v>10</v>
      </c>
      <c r="D131" s="565" t="s">
        <v>56</v>
      </c>
      <c r="E131" s="549" t="s">
        <v>191</v>
      </c>
      <c r="F131" s="566" t="s">
        <v>548</v>
      </c>
      <c r="G131" s="574">
        <v>43986</v>
      </c>
      <c r="H131" s="580">
        <v>51614220.491125636</v>
      </c>
      <c r="I131" s="591">
        <v>43949</v>
      </c>
      <c r="J131" s="626">
        <f t="shared" ca="1" si="27"/>
        <v>471</v>
      </c>
      <c r="K131" s="600" t="str">
        <f t="shared" ca="1" si="28"/>
        <v/>
      </c>
      <c r="L131" s="600" t="str">
        <f t="shared" ca="1" si="29"/>
        <v/>
      </c>
      <c r="M131" s="601" t="str">
        <f t="shared" ca="1" si="30"/>
        <v/>
      </c>
      <c r="N131" s="600" t="str">
        <f t="shared" ca="1" si="31"/>
        <v/>
      </c>
      <c r="O131" s="600" t="str">
        <f t="shared" ca="1" si="32"/>
        <v/>
      </c>
      <c r="P131" s="600">
        <f t="shared" ca="1" si="33"/>
        <v>51614220.491125636</v>
      </c>
    </row>
    <row r="132" spans="2:16">
      <c r="B132" s="617">
        <v>10000577</v>
      </c>
      <c r="C132" s="621" t="s">
        <v>10</v>
      </c>
      <c r="D132" s="565" t="s">
        <v>56</v>
      </c>
      <c r="E132" s="549" t="s">
        <v>195</v>
      </c>
      <c r="F132" s="566" t="s">
        <v>550</v>
      </c>
      <c r="G132" s="574" t="s">
        <v>197</v>
      </c>
      <c r="H132" s="580">
        <v>62890673.344502583</v>
      </c>
      <c r="I132" s="591">
        <v>43980</v>
      </c>
      <c r="J132" s="626">
        <f t="shared" ca="1" si="27"/>
        <v>440</v>
      </c>
      <c r="K132" s="600" t="str">
        <f t="shared" ca="1" si="28"/>
        <v/>
      </c>
      <c r="L132" s="600" t="str">
        <f t="shared" ca="1" si="29"/>
        <v/>
      </c>
      <c r="M132" s="601" t="str">
        <f t="shared" ca="1" si="30"/>
        <v/>
      </c>
      <c r="N132" s="600" t="str">
        <f t="shared" ca="1" si="31"/>
        <v/>
      </c>
      <c r="O132" s="600" t="str">
        <f t="shared" ca="1" si="32"/>
        <v/>
      </c>
      <c r="P132" s="600">
        <f t="shared" ca="1" si="33"/>
        <v>62890673.344502583</v>
      </c>
    </row>
    <row r="133" spans="2:16">
      <c r="B133" s="617">
        <v>10000577</v>
      </c>
      <c r="C133" s="621" t="s">
        <v>10</v>
      </c>
      <c r="D133" s="565" t="s">
        <v>56</v>
      </c>
      <c r="E133" s="549" t="s">
        <v>199</v>
      </c>
      <c r="F133" s="566" t="s">
        <v>113</v>
      </c>
      <c r="G133" s="574">
        <v>44049</v>
      </c>
      <c r="H133" s="580">
        <v>88747110.76389271</v>
      </c>
      <c r="I133" s="591">
        <v>44015</v>
      </c>
      <c r="J133" s="626">
        <f t="shared" ca="1" si="27"/>
        <v>405</v>
      </c>
      <c r="K133" s="600" t="str">
        <f t="shared" ca="1" si="28"/>
        <v/>
      </c>
      <c r="L133" s="600" t="str">
        <f t="shared" ca="1" si="29"/>
        <v/>
      </c>
      <c r="M133" s="601" t="str">
        <f t="shared" ca="1" si="30"/>
        <v/>
      </c>
      <c r="N133" s="600" t="str">
        <f t="shared" ca="1" si="31"/>
        <v/>
      </c>
      <c r="O133" s="600" t="str">
        <f t="shared" ca="1" si="32"/>
        <v/>
      </c>
      <c r="P133" s="600">
        <f t="shared" ca="1" si="33"/>
        <v>88747110.76389271</v>
      </c>
    </row>
    <row r="134" spans="2:16">
      <c r="B134" s="617">
        <v>10000577</v>
      </c>
      <c r="C134" s="621" t="s">
        <v>10</v>
      </c>
      <c r="D134" s="565" t="s">
        <v>56</v>
      </c>
      <c r="E134" s="549" t="s">
        <v>201</v>
      </c>
      <c r="F134" s="566" t="s">
        <v>229</v>
      </c>
      <c r="G134" s="574" t="s">
        <v>449</v>
      </c>
      <c r="H134" s="580">
        <v>75234018.932881191</v>
      </c>
      <c r="I134" s="591">
        <v>44047</v>
      </c>
      <c r="J134" s="626">
        <f t="shared" ca="1" si="27"/>
        <v>373</v>
      </c>
      <c r="K134" s="600" t="str">
        <f t="shared" ca="1" si="28"/>
        <v/>
      </c>
      <c r="L134" s="600" t="str">
        <f t="shared" ca="1" si="29"/>
        <v/>
      </c>
      <c r="M134" s="601" t="str">
        <f t="shared" ca="1" si="30"/>
        <v/>
      </c>
      <c r="N134" s="600" t="str">
        <f t="shared" ca="1" si="31"/>
        <v/>
      </c>
      <c r="O134" s="600" t="str">
        <f t="shared" ca="1" si="32"/>
        <v/>
      </c>
      <c r="P134" s="600">
        <f t="shared" ca="1" si="33"/>
        <v>75234018.932881191</v>
      </c>
    </row>
    <row r="135" spans="2:16">
      <c r="B135" s="617">
        <v>10000577</v>
      </c>
      <c r="C135" s="621" t="s">
        <v>10</v>
      </c>
      <c r="D135" s="565" t="s">
        <v>56</v>
      </c>
      <c r="E135" s="549" t="s">
        <v>203</v>
      </c>
      <c r="F135" s="566" t="s">
        <v>232</v>
      </c>
      <c r="G135" s="574">
        <v>44020</v>
      </c>
      <c r="H135" s="580">
        <v>78236714.302794978</v>
      </c>
      <c r="I135" s="591">
        <v>44065</v>
      </c>
      <c r="J135" s="626">
        <f t="shared" ca="1" si="27"/>
        <v>355</v>
      </c>
      <c r="K135" s="600" t="str">
        <f t="shared" ca="1" si="28"/>
        <v/>
      </c>
      <c r="L135" s="600" t="str">
        <f t="shared" ca="1" si="29"/>
        <v/>
      </c>
      <c r="M135" s="601" t="str">
        <f t="shared" ca="1" si="30"/>
        <v/>
      </c>
      <c r="N135" s="600" t="str">
        <f t="shared" ca="1" si="31"/>
        <v/>
      </c>
      <c r="O135" s="600">
        <f t="shared" ca="1" si="32"/>
        <v>78236714.302794978</v>
      </c>
      <c r="P135" s="600" t="str">
        <f t="shared" ca="1" si="33"/>
        <v/>
      </c>
    </row>
    <row r="136" spans="2:16">
      <c r="B136" s="617">
        <v>10000577</v>
      </c>
      <c r="C136" s="621" t="s">
        <v>10</v>
      </c>
      <c r="D136" s="565" t="s">
        <v>56</v>
      </c>
      <c r="E136" s="549" t="s">
        <v>207</v>
      </c>
      <c r="F136" s="566" t="s">
        <v>235</v>
      </c>
      <c r="G136" s="574" t="s">
        <v>1071</v>
      </c>
      <c r="H136" s="580">
        <v>10987399.690216497</v>
      </c>
      <c r="I136" s="591">
        <v>44106</v>
      </c>
      <c r="J136" s="626">
        <f t="shared" ca="1" si="27"/>
        <v>314</v>
      </c>
      <c r="K136" s="600" t="str">
        <f t="shared" ca="1" si="28"/>
        <v/>
      </c>
      <c r="L136" s="600" t="str">
        <f t="shared" ca="1" si="29"/>
        <v/>
      </c>
      <c r="M136" s="601" t="str">
        <f t="shared" ca="1" si="30"/>
        <v/>
      </c>
      <c r="N136" s="600" t="str">
        <f t="shared" ca="1" si="31"/>
        <v/>
      </c>
      <c r="O136" s="600">
        <f t="shared" ca="1" si="32"/>
        <v>10987399.690216497</v>
      </c>
      <c r="P136" s="600" t="str">
        <f t="shared" ca="1" si="33"/>
        <v/>
      </c>
    </row>
    <row r="137" spans="2:16">
      <c r="B137" s="617">
        <v>10000577</v>
      </c>
      <c r="C137" s="621" t="s">
        <v>10</v>
      </c>
      <c r="D137" s="565" t="s">
        <v>56</v>
      </c>
      <c r="E137" s="549" t="s">
        <v>212</v>
      </c>
      <c r="F137" s="566" t="s">
        <v>237</v>
      </c>
      <c r="G137" s="574">
        <v>44084</v>
      </c>
      <c r="H137" s="580">
        <v>12935132.879111663</v>
      </c>
      <c r="I137" s="591">
        <v>44129</v>
      </c>
      <c r="J137" s="626">
        <f t="shared" ca="1" si="27"/>
        <v>291</v>
      </c>
      <c r="K137" s="600" t="str">
        <f t="shared" ca="1" si="28"/>
        <v/>
      </c>
      <c r="L137" s="600" t="str">
        <f t="shared" ca="1" si="29"/>
        <v/>
      </c>
      <c r="M137" s="601" t="str">
        <f t="shared" ca="1" si="30"/>
        <v/>
      </c>
      <c r="N137" s="600" t="str">
        <f t="shared" ca="1" si="31"/>
        <v/>
      </c>
      <c r="O137" s="600">
        <f t="shared" ca="1" si="32"/>
        <v>12935132.879111663</v>
      </c>
      <c r="P137" s="600" t="str">
        <f t="shared" ca="1" si="33"/>
        <v/>
      </c>
    </row>
    <row r="138" spans="2:16">
      <c r="B138" s="617">
        <v>10000577</v>
      </c>
      <c r="C138" s="621" t="s">
        <v>10</v>
      </c>
      <c r="D138" s="565" t="s">
        <v>56</v>
      </c>
      <c r="E138" s="549" t="s">
        <v>214</v>
      </c>
      <c r="F138" s="566" t="s">
        <v>33</v>
      </c>
      <c r="G138" s="574">
        <v>43962</v>
      </c>
      <c r="H138" s="580">
        <v>77651262.240298569</v>
      </c>
      <c r="I138" s="591">
        <v>44157</v>
      </c>
      <c r="J138" s="626">
        <f t="shared" ca="1" si="27"/>
        <v>263</v>
      </c>
      <c r="K138" s="600" t="str">
        <f t="shared" ca="1" si="28"/>
        <v/>
      </c>
      <c r="L138" s="600" t="str">
        <f t="shared" ca="1" si="29"/>
        <v/>
      </c>
      <c r="M138" s="601" t="str">
        <f t="shared" ca="1" si="30"/>
        <v/>
      </c>
      <c r="N138" s="600" t="str">
        <f t="shared" ca="1" si="31"/>
        <v/>
      </c>
      <c r="O138" s="600">
        <f t="shared" ca="1" si="32"/>
        <v>77651262.240298569</v>
      </c>
      <c r="P138" s="600" t="str">
        <f t="shared" ca="1" si="33"/>
        <v/>
      </c>
    </row>
    <row r="139" spans="2:16">
      <c r="B139" s="617">
        <v>10000577</v>
      </c>
      <c r="C139" s="621" t="s">
        <v>10</v>
      </c>
      <c r="D139" s="565" t="s">
        <v>56</v>
      </c>
      <c r="E139" s="549" t="s">
        <v>218</v>
      </c>
      <c r="F139" s="566" t="s">
        <v>241</v>
      </c>
      <c r="G139" s="574">
        <v>44024</v>
      </c>
      <c r="H139" s="580">
        <v>92045136.83288765</v>
      </c>
      <c r="I139" s="591">
        <v>44208</v>
      </c>
      <c r="J139" s="626">
        <f t="shared" ca="1" si="27"/>
        <v>212</v>
      </c>
      <c r="K139" s="600" t="str">
        <f t="shared" ca="1" si="28"/>
        <v/>
      </c>
      <c r="L139" s="600" t="str">
        <f t="shared" ca="1" si="29"/>
        <v/>
      </c>
      <c r="M139" s="601" t="str">
        <f t="shared" ca="1" si="30"/>
        <v/>
      </c>
      <c r="N139" s="600" t="str">
        <f t="shared" ca="1" si="31"/>
        <v/>
      </c>
      <c r="O139" s="600">
        <f t="shared" ca="1" si="32"/>
        <v>92045136.83288765</v>
      </c>
      <c r="P139" s="600" t="str">
        <f t="shared" ca="1" si="33"/>
        <v/>
      </c>
    </row>
    <row r="140" spans="2:16">
      <c r="B140" s="617">
        <v>10000577</v>
      </c>
      <c r="C140" s="621" t="s">
        <v>10</v>
      </c>
      <c r="D140" s="565" t="s">
        <v>56</v>
      </c>
      <c r="E140" s="549" t="s">
        <v>219</v>
      </c>
      <c r="F140" s="566" t="s">
        <v>244</v>
      </c>
      <c r="G140" s="574">
        <v>44409</v>
      </c>
      <c r="H140" s="580">
        <v>84208114.123748764</v>
      </c>
      <c r="I140" s="591">
        <v>44219</v>
      </c>
      <c r="J140" s="626">
        <f t="shared" ca="1" si="27"/>
        <v>201</v>
      </c>
      <c r="K140" s="600" t="str">
        <f t="shared" ca="1" si="28"/>
        <v/>
      </c>
      <c r="L140" s="600" t="str">
        <f t="shared" ca="1" si="29"/>
        <v/>
      </c>
      <c r="M140" s="601" t="str">
        <f t="shared" ca="1" si="30"/>
        <v/>
      </c>
      <c r="N140" s="600" t="str">
        <f t="shared" ca="1" si="31"/>
        <v/>
      </c>
      <c r="O140" s="600">
        <f t="shared" ca="1" si="32"/>
        <v>84208114.123748764</v>
      </c>
      <c r="P140" s="600" t="str">
        <f t="shared" ca="1" si="33"/>
        <v/>
      </c>
    </row>
    <row r="141" spans="2:16">
      <c r="B141" s="617">
        <v>10000577</v>
      </c>
      <c r="C141" s="621" t="s">
        <v>10</v>
      </c>
      <c r="D141" s="565" t="s">
        <v>56</v>
      </c>
      <c r="E141" s="552" t="s">
        <v>221</v>
      </c>
      <c r="F141" s="570" t="s">
        <v>57</v>
      </c>
      <c r="G141" s="574">
        <v>44441</v>
      </c>
      <c r="H141" s="580">
        <v>11935288.095783204</v>
      </c>
      <c r="I141" s="592">
        <v>44259</v>
      </c>
      <c r="J141" s="626">
        <f t="shared" ca="1" si="27"/>
        <v>161</v>
      </c>
      <c r="K141" s="600" t="str">
        <f t="shared" ca="1" si="28"/>
        <v/>
      </c>
      <c r="L141" s="600" t="str">
        <f t="shared" ca="1" si="29"/>
        <v/>
      </c>
      <c r="M141" s="601" t="str">
        <f t="shared" ca="1" si="30"/>
        <v/>
      </c>
      <c r="N141" s="600">
        <f t="shared" ca="1" si="31"/>
        <v>11935288.095783204</v>
      </c>
      <c r="O141" s="600" t="str">
        <f t="shared" ca="1" si="32"/>
        <v/>
      </c>
      <c r="P141" s="600" t="str">
        <f t="shared" ca="1" si="33"/>
        <v/>
      </c>
    </row>
    <row r="142" spans="2:16">
      <c r="B142" s="617">
        <v>10000577</v>
      </c>
      <c r="C142" s="621" t="s">
        <v>10</v>
      </c>
      <c r="D142" s="565" t="s">
        <v>56</v>
      </c>
      <c r="E142" s="549" t="s">
        <v>222</v>
      </c>
      <c r="F142" s="566" t="s">
        <v>249</v>
      </c>
      <c r="G142" s="574" t="s">
        <v>82</v>
      </c>
      <c r="H142" s="580">
        <v>124544529.65784852</v>
      </c>
      <c r="I142" s="591">
        <v>44288</v>
      </c>
      <c r="J142" s="626">
        <f t="shared" ca="1" si="27"/>
        <v>132</v>
      </c>
      <c r="K142" s="600" t="str">
        <f t="shared" ca="1" si="28"/>
        <v/>
      </c>
      <c r="L142" s="600" t="str">
        <f t="shared" ca="1" si="29"/>
        <v/>
      </c>
      <c r="M142" s="601" t="str">
        <f t="shared" ca="1" si="30"/>
        <v/>
      </c>
      <c r="N142" s="600">
        <f t="shared" ca="1" si="31"/>
        <v>124544529.65784852</v>
      </c>
      <c r="O142" s="600" t="str">
        <f t="shared" ca="1" si="32"/>
        <v/>
      </c>
      <c r="P142" s="600" t="str">
        <f t="shared" ca="1" si="33"/>
        <v/>
      </c>
    </row>
    <row r="143" spans="2:16">
      <c r="B143" s="617"/>
      <c r="C143" s="621"/>
      <c r="D143" s="565"/>
      <c r="E143" s="549"/>
      <c r="F143" s="566"/>
      <c r="G143" s="574"/>
      <c r="H143" s="580"/>
      <c r="I143" s="591"/>
      <c r="J143" s="626"/>
      <c r="K143" s="600" t="str">
        <f t="shared" si="28"/>
        <v/>
      </c>
      <c r="L143" s="600" t="str">
        <f t="shared" si="29"/>
        <v/>
      </c>
      <c r="M143" s="601" t="str">
        <f t="shared" si="30"/>
        <v/>
      </c>
      <c r="N143" s="600" t="str">
        <f t="shared" si="31"/>
        <v/>
      </c>
      <c r="O143" s="600" t="str">
        <f t="shared" si="32"/>
        <v/>
      </c>
      <c r="P143" s="600" t="str">
        <f t="shared" si="33"/>
        <v/>
      </c>
    </row>
    <row r="144" spans="2:16">
      <c r="B144" s="617"/>
      <c r="C144" s="621"/>
      <c r="D144" s="565"/>
      <c r="E144" s="552"/>
      <c r="F144" s="570"/>
      <c r="G144" s="574"/>
      <c r="H144" s="580"/>
      <c r="I144" s="592"/>
      <c r="J144" s="626"/>
      <c r="K144" s="600" t="str">
        <f t="shared" si="28"/>
        <v/>
      </c>
      <c r="L144" s="600" t="str">
        <f t="shared" si="29"/>
        <v/>
      </c>
      <c r="M144" s="601" t="str">
        <f t="shared" si="30"/>
        <v/>
      </c>
      <c r="N144" s="600" t="str">
        <f t="shared" si="31"/>
        <v/>
      </c>
      <c r="O144" s="600" t="str">
        <f t="shared" si="32"/>
        <v/>
      </c>
      <c r="P144" s="600" t="str">
        <f t="shared" si="33"/>
        <v/>
      </c>
    </row>
    <row r="145" spans="2:16">
      <c r="B145" s="617">
        <v>10013006</v>
      </c>
      <c r="C145" s="621" t="s">
        <v>10</v>
      </c>
      <c r="D145" s="565" t="s">
        <v>59</v>
      </c>
      <c r="E145" s="549" t="s">
        <v>170</v>
      </c>
      <c r="F145" s="566" t="s">
        <v>368</v>
      </c>
      <c r="G145" s="574">
        <v>43506</v>
      </c>
      <c r="H145" s="580">
        <v>5550.1740730330348</v>
      </c>
      <c r="I145" s="591">
        <v>43596</v>
      </c>
      <c r="J145" s="626">
        <f t="shared" ca="1" si="27"/>
        <v>824</v>
      </c>
      <c r="K145" s="600" t="str">
        <f t="shared" ca="1" si="28"/>
        <v/>
      </c>
      <c r="L145" s="600" t="str">
        <f t="shared" ca="1" si="29"/>
        <v/>
      </c>
      <c r="M145" s="601" t="str">
        <f t="shared" ca="1" si="30"/>
        <v/>
      </c>
      <c r="N145" s="600" t="str">
        <f t="shared" ca="1" si="31"/>
        <v/>
      </c>
      <c r="O145" s="600" t="str">
        <f t="shared" ca="1" si="32"/>
        <v/>
      </c>
      <c r="P145" s="600">
        <f t="shared" ca="1" si="33"/>
        <v>5550.1740730330348</v>
      </c>
    </row>
    <row r="146" spans="2:16">
      <c r="B146" s="617">
        <v>10013006</v>
      </c>
      <c r="C146" s="621" t="s">
        <v>10</v>
      </c>
      <c r="D146" s="565" t="s">
        <v>59</v>
      </c>
      <c r="E146" s="549" t="s">
        <v>222</v>
      </c>
      <c r="F146" s="566" t="s">
        <v>39</v>
      </c>
      <c r="G146" s="574">
        <v>44319</v>
      </c>
      <c r="H146" s="580">
        <v>11205943.376498997</v>
      </c>
      <c r="I146" s="591">
        <v>44275</v>
      </c>
      <c r="J146" s="626">
        <f t="shared" ca="1" si="27"/>
        <v>145</v>
      </c>
      <c r="K146" s="600" t="str">
        <f t="shared" ca="1" si="28"/>
        <v/>
      </c>
      <c r="L146" s="600" t="str">
        <f t="shared" ca="1" si="29"/>
        <v/>
      </c>
      <c r="M146" s="601" t="str">
        <f t="shared" ca="1" si="30"/>
        <v/>
      </c>
      <c r="N146" s="600">
        <f t="shared" ca="1" si="31"/>
        <v>11205943.376498997</v>
      </c>
      <c r="O146" s="600" t="str">
        <f t="shared" ca="1" si="32"/>
        <v/>
      </c>
      <c r="P146" s="600" t="str">
        <f t="shared" ca="1" si="33"/>
        <v/>
      </c>
    </row>
    <row r="147" spans="2:16">
      <c r="B147" s="617"/>
      <c r="C147" s="621"/>
      <c r="D147" s="565"/>
      <c r="E147" s="552"/>
      <c r="F147" s="570"/>
      <c r="G147" s="574"/>
      <c r="H147" s="580"/>
      <c r="I147" s="592"/>
      <c r="J147" s="626"/>
      <c r="K147" s="600" t="str">
        <f t="shared" si="28"/>
        <v/>
      </c>
      <c r="L147" s="600" t="str">
        <f t="shared" si="29"/>
        <v/>
      </c>
      <c r="M147" s="601" t="str">
        <f t="shared" si="30"/>
        <v/>
      </c>
      <c r="N147" s="600" t="str">
        <f t="shared" si="31"/>
        <v/>
      </c>
      <c r="O147" s="600" t="str">
        <f t="shared" si="32"/>
        <v/>
      </c>
      <c r="P147" s="600" t="str">
        <f t="shared" si="33"/>
        <v/>
      </c>
    </row>
    <row r="148" spans="2:16">
      <c r="B148" s="617"/>
      <c r="C148" s="621"/>
      <c r="D148" s="565"/>
      <c r="E148" s="549"/>
      <c r="F148" s="566"/>
      <c r="G148" s="574"/>
      <c r="H148" s="580"/>
      <c r="I148" s="591"/>
      <c r="J148" s="626"/>
      <c r="K148" s="600" t="str">
        <f t="shared" si="28"/>
        <v/>
      </c>
      <c r="L148" s="600" t="str">
        <f t="shared" si="29"/>
        <v/>
      </c>
      <c r="M148" s="601" t="str">
        <f t="shared" si="30"/>
        <v/>
      </c>
      <c r="N148" s="600" t="str">
        <f t="shared" si="31"/>
        <v/>
      </c>
      <c r="O148" s="600" t="str">
        <f t="shared" si="32"/>
        <v/>
      </c>
      <c r="P148" s="600" t="str">
        <f t="shared" si="33"/>
        <v/>
      </c>
    </row>
    <row r="149" spans="2:16">
      <c r="B149" s="617"/>
      <c r="C149" s="621"/>
      <c r="D149" s="565"/>
      <c r="E149" s="549"/>
      <c r="F149" s="566"/>
      <c r="G149" s="574"/>
      <c r="H149" s="580"/>
      <c r="I149" s="591"/>
      <c r="J149" s="626"/>
      <c r="K149" s="600" t="str">
        <f t="shared" si="28"/>
        <v/>
      </c>
      <c r="L149" s="600" t="str">
        <f t="shared" si="29"/>
        <v/>
      </c>
      <c r="M149" s="601" t="str">
        <f t="shared" si="30"/>
        <v/>
      </c>
      <c r="N149" s="600" t="str">
        <f t="shared" si="31"/>
        <v/>
      </c>
      <c r="O149" s="600" t="str">
        <f t="shared" si="32"/>
        <v/>
      </c>
      <c r="P149" s="600" t="str">
        <f t="shared" si="33"/>
        <v/>
      </c>
    </row>
    <row r="150" spans="2:16">
      <c r="B150" s="617">
        <v>10011386</v>
      </c>
      <c r="C150" s="621" t="s">
        <v>10</v>
      </c>
      <c r="D150" s="565" t="s">
        <v>60</v>
      </c>
      <c r="E150" s="552" t="s">
        <v>219</v>
      </c>
      <c r="F150" s="570" t="s">
        <v>831</v>
      </c>
      <c r="G150" s="574">
        <v>44409</v>
      </c>
      <c r="H150" s="580">
        <v>100893929.04198025</v>
      </c>
      <c r="I150" s="592">
        <v>44234</v>
      </c>
      <c r="J150" s="626">
        <f t="shared" ca="1" si="27"/>
        <v>186</v>
      </c>
      <c r="K150" s="600" t="str">
        <f t="shared" ca="1" si="28"/>
        <v/>
      </c>
      <c r="L150" s="600" t="str">
        <f t="shared" ca="1" si="29"/>
        <v/>
      </c>
      <c r="M150" s="601" t="str">
        <f t="shared" ca="1" si="30"/>
        <v/>
      </c>
      <c r="N150" s="600" t="str">
        <f t="shared" ca="1" si="31"/>
        <v/>
      </c>
      <c r="O150" s="600">
        <f t="shared" ca="1" si="32"/>
        <v>100893929.04198025</v>
      </c>
      <c r="P150" s="600" t="str">
        <f t="shared" ca="1" si="33"/>
        <v/>
      </c>
    </row>
    <row r="151" spans="2:16">
      <c r="B151" s="617">
        <v>10011386</v>
      </c>
      <c r="C151" s="621" t="s">
        <v>10</v>
      </c>
      <c r="D151" s="565" t="s">
        <v>60</v>
      </c>
      <c r="E151" s="549" t="s">
        <v>221</v>
      </c>
      <c r="F151" s="566" t="s">
        <v>61</v>
      </c>
      <c r="G151" s="574">
        <v>44441</v>
      </c>
      <c r="H151" s="580">
        <v>96522873.333059236</v>
      </c>
      <c r="I151" s="591">
        <v>44259</v>
      </c>
      <c r="J151" s="626">
        <f t="shared" ca="1" si="27"/>
        <v>161</v>
      </c>
      <c r="K151" s="600" t="str">
        <f t="shared" ca="1" si="28"/>
        <v/>
      </c>
      <c r="L151" s="600" t="str">
        <f t="shared" ca="1" si="29"/>
        <v/>
      </c>
      <c r="M151" s="601" t="str">
        <f t="shared" ca="1" si="30"/>
        <v/>
      </c>
      <c r="N151" s="600">
        <f t="shared" ca="1" si="31"/>
        <v>96522873.333059236</v>
      </c>
      <c r="O151" s="600" t="str">
        <f t="shared" ca="1" si="32"/>
        <v/>
      </c>
      <c r="P151" s="600" t="str">
        <f t="shared" ca="1" si="33"/>
        <v/>
      </c>
    </row>
    <row r="152" spans="2:16">
      <c r="B152" s="617">
        <v>10011386</v>
      </c>
      <c r="C152" s="621" t="s">
        <v>10</v>
      </c>
      <c r="D152" s="565" t="s">
        <v>60</v>
      </c>
      <c r="E152" s="549" t="s">
        <v>222</v>
      </c>
      <c r="F152" s="566" t="s">
        <v>835</v>
      </c>
      <c r="G152" s="574">
        <v>44319</v>
      </c>
      <c r="H152" s="580">
        <v>103279184.9511345</v>
      </c>
      <c r="I152" s="591">
        <v>44291</v>
      </c>
      <c r="J152" s="626">
        <f t="shared" ca="1" si="27"/>
        <v>129</v>
      </c>
      <c r="K152" s="600" t="str">
        <f t="shared" ca="1" si="28"/>
        <v/>
      </c>
      <c r="L152" s="600" t="str">
        <f t="shared" ca="1" si="29"/>
        <v/>
      </c>
      <c r="M152" s="601" t="str">
        <f t="shared" ca="1" si="30"/>
        <v/>
      </c>
      <c r="N152" s="600">
        <f t="shared" ca="1" si="31"/>
        <v>103279184.9511345</v>
      </c>
      <c r="O152" s="600" t="str">
        <f t="shared" ca="1" si="32"/>
        <v/>
      </c>
      <c r="P152" s="600" t="str">
        <f t="shared" ca="1" si="33"/>
        <v/>
      </c>
    </row>
    <row r="153" spans="2:16">
      <c r="B153" s="617"/>
      <c r="C153" s="621"/>
      <c r="D153" s="565"/>
      <c r="E153" s="552"/>
      <c r="F153" s="570"/>
      <c r="G153" s="574"/>
      <c r="H153" s="580"/>
      <c r="I153" s="592"/>
      <c r="J153" s="626"/>
      <c r="K153" s="600" t="str">
        <f t="shared" si="28"/>
        <v/>
      </c>
      <c r="L153" s="600" t="str">
        <f t="shared" si="29"/>
        <v/>
      </c>
      <c r="M153" s="601" t="str">
        <f t="shared" si="30"/>
        <v/>
      </c>
      <c r="N153" s="600" t="str">
        <f t="shared" si="31"/>
        <v/>
      </c>
      <c r="O153" s="600" t="str">
        <f t="shared" si="32"/>
        <v/>
      </c>
      <c r="P153" s="600" t="str">
        <f t="shared" si="33"/>
        <v/>
      </c>
    </row>
    <row r="154" spans="2:16">
      <c r="B154" s="617"/>
      <c r="C154" s="621"/>
      <c r="D154" s="565"/>
      <c r="E154" s="549"/>
      <c r="F154" s="566"/>
      <c r="G154" s="574"/>
      <c r="H154" s="580"/>
      <c r="I154" s="591"/>
      <c r="J154" s="626"/>
      <c r="K154" s="600" t="str">
        <f t="shared" si="28"/>
        <v/>
      </c>
      <c r="L154" s="600" t="str">
        <f t="shared" si="29"/>
        <v/>
      </c>
      <c r="M154" s="601" t="str">
        <f t="shared" si="30"/>
        <v/>
      </c>
      <c r="N154" s="600" t="str">
        <f t="shared" si="31"/>
        <v/>
      </c>
      <c r="O154" s="600" t="str">
        <f t="shared" si="32"/>
        <v/>
      </c>
      <c r="P154" s="600" t="str">
        <f t="shared" si="33"/>
        <v/>
      </c>
    </row>
    <row r="155" spans="2:16">
      <c r="B155" s="617">
        <v>10011386</v>
      </c>
      <c r="C155" s="621" t="s">
        <v>10</v>
      </c>
      <c r="D155" s="565" t="s">
        <v>2218</v>
      </c>
      <c r="E155" s="549" t="s">
        <v>136</v>
      </c>
      <c r="F155" s="566"/>
      <c r="G155" s="574"/>
      <c r="H155" s="580">
        <v>1026011.8861995025</v>
      </c>
      <c r="I155" s="591"/>
      <c r="J155" s="626"/>
      <c r="K155" s="600" t="str">
        <f t="shared" si="28"/>
        <v/>
      </c>
      <c r="L155" s="600" t="str">
        <f t="shared" si="29"/>
        <v/>
      </c>
      <c r="M155" s="601" t="str">
        <f t="shared" si="30"/>
        <v/>
      </c>
      <c r="N155" s="600" t="str">
        <f t="shared" si="31"/>
        <v/>
      </c>
      <c r="O155" s="600" t="str">
        <f t="shared" si="32"/>
        <v/>
      </c>
      <c r="P155" s="600" t="str">
        <f t="shared" si="33"/>
        <v/>
      </c>
    </row>
    <row r="156" spans="2:16">
      <c r="B156" s="617">
        <v>10011386</v>
      </c>
      <c r="C156" s="621" t="s">
        <v>10</v>
      </c>
      <c r="D156" s="565" t="s">
        <v>2218</v>
      </c>
      <c r="E156" s="552" t="s">
        <v>178</v>
      </c>
      <c r="F156" s="570" t="s">
        <v>71</v>
      </c>
      <c r="G156" s="574"/>
      <c r="H156" s="580">
        <v>3153980.5963464999</v>
      </c>
      <c r="I156" s="592">
        <v>43831</v>
      </c>
      <c r="J156" s="626">
        <f t="shared" ca="1" si="27"/>
        <v>589</v>
      </c>
      <c r="K156" s="600" t="str">
        <f t="shared" ca="1" si="28"/>
        <v/>
      </c>
      <c r="L156" s="600" t="str">
        <f t="shared" ca="1" si="29"/>
        <v/>
      </c>
      <c r="M156" s="601" t="str">
        <f t="shared" ca="1" si="30"/>
        <v/>
      </c>
      <c r="N156" s="600" t="str">
        <f t="shared" ca="1" si="31"/>
        <v/>
      </c>
      <c r="O156" s="600" t="str">
        <f t="shared" ca="1" si="32"/>
        <v/>
      </c>
      <c r="P156" s="600">
        <f t="shared" ca="1" si="33"/>
        <v>3153980.5963464999</v>
      </c>
    </row>
    <row r="157" spans="2:16">
      <c r="B157" s="617">
        <v>10011386</v>
      </c>
      <c r="C157" s="621" t="s">
        <v>10</v>
      </c>
      <c r="D157" s="565" t="s">
        <v>2218</v>
      </c>
      <c r="E157" s="549" t="s">
        <v>181</v>
      </c>
      <c r="F157" s="566" t="s">
        <v>26</v>
      </c>
      <c r="G157" s="574"/>
      <c r="H157" s="580">
        <v>1976033.1029350003</v>
      </c>
      <c r="I157" s="591">
        <v>43862</v>
      </c>
      <c r="J157" s="626">
        <f t="shared" ca="1" si="27"/>
        <v>558</v>
      </c>
      <c r="K157" s="600" t="str">
        <f t="shared" ca="1" si="28"/>
        <v/>
      </c>
      <c r="L157" s="600" t="str">
        <f t="shared" ca="1" si="29"/>
        <v/>
      </c>
      <c r="M157" s="601" t="str">
        <f t="shared" ca="1" si="30"/>
        <v/>
      </c>
      <c r="N157" s="600" t="str">
        <f t="shared" ca="1" si="31"/>
        <v/>
      </c>
      <c r="O157" s="600" t="str">
        <f t="shared" ca="1" si="32"/>
        <v/>
      </c>
      <c r="P157" s="600">
        <f t="shared" ca="1" si="33"/>
        <v>1976033.1029350003</v>
      </c>
    </row>
    <row r="158" spans="2:16">
      <c r="B158" s="617">
        <v>10011386</v>
      </c>
      <c r="C158" s="621" t="s">
        <v>10</v>
      </c>
      <c r="D158" s="565" t="s">
        <v>2218</v>
      </c>
      <c r="E158" s="549" t="s">
        <v>185</v>
      </c>
      <c r="F158" s="566" t="s">
        <v>223</v>
      </c>
      <c r="G158" s="574"/>
      <c r="H158" s="580">
        <v>2936637.0874779997</v>
      </c>
      <c r="I158" s="591">
        <v>43890</v>
      </c>
      <c r="J158" s="626">
        <f t="shared" ca="1" si="27"/>
        <v>530</v>
      </c>
      <c r="K158" s="600" t="str">
        <f t="shared" ca="1" si="28"/>
        <v/>
      </c>
      <c r="L158" s="600" t="str">
        <f t="shared" ca="1" si="29"/>
        <v/>
      </c>
      <c r="M158" s="601" t="str">
        <f t="shared" ca="1" si="30"/>
        <v/>
      </c>
      <c r="N158" s="600" t="str">
        <f t="shared" ca="1" si="31"/>
        <v/>
      </c>
      <c r="O158" s="600" t="str">
        <f t="shared" ca="1" si="32"/>
        <v/>
      </c>
      <c r="P158" s="600">
        <f t="shared" ca="1" si="33"/>
        <v>2936637.0874779997</v>
      </c>
    </row>
    <row r="159" spans="2:16">
      <c r="B159" s="617">
        <v>10011386</v>
      </c>
      <c r="C159" s="621" t="s">
        <v>10</v>
      </c>
      <c r="D159" s="565" t="s">
        <v>2218</v>
      </c>
      <c r="E159" s="552" t="s">
        <v>189</v>
      </c>
      <c r="F159" s="570" t="s">
        <v>367</v>
      </c>
      <c r="G159" s="574"/>
      <c r="H159" s="580">
        <v>2405350.8615255002</v>
      </c>
      <c r="I159" s="592">
        <v>43915</v>
      </c>
      <c r="J159" s="626">
        <f t="shared" ca="1" si="27"/>
        <v>505</v>
      </c>
      <c r="K159" s="600" t="str">
        <f t="shared" ca="1" si="28"/>
        <v/>
      </c>
      <c r="L159" s="600" t="str">
        <f t="shared" ca="1" si="29"/>
        <v/>
      </c>
      <c r="M159" s="601" t="str">
        <f t="shared" ca="1" si="30"/>
        <v/>
      </c>
      <c r="N159" s="600" t="str">
        <f t="shared" ca="1" si="31"/>
        <v/>
      </c>
      <c r="O159" s="600" t="str">
        <f t="shared" ca="1" si="32"/>
        <v/>
      </c>
      <c r="P159" s="600">
        <f t="shared" ca="1" si="33"/>
        <v>2405350.8615255002</v>
      </c>
    </row>
    <row r="160" spans="2:16">
      <c r="B160" s="617">
        <v>10011386</v>
      </c>
      <c r="C160" s="621" t="s">
        <v>10</v>
      </c>
      <c r="D160" s="565" t="s">
        <v>2218</v>
      </c>
      <c r="E160" s="549" t="s">
        <v>191</v>
      </c>
      <c r="F160" s="566" t="s">
        <v>368</v>
      </c>
      <c r="G160" s="574">
        <v>43986</v>
      </c>
      <c r="H160" s="580">
        <v>591784.03938149998</v>
      </c>
      <c r="I160" s="591">
        <v>43949</v>
      </c>
      <c r="J160" s="626">
        <f t="shared" ca="1" si="27"/>
        <v>471</v>
      </c>
      <c r="K160" s="600" t="str">
        <f t="shared" ca="1" si="28"/>
        <v/>
      </c>
      <c r="L160" s="600" t="str">
        <f t="shared" ca="1" si="29"/>
        <v/>
      </c>
      <c r="M160" s="601" t="str">
        <f t="shared" ca="1" si="30"/>
        <v/>
      </c>
      <c r="N160" s="600" t="str">
        <f t="shared" ca="1" si="31"/>
        <v/>
      </c>
      <c r="O160" s="600" t="str">
        <f t="shared" ca="1" si="32"/>
        <v/>
      </c>
      <c r="P160" s="600">
        <f t="shared" ca="1" si="33"/>
        <v>591784.03938149998</v>
      </c>
    </row>
    <row r="161" spans="2:16">
      <c r="B161" s="617">
        <v>10011386</v>
      </c>
      <c r="C161" s="621" t="s">
        <v>10</v>
      </c>
      <c r="D161" s="565" t="s">
        <v>2218</v>
      </c>
      <c r="E161" s="549" t="s">
        <v>199</v>
      </c>
      <c r="F161" s="566" t="s">
        <v>370</v>
      </c>
      <c r="G161" s="574">
        <v>44049</v>
      </c>
      <c r="H161" s="580">
        <v>1195224.0263418001</v>
      </c>
      <c r="I161" s="591">
        <v>44015</v>
      </c>
      <c r="J161" s="626">
        <f t="shared" ca="1" si="27"/>
        <v>405</v>
      </c>
      <c r="K161" s="600" t="str">
        <f t="shared" ca="1" si="28"/>
        <v/>
      </c>
      <c r="L161" s="600" t="str">
        <f t="shared" ca="1" si="29"/>
        <v/>
      </c>
      <c r="M161" s="601" t="str">
        <f t="shared" ca="1" si="30"/>
        <v/>
      </c>
      <c r="N161" s="600" t="str">
        <f t="shared" ca="1" si="31"/>
        <v/>
      </c>
      <c r="O161" s="600" t="str">
        <f t="shared" ca="1" si="32"/>
        <v/>
      </c>
      <c r="P161" s="600">
        <f t="shared" ca="1" si="33"/>
        <v>1195224.0263418001</v>
      </c>
    </row>
    <row r="162" spans="2:16">
      <c r="B162" s="617">
        <v>10011386</v>
      </c>
      <c r="C162" s="621" t="s">
        <v>10</v>
      </c>
      <c r="D162" s="565" t="s">
        <v>2218</v>
      </c>
      <c r="E162" s="552" t="s">
        <v>201</v>
      </c>
      <c r="F162" s="570" t="s">
        <v>371</v>
      </c>
      <c r="G162" s="574">
        <v>44081</v>
      </c>
      <c r="H162" s="580">
        <v>1150572.1605</v>
      </c>
      <c r="I162" s="592">
        <v>44064</v>
      </c>
      <c r="J162" s="626">
        <f t="shared" ca="1" si="27"/>
        <v>356</v>
      </c>
      <c r="K162" s="600" t="str">
        <f t="shared" ca="1" si="28"/>
        <v/>
      </c>
      <c r="L162" s="600" t="str">
        <f t="shared" ca="1" si="29"/>
        <v/>
      </c>
      <c r="M162" s="601" t="str">
        <f t="shared" ca="1" si="30"/>
        <v/>
      </c>
      <c r="N162" s="600" t="str">
        <f t="shared" ca="1" si="31"/>
        <v/>
      </c>
      <c r="O162" s="600">
        <f t="shared" ca="1" si="32"/>
        <v>1150572.1605</v>
      </c>
      <c r="P162" s="600" t="str">
        <f t="shared" ca="1" si="33"/>
        <v/>
      </c>
    </row>
    <row r="163" spans="2:16">
      <c r="B163" s="617">
        <v>10011386</v>
      </c>
      <c r="C163" s="621" t="s">
        <v>10</v>
      </c>
      <c r="D163" s="565" t="s">
        <v>2218</v>
      </c>
      <c r="E163" s="549" t="s">
        <v>207</v>
      </c>
      <c r="F163" s="566" t="s">
        <v>372</v>
      </c>
      <c r="G163" s="574" t="s">
        <v>209</v>
      </c>
      <c r="H163" s="580">
        <v>1192637.2263999998</v>
      </c>
      <c r="I163" s="591">
        <v>44098</v>
      </c>
      <c r="J163" s="626">
        <f t="shared" ca="1" si="27"/>
        <v>322</v>
      </c>
      <c r="K163" s="600" t="str">
        <f t="shared" ca="1" si="28"/>
        <v/>
      </c>
      <c r="L163" s="600" t="str">
        <f t="shared" ca="1" si="29"/>
        <v/>
      </c>
      <c r="M163" s="601" t="str">
        <f t="shared" ca="1" si="30"/>
        <v/>
      </c>
      <c r="N163" s="600" t="str">
        <f t="shared" ca="1" si="31"/>
        <v/>
      </c>
      <c r="O163" s="600">
        <f t="shared" ca="1" si="32"/>
        <v>1192637.2263999998</v>
      </c>
      <c r="P163" s="600" t="str">
        <f t="shared" ca="1" si="33"/>
        <v/>
      </c>
    </row>
    <row r="164" spans="2:16">
      <c r="B164" s="617">
        <v>10011386</v>
      </c>
      <c r="C164" s="621" t="s">
        <v>10</v>
      </c>
      <c r="D164" s="565" t="s">
        <v>2218</v>
      </c>
      <c r="E164" s="549" t="s">
        <v>212</v>
      </c>
      <c r="F164" s="566" t="s">
        <v>373</v>
      </c>
      <c r="G164" s="574">
        <v>44084</v>
      </c>
      <c r="H164" s="580">
        <v>943940.52518024994</v>
      </c>
      <c r="I164" s="591">
        <v>44129</v>
      </c>
      <c r="J164" s="626">
        <f t="shared" ca="1" si="27"/>
        <v>291</v>
      </c>
      <c r="K164" s="600" t="str">
        <f t="shared" ca="1" si="28"/>
        <v/>
      </c>
      <c r="L164" s="600" t="str">
        <f t="shared" ca="1" si="29"/>
        <v/>
      </c>
      <c r="M164" s="601" t="str">
        <f t="shared" ca="1" si="30"/>
        <v/>
      </c>
      <c r="N164" s="600" t="str">
        <f t="shared" ca="1" si="31"/>
        <v/>
      </c>
      <c r="O164" s="600">
        <f t="shared" ca="1" si="32"/>
        <v>943940.52518024994</v>
      </c>
      <c r="P164" s="600" t="str">
        <f t="shared" ca="1" si="33"/>
        <v/>
      </c>
    </row>
    <row r="165" spans="2:16">
      <c r="B165" s="617">
        <v>10011386</v>
      </c>
      <c r="C165" s="621" t="s">
        <v>10</v>
      </c>
      <c r="D165" s="565" t="s">
        <v>2218</v>
      </c>
      <c r="E165" s="552" t="s">
        <v>214</v>
      </c>
      <c r="F165" s="570" t="s">
        <v>92</v>
      </c>
      <c r="G165" s="574">
        <v>43962</v>
      </c>
      <c r="H165" s="580">
        <v>247852.94663424997</v>
      </c>
      <c r="I165" s="592">
        <v>44157</v>
      </c>
      <c r="J165" s="626">
        <f t="shared" ca="1" si="27"/>
        <v>263</v>
      </c>
      <c r="K165" s="600" t="str">
        <f t="shared" ca="1" si="28"/>
        <v/>
      </c>
      <c r="L165" s="600" t="str">
        <f t="shared" ca="1" si="29"/>
        <v/>
      </c>
      <c r="M165" s="601" t="str">
        <f t="shared" ca="1" si="30"/>
        <v/>
      </c>
      <c r="N165" s="600" t="str">
        <f t="shared" ca="1" si="31"/>
        <v/>
      </c>
      <c r="O165" s="600">
        <f t="shared" ca="1" si="32"/>
        <v>247852.94663424997</v>
      </c>
      <c r="P165" s="600" t="str">
        <f t="shared" ca="1" si="33"/>
        <v/>
      </c>
    </row>
    <row r="166" spans="2:16">
      <c r="B166" s="617">
        <v>10011386</v>
      </c>
      <c r="C166" s="621" t="s">
        <v>10</v>
      </c>
      <c r="D166" s="565" t="s">
        <v>2218</v>
      </c>
      <c r="E166" s="549" t="s">
        <v>218</v>
      </c>
      <c r="F166" s="566" t="s">
        <v>63</v>
      </c>
      <c r="G166" s="574">
        <v>44024</v>
      </c>
      <c r="H166" s="580">
        <v>12387.6960865</v>
      </c>
      <c r="I166" s="591">
        <v>44208</v>
      </c>
      <c r="J166" s="626">
        <f t="shared" ca="1" si="27"/>
        <v>212</v>
      </c>
      <c r="K166" s="600" t="str">
        <f t="shared" ca="1" si="28"/>
        <v/>
      </c>
      <c r="L166" s="600" t="str">
        <f t="shared" ca="1" si="29"/>
        <v/>
      </c>
      <c r="M166" s="601" t="str">
        <f t="shared" ca="1" si="30"/>
        <v/>
      </c>
      <c r="N166" s="600" t="str">
        <f t="shared" ca="1" si="31"/>
        <v/>
      </c>
      <c r="O166" s="600">
        <f t="shared" ca="1" si="32"/>
        <v>12387.6960865</v>
      </c>
      <c r="P166" s="600" t="str">
        <f t="shared" ca="1" si="33"/>
        <v/>
      </c>
    </row>
    <row r="167" spans="2:16">
      <c r="B167" s="617"/>
      <c r="C167" s="621"/>
      <c r="D167" s="565"/>
      <c r="E167" s="549"/>
      <c r="F167" s="566"/>
      <c r="G167" s="574"/>
      <c r="H167" s="580"/>
      <c r="I167" s="591"/>
      <c r="J167" s="626"/>
      <c r="K167" s="600" t="str">
        <f t="shared" si="28"/>
        <v/>
      </c>
      <c r="L167" s="600" t="str">
        <f t="shared" si="29"/>
        <v/>
      </c>
      <c r="M167" s="601" t="str">
        <f t="shared" si="30"/>
        <v/>
      </c>
      <c r="N167" s="600" t="str">
        <f t="shared" si="31"/>
        <v/>
      </c>
      <c r="O167" s="600" t="str">
        <f t="shared" si="32"/>
        <v/>
      </c>
      <c r="P167" s="600" t="str">
        <f t="shared" si="33"/>
        <v/>
      </c>
    </row>
    <row r="168" spans="2:16">
      <c r="B168" s="617"/>
      <c r="C168" s="621"/>
      <c r="D168" s="565"/>
      <c r="E168" s="552"/>
      <c r="F168" s="570"/>
      <c r="G168" s="574"/>
      <c r="H168" s="580"/>
      <c r="I168" s="592"/>
      <c r="J168" s="626"/>
      <c r="K168" s="600" t="str">
        <f t="shared" si="28"/>
        <v/>
      </c>
      <c r="L168" s="600" t="str">
        <f t="shared" si="29"/>
        <v/>
      </c>
      <c r="M168" s="601" t="str">
        <f t="shared" si="30"/>
        <v/>
      </c>
      <c r="N168" s="600" t="str">
        <f t="shared" si="31"/>
        <v/>
      </c>
      <c r="O168" s="600" t="str">
        <f t="shared" si="32"/>
        <v/>
      </c>
      <c r="P168" s="600" t="str">
        <f t="shared" si="33"/>
        <v/>
      </c>
    </row>
    <row r="169" spans="2:16">
      <c r="B169" s="617"/>
      <c r="C169" s="621"/>
      <c r="D169" s="565"/>
      <c r="E169" s="549"/>
      <c r="F169" s="566"/>
      <c r="G169" s="574"/>
      <c r="H169" s="580"/>
      <c r="I169" s="591"/>
      <c r="J169" s="626"/>
      <c r="K169" s="600" t="str">
        <f t="shared" si="28"/>
        <v/>
      </c>
      <c r="L169" s="600" t="str">
        <f t="shared" si="29"/>
        <v/>
      </c>
      <c r="M169" s="601" t="str">
        <f t="shared" si="30"/>
        <v/>
      </c>
      <c r="N169" s="600" t="str">
        <f t="shared" si="31"/>
        <v/>
      </c>
      <c r="O169" s="600" t="str">
        <f t="shared" si="32"/>
        <v/>
      </c>
      <c r="P169" s="600" t="str">
        <f t="shared" si="33"/>
        <v/>
      </c>
    </row>
    <row r="170" spans="2:16">
      <c r="B170" s="617"/>
      <c r="C170" s="621"/>
      <c r="D170" s="565"/>
      <c r="E170" s="549"/>
      <c r="F170" s="566"/>
      <c r="G170" s="574"/>
      <c r="H170" s="580"/>
      <c r="I170" s="591"/>
      <c r="J170" s="626"/>
      <c r="K170" s="600" t="str">
        <f t="shared" si="28"/>
        <v/>
      </c>
      <c r="L170" s="600" t="str">
        <f t="shared" si="29"/>
        <v/>
      </c>
      <c r="M170" s="601" t="str">
        <f t="shared" si="30"/>
        <v/>
      </c>
      <c r="N170" s="600" t="str">
        <f t="shared" si="31"/>
        <v/>
      </c>
      <c r="O170" s="600" t="str">
        <f t="shared" si="32"/>
        <v/>
      </c>
      <c r="P170" s="600" t="str">
        <f t="shared" si="33"/>
        <v/>
      </c>
    </row>
    <row r="171" spans="2:16">
      <c r="B171" s="617">
        <v>10010862</v>
      </c>
      <c r="C171" s="621" t="s">
        <v>10</v>
      </c>
      <c r="D171" s="565" t="s">
        <v>64</v>
      </c>
      <c r="E171" s="552" t="s">
        <v>199</v>
      </c>
      <c r="F171" s="570" t="s">
        <v>196</v>
      </c>
      <c r="G171" s="574">
        <v>44049</v>
      </c>
      <c r="H171" s="580">
        <v>15604515.90511987</v>
      </c>
      <c r="I171" s="592">
        <v>44015</v>
      </c>
      <c r="J171" s="626">
        <f t="shared" ca="1" si="27"/>
        <v>405</v>
      </c>
      <c r="K171" s="600" t="str">
        <f t="shared" ca="1" si="28"/>
        <v/>
      </c>
      <c r="L171" s="600" t="str">
        <f t="shared" ca="1" si="29"/>
        <v/>
      </c>
      <c r="M171" s="601" t="str">
        <f t="shared" ca="1" si="30"/>
        <v/>
      </c>
      <c r="N171" s="600" t="str">
        <f t="shared" ca="1" si="31"/>
        <v/>
      </c>
      <c r="O171" s="600" t="str">
        <f t="shared" ca="1" si="32"/>
        <v/>
      </c>
      <c r="P171" s="600">
        <f t="shared" ca="1" si="33"/>
        <v>15604515.90511987</v>
      </c>
    </row>
    <row r="172" spans="2:16">
      <c r="B172" s="617">
        <v>10010862</v>
      </c>
      <c r="C172" s="621" t="s">
        <v>10</v>
      </c>
      <c r="D172" s="565" t="s">
        <v>64</v>
      </c>
      <c r="E172" s="549" t="s">
        <v>201</v>
      </c>
      <c r="F172" s="566" t="s">
        <v>41</v>
      </c>
      <c r="G172" s="574">
        <v>44081</v>
      </c>
      <c r="H172" s="580">
        <v>11666797.421052901</v>
      </c>
      <c r="I172" s="591">
        <v>44020</v>
      </c>
      <c r="J172" s="626">
        <f t="shared" ca="1" si="27"/>
        <v>400</v>
      </c>
      <c r="K172" s="600" t="str">
        <f t="shared" ca="1" si="28"/>
        <v/>
      </c>
      <c r="L172" s="600" t="str">
        <f t="shared" ca="1" si="29"/>
        <v/>
      </c>
      <c r="M172" s="601" t="str">
        <f t="shared" ca="1" si="30"/>
        <v/>
      </c>
      <c r="N172" s="600" t="str">
        <f t="shared" ca="1" si="31"/>
        <v/>
      </c>
      <c r="O172" s="600" t="str">
        <f t="shared" ca="1" si="32"/>
        <v/>
      </c>
      <c r="P172" s="600">
        <f t="shared" ca="1" si="33"/>
        <v>11666797.421052901</v>
      </c>
    </row>
    <row r="173" spans="2:16">
      <c r="B173" s="617">
        <v>10010862</v>
      </c>
      <c r="C173" s="621" t="s">
        <v>10</v>
      </c>
      <c r="D173" s="565" t="s">
        <v>64</v>
      </c>
      <c r="E173" s="549" t="s">
        <v>203</v>
      </c>
      <c r="F173" s="566" t="s">
        <v>359</v>
      </c>
      <c r="G173" s="574">
        <v>43990</v>
      </c>
      <c r="H173" s="580">
        <v>11999999.998501038</v>
      </c>
      <c r="I173" s="591">
        <v>44067</v>
      </c>
      <c r="J173" s="626">
        <f t="shared" ca="1" si="27"/>
        <v>353</v>
      </c>
      <c r="K173" s="600" t="str">
        <f t="shared" ca="1" si="28"/>
        <v/>
      </c>
      <c r="L173" s="600" t="str">
        <f t="shared" ca="1" si="29"/>
        <v/>
      </c>
      <c r="M173" s="601" t="str">
        <f t="shared" ca="1" si="30"/>
        <v/>
      </c>
      <c r="N173" s="600" t="str">
        <f t="shared" ca="1" si="31"/>
        <v/>
      </c>
      <c r="O173" s="600">
        <f t="shared" ca="1" si="32"/>
        <v>11999999.998501038</v>
      </c>
      <c r="P173" s="600" t="str">
        <f t="shared" ca="1" si="33"/>
        <v/>
      </c>
    </row>
    <row r="174" spans="2:16">
      <c r="B174" s="617">
        <v>10010862</v>
      </c>
      <c r="C174" s="621" t="s">
        <v>10</v>
      </c>
      <c r="D174" s="565" t="s">
        <v>64</v>
      </c>
      <c r="E174" s="552" t="s">
        <v>207</v>
      </c>
      <c r="F174" s="570" t="s">
        <v>202</v>
      </c>
      <c r="G174" s="574" t="s">
        <v>209</v>
      </c>
      <c r="H174" s="580">
        <v>26573025.743991699</v>
      </c>
      <c r="I174" s="592">
        <v>44098</v>
      </c>
      <c r="J174" s="626">
        <f t="shared" ca="1" si="27"/>
        <v>322</v>
      </c>
      <c r="K174" s="600" t="str">
        <f t="shared" ca="1" si="28"/>
        <v/>
      </c>
      <c r="L174" s="600" t="str">
        <f t="shared" ca="1" si="29"/>
        <v/>
      </c>
      <c r="M174" s="601" t="str">
        <f t="shared" ca="1" si="30"/>
        <v/>
      </c>
      <c r="N174" s="600" t="str">
        <f t="shared" ca="1" si="31"/>
        <v/>
      </c>
      <c r="O174" s="600">
        <f t="shared" ca="1" si="32"/>
        <v>26573025.743991699</v>
      </c>
      <c r="P174" s="600" t="str">
        <f t="shared" ca="1" si="33"/>
        <v/>
      </c>
    </row>
    <row r="175" spans="2:16">
      <c r="B175" s="617">
        <v>10010862</v>
      </c>
      <c r="C175" s="621" t="s">
        <v>10</v>
      </c>
      <c r="D175" s="565" t="s">
        <v>64</v>
      </c>
      <c r="E175" s="549" t="s">
        <v>218</v>
      </c>
      <c r="F175" s="566" t="s">
        <v>52</v>
      </c>
      <c r="G175" s="574">
        <v>44024</v>
      </c>
      <c r="H175" s="580">
        <v>34313819.038870193</v>
      </c>
      <c r="I175" s="591">
        <v>44208</v>
      </c>
      <c r="J175" s="626">
        <f t="shared" ref="J175:J236" ca="1" si="34">DATEDIF(I175,$J$4,"D")</f>
        <v>212</v>
      </c>
      <c r="K175" s="600" t="str">
        <f t="shared" ref="K175:K238" ca="1" si="35">IF(AND(J175&gt;=16,J175&lt;=30),H175,"")</f>
        <v/>
      </c>
      <c r="L175" s="600" t="str">
        <f t="shared" ref="L175:L238" ca="1" si="36">IF(AND(J175&gt;=31,J175&lt;=60),H175,"")</f>
        <v/>
      </c>
      <c r="M175" s="601" t="str">
        <f t="shared" ref="M175:M238" ca="1" si="37">IF(AND(J175&gt;=61,J175&lt;=90),H175,"")</f>
        <v/>
      </c>
      <c r="N175" s="600" t="str">
        <f t="shared" ref="N175:N238" ca="1" si="38">IF(AND(J175&gt;=91,J175&lt;=180),H175,"")</f>
        <v/>
      </c>
      <c r="O175" s="600">
        <f t="shared" ref="O175:O238" ca="1" si="39">IF(AND(J175&gt;=181,J175&lt;=360),H175,"")</f>
        <v>34313819.038870193</v>
      </c>
      <c r="P175" s="600" t="str">
        <f t="shared" ref="P175:P238" ca="1" si="40">IF(J175&gt;=360,H175,"")</f>
        <v/>
      </c>
    </row>
    <row r="176" spans="2:16">
      <c r="B176" s="617">
        <v>10010862</v>
      </c>
      <c r="C176" s="621" t="s">
        <v>10</v>
      </c>
      <c r="D176" s="565" t="s">
        <v>64</v>
      </c>
      <c r="E176" s="549" t="s">
        <v>221</v>
      </c>
      <c r="F176" s="566" t="s">
        <v>65</v>
      </c>
      <c r="G176" s="574">
        <v>44441</v>
      </c>
      <c r="H176" s="580">
        <v>34410804.112245329</v>
      </c>
      <c r="I176" s="591">
        <v>44259</v>
      </c>
      <c r="J176" s="626">
        <f t="shared" ca="1" si="34"/>
        <v>161</v>
      </c>
      <c r="K176" s="600" t="str">
        <f t="shared" ca="1" si="35"/>
        <v/>
      </c>
      <c r="L176" s="600" t="str">
        <f t="shared" ca="1" si="36"/>
        <v/>
      </c>
      <c r="M176" s="601" t="str">
        <f t="shared" ca="1" si="37"/>
        <v/>
      </c>
      <c r="N176" s="600">
        <f t="shared" ca="1" si="38"/>
        <v>34410804.112245329</v>
      </c>
      <c r="O176" s="600" t="str">
        <f t="shared" ca="1" si="39"/>
        <v/>
      </c>
      <c r="P176" s="600" t="str">
        <f t="shared" ca="1" si="40"/>
        <v/>
      </c>
    </row>
    <row r="177" spans="2:16">
      <c r="B177" s="617">
        <v>10010862</v>
      </c>
      <c r="C177" s="621" t="s">
        <v>10</v>
      </c>
      <c r="D177" s="565" t="s">
        <v>64</v>
      </c>
      <c r="E177" s="552" t="s">
        <v>222</v>
      </c>
      <c r="F177" s="570" t="s">
        <v>71</v>
      </c>
      <c r="G177" s="574">
        <v>44411</v>
      </c>
      <c r="H177" s="580">
        <v>29075403.856590629</v>
      </c>
      <c r="I177" s="592">
        <v>44278</v>
      </c>
      <c r="J177" s="626">
        <f t="shared" ca="1" si="34"/>
        <v>142</v>
      </c>
      <c r="K177" s="600" t="str">
        <f t="shared" ca="1" si="35"/>
        <v/>
      </c>
      <c r="L177" s="600" t="str">
        <f t="shared" ca="1" si="36"/>
        <v/>
      </c>
      <c r="M177" s="601" t="str">
        <f t="shared" ca="1" si="37"/>
        <v/>
      </c>
      <c r="N177" s="600">
        <f t="shared" ca="1" si="38"/>
        <v>29075403.856590629</v>
      </c>
      <c r="O177" s="600" t="str">
        <f t="shared" ca="1" si="39"/>
        <v/>
      </c>
      <c r="P177" s="600" t="str">
        <f t="shared" ca="1" si="40"/>
        <v/>
      </c>
    </row>
    <row r="178" spans="2:16">
      <c r="B178" s="617"/>
      <c r="C178" s="621"/>
      <c r="D178" s="565"/>
      <c r="E178" s="549"/>
      <c r="F178" s="566"/>
      <c r="G178" s="574"/>
      <c r="H178" s="580"/>
      <c r="I178" s="591"/>
      <c r="J178" s="626"/>
      <c r="K178" s="600" t="str">
        <f t="shared" si="35"/>
        <v/>
      </c>
      <c r="L178" s="600" t="str">
        <f t="shared" si="36"/>
        <v/>
      </c>
      <c r="M178" s="601" t="str">
        <f t="shared" si="37"/>
        <v/>
      </c>
      <c r="N178" s="600" t="str">
        <f t="shared" si="38"/>
        <v/>
      </c>
      <c r="O178" s="600" t="str">
        <f t="shared" si="39"/>
        <v/>
      </c>
      <c r="P178" s="600" t="str">
        <f t="shared" si="40"/>
        <v/>
      </c>
    </row>
    <row r="179" spans="2:16">
      <c r="B179" s="617"/>
      <c r="C179" s="621"/>
      <c r="D179" s="565"/>
      <c r="E179" s="549"/>
      <c r="F179" s="566"/>
      <c r="G179" s="574"/>
      <c r="H179" s="580"/>
      <c r="I179" s="591"/>
      <c r="J179" s="626"/>
      <c r="K179" s="600" t="str">
        <f t="shared" si="35"/>
        <v/>
      </c>
      <c r="L179" s="600" t="str">
        <f t="shared" si="36"/>
        <v/>
      </c>
      <c r="M179" s="601" t="str">
        <f t="shared" si="37"/>
        <v/>
      </c>
      <c r="N179" s="600" t="str">
        <f t="shared" si="38"/>
        <v/>
      </c>
      <c r="O179" s="600" t="str">
        <f t="shared" si="39"/>
        <v/>
      </c>
      <c r="P179" s="600" t="str">
        <f t="shared" si="40"/>
        <v/>
      </c>
    </row>
    <row r="180" spans="2:16">
      <c r="B180" s="617"/>
      <c r="C180" s="621"/>
      <c r="D180" s="565"/>
      <c r="E180" s="552"/>
      <c r="F180" s="570"/>
      <c r="G180" s="574"/>
      <c r="H180" s="580"/>
      <c r="I180" s="592"/>
      <c r="J180" s="626"/>
      <c r="K180" s="600" t="str">
        <f t="shared" si="35"/>
        <v/>
      </c>
      <c r="L180" s="600" t="str">
        <f t="shared" si="36"/>
        <v/>
      </c>
      <c r="M180" s="601" t="str">
        <f t="shared" si="37"/>
        <v/>
      </c>
      <c r="N180" s="600" t="str">
        <f t="shared" si="38"/>
        <v/>
      </c>
      <c r="O180" s="600" t="str">
        <f t="shared" si="39"/>
        <v/>
      </c>
      <c r="P180" s="600" t="str">
        <f t="shared" si="40"/>
        <v/>
      </c>
    </row>
    <row r="181" spans="2:16">
      <c r="B181" s="617"/>
      <c r="C181" s="621"/>
      <c r="D181" s="565"/>
      <c r="E181" s="549"/>
      <c r="F181" s="566"/>
      <c r="G181" s="574"/>
      <c r="H181" s="580"/>
      <c r="I181" s="591"/>
      <c r="J181" s="626"/>
      <c r="K181" s="600" t="str">
        <f t="shared" si="35"/>
        <v/>
      </c>
      <c r="L181" s="600" t="str">
        <f t="shared" si="36"/>
        <v/>
      </c>
      <c r="M181" s="601" t="str">
        <f t="shared" si="37"/>
        <v/>
      </c>
      <c r="N181" s="600" t="str">
        <f t="shared" si="38"/>
        <v/>
      </c>
      <c r="O181" s="600" t="str">
        <f t="shared" si="39"/>
        <v/>
      </c>
      <c r="P181" s="600" t="str">
        <f t="shared" si="40"/>
        <v/>
      </c>
    </row>
    <row r="182" spans="2:16">
      <c r="B182" s="617">
        <v>10014028</v>
      </c>
      <c r="C182" s="621" t="s">
        <v>10</v>
      </c>
      <c r="D182" s="565" t="s">
        <v>69</v>
      </c>
      <c r="E182" s="549" t="s">
        <v>222</v>
      </c>
      <c r="F182" s="566" t="s">
        <v>385</v>
      </c>
      <c r="G182" s="574">
        <v>44319</v>
      </c>
      <c r="H182" s="580">
        <v>22733646.156317249</v>
      </c>
      <c r="I182" s="591">
        <v>44275</v>
      </c>
      <c r="J182" s="626">
        <f t="shared" ca="1" si="34"/>
        <v>145</v>
      </c>
      <c r="K182" s="600" t="str">
        <f t="shared" ca="1" si="35"/>
        <v/>
      </c>
      <c r="L182" s="600" t="str">
        <f t="shared" ca="1" si="36"/>
        <v/>
      </c>
      <c r="M182" s="601" t="str">
        <f t="shared" ca="1" si="37"/>
        <v/>
      </c>
      <c r="N182" s="600">
        <f t="shared" ca="1" si="38"/>
        <v>22733646.156317249</v>
      </c>
      <c r="O182" s="600" t="str">
        <f t="shared" ca="1" si="39"/>
        <v/>
      </c>
      <c r="P182" s="600" t="str">
        <f t="shared" ca="1" si="40"/>
        <v/>
      </c>
    </row>
    <row r="183" spans="2:16">
      <c r="B183" s="617"/>
      <c r="C183" s="621"/>
      <c r="D183" s="565"/>
      <c r="E183" s="552"/>
      <c r="F183" s="570"/>
      <c r="G183" s="574"/>
      <c r="H183" s="580"/>
      <c r="I183" s="592"/>
      <c r="J183" s="626"/>
      <c r="K183" s="600" t="str">
        <f t="shared" si="35"/>
        <v/>
      </c>
      <c r="L183" s="600" t="str">
        <f t="shared" si="36"/>
        <v/>
      </c>
      <c r="M183" s="601" t="str">
        <f t="shared" si="37"/>
        <v/>
      </c>
      <c r="N183" s="600" t="str">
        <f t="shared" si="38"/>
        <v/>
      </c>
      <c r="O183" s="600" t="str">
        <f t="shared" si="39"/>
        <v/>
      </c>
      <c r="P183" s="600" t="str">
        <f t="shared" si="40"/>
        <v/>
      </c>
    </row>
    <row r="184" spans="2:16">
      <c r="B184" s="617"/>
      <c r="C184" s="621"/>
      <c r="D184" s="565"/>
      <c r="E184" s="549"/>
      <c r="F184" s="566"/>
      <c r="G184" s="574"/>
      <c r="H184" s="580"/>
      <c r="I184" s="591"/>
      <c r="J184" s="626"/>
      <c r="K184" s="600" t="str">
        <f t="shared" si="35"/>
        <v/>
      </c>
      <c r="L184" s="600" t="str">
        <f t="shared" si="36"/>
        <v/>
      </c>
      <c r="M184" s="601" t="str">
        <f t="shared" si="37"/>
        <v/>
      </c>
      <c r="N184" s="600" t="str">
        <f t="shared" si="38"/>
        <v/>
      </c>
      <c r="O184" s="600" t="str">
        <f t="shared" si="39"/>
        <v/>
      </c>
      <c r="P184" s="600" t="str">
        <f t="shared" si="40"/>
        <v/>
      </c>
    </row>
    <row r="185" spans="2:16">
      <c r="B185" s="617">
        <v>10000576</v>
      </c>
      <c r="C185" s="621" t="s">
        <v>10</v>
      </c>
      <c r="D185" s="565" t="s">
        <v>73</v>
      </c>
      <c r="E185" s="549" t="s">
        <v>136</v>
      </c>
      <c r="F185" s="566"/>
      <c r="G185" s="574"/>
      <c r="H185" s="580">
        <v>406079594.86476362</v>
      </c>
      <c r="I185" s="591"/>
      <c r="J185" s="626"/>
      <c r="K185" s="600" t="str">
        <f t="shared" si="35"/>
        <v/>
      </c>
      <c r="L185" s="600" t="str">
        <f t="shared" si="36"/>
        <v/>
      </c>
      <c r="M185" s="601" t="str">
        <f t="shared" si="37"/>
        <v/>
      </c>
      <c r="N185" s="600" t="str">
        <f t="shared" si="38"/>
        <v/>
      </c>
      <c r="O185" s="600" t="str">
        <f t="shared" si="39"/>
        <v/>
      </c>
      <c r="P185" s="600" t="str">
        <f t="shared" si="40"/>
        <v/>
      </c>
    </row>
    <row r="186" spans="2:16">
      <c r="B186" s="617">
        <v>10000576</v>
      </c>
      <c r="C186" s="621" t="s">
        <v>10</v>
      </c>
      <c r="D186" s="565" t="s">
        <v>73</v>
      </c>
      <c r="E186" s="552" t="s">
        <v>181</v>
      </c>
      <c r="F186" s="570" t="s">
        <v>268</v>
      </c>
      <c r="G186" s="574">
        <v>43952</v>
      </c>
      <c r="H186" s="580">
        <v>29421056.059527487</v>
      </c>
      <c r="I186" s="592" t="s">
        <v>183</v>
      </c>
      <c r="J186" s="626">
        <f t="shared" ca="1" si="34"/>
        <v>588</v>
      </c>
      <c r="K186" s="600" t="str">
        <f t="shared" ca="1" si="35"/>
        <v/>
      </c>
      <c r="L186" s="600" t="str">
        <f t="shared" ca="1" si="36"/>
        <v/>
      </c>
      <c r="M186" s="601" t="str">
        <f t="shared" ca="1" si="37"/>
        <v/>
      </c>
      <c r="N186" s="600" t="str">
        <f t="shared" ca="1" si="38"/>
        <v/>
      </c>
      <c r="O186" s="600" t="str">
        <f t="shared" ca="1" si="39"/>
        <v/>
      </c>
      <c r="P186" s="600">
        <f t="shared" ca="1" si="40"/>
        <v>29421056.059527487</v>
      </c>
    </row>
    <row r="187" spans="2:16">
      <c r="B187" s="617">
        <v>10000576</v>
      </c>
      <c r="C187" s="621" t="s">
        <v>10</v>
      </c>
      <c r="D187" s="565" t="s">
        <v>73</v>
      </c>
      <c r="E187" s="549" t="s">
        <v>185</v>
      </c>
      <c r="F187" s="566" t="s">
        <v>271</v>
      </c>
      <c r="G187" s="574">
        <v>44076</v>
      </c>
      <c r="H187" s="580">
        <v>25103701.684102088</v>
      </c>
      <c r="I187" s="591">
        <v>43890</v>
      </c>
      <c r="J187" s="626">
        <f t="shared" ca="1" si="34"/>
        <v>530</v>
      </c>
      <c r="K187" s="600" t="str">
        <f t="shared" ca="1" si="35"/>
        <v/>
      </c>
      <c r="L187" s="600" t="str">
        <f t="shared" ca="1" si="36"/>
        <v/>
      </c>
      <c r="M187" s="601" t="str">
        <f t="shared" ca="1" si="37"/>
        <v/>
      </c>
      <c r="N187" s="600" t="str">
        <f t="shared" ca="1" si="38"/>
        <v/>
      </c>
      <c r="O187" s="600" t="str">
        <f t="shared" ca="1" si="39"/>
        <v/>
      </c>
      <c r="P187" s="600">
        <f t="shared" ca="1" si="40"/>
        <v>25103701.684102088</v>
      </c>
    </row>
    <row r="188" spans="2:16">
      <c r="B188" s="617">
        <v>10000576</v>
      </c>
      <c r="C188" s="621" t="s">
        <v>10</v>
      </c>
      <c r="D188" s="565" t="s">
        <v>73</v>
      </c>
      <c r="E188" s="549" t="s">
        <v>189</v>
      </c>
      <c r="F188" s="566" t="s">
        <v>273</v>
      </c>
      <c r="G188" s="574">
        <v>43985</v>
      </c>
      <c r="H188" s="580">
        <v>34493107.971255213</v>
      </c>
      <c r="I188" s="591">
        <v>43916</v>
      </c>
      <c r="J188" s="626">
        <f t="shared" ca="1" si="34"/>
        <v>504</v>
      </c>
      <c r="K188" s="600" t="str">
        <f t="shared" ca="1" si="35"/>
        <v/>
      </c>
      <c r="L188" s="600" t="str">
        <f t="shared" ca="1" si="36"/>
        <v/>
      </c>
      <c r="M188" s="601" t="str">
        <f t="shared" ca="1" si="37"/>
        <v/>
      </c>
      <c r="N188" s="600" t="str">
        <f t="shared" ca="1" si="38"/>
        <v/>
      </c>
      <c r="O188" s="600" t="str">
        <f t="shared" ca="1" si="39"/>
        <v/>
      </c>
      <c r="P188" s="600">
        <f t="shared" ca="1" si="40"/>
        <v>34493107.971255213</v>
      </c>
    </row>
    <row r="189" spans="2:16">
      <c r="B189" s="617">
        <v>10000576</v>
      </c>
      <c r="C189" s="621" t="s">
        <v>10</v>
      </c>
      <c r="D189" s="565" t="s">
        <v>73</v>
      </c>
      <c r="E189" s="552" t="s">
        <v>191</v>
      </c>
      <c r="F189" s="570" t="s">
        <v>275</v>
      </c>
      <c r="G189" s="574">
        <v>43986</v>
      </c>
      <c r="H189" s="580">
        <v>67034837.071549743</v>
      </c>
      <c r="I189" s="592">
        <v>43949</v>
      </c>
      <c r="J189" s="626">
        <f t="shared" ca="1" si="34"/>
        <v>471</v>
      </c>
      <c r="K189" s="600" t="str">
        <f t="shared" ca="1" si="35"/>
        <v/>
      </c>
      <c r="L189" s="600" t="str">
        <f t="shared" ca="1" si="36"/>
        <v/>
      </c>
      <c r="M189" s="601" t="str">
        <f t="shared" ca="1" si="37"/>
        <v/>
      </c>
      <c r="N189" s="600" t="str">
        <f t="shared" ca="1" si="38"/>
        <v/>
      </c>
      <c r="O189" s="600" t="str">
        <f t="shared" ca="1" si="39"/>
        <v/>
      </c>
      <c r="P189" s="600">
        <f t="shared" ca="1" si="40"/>
        <v>67034837.071549743</v>
      </c>
    </row>
    <row r="190" spans="2:16">
      <c r="B190" s="617">
        <v>10000576</v>
      </c>
      <c r="C190" s="621" t="s">
        <v>10</v>
      </c>
      <c r="D190" s="565" t="s">
        <v>73</v>
      </c>
      <c r="E190" s="549" t="s">
        <v>195</v>
      </c>
      <c r="F190" s="566" t="s">
        <v>277</v>
      </c>
      <c r="G190" s="574" t="s">
        <v>197</v>
      </c>
      <c r="H190" s="580">
        <v>26839420.092300624</v>
      </c>
      <c r="I190" s="591">
        <v>43980</v>
      </c>
      <c r="J190" s="626">
        <f t="shared" ca="1" si="34"/>
        <v>440</v>
      </c>
      <c r="K190" s="600" t="str">
        <f t="shared" ca="1" si="35"/>
        <v/>
      </c>
      <c r="L190" s="600" t="str">
        <f t="shared" ca="1" si="36"/>
        <v/>
      </c>
      <c r="M190" s="601" t="str">
        <f t="shared" ca="1" si="37"/>
        <v/>
      </c>
      <c r="N190" s="600" t="str">
        <f t="shared" ca="1" si="38"/>
        <v/>
      </c>
      <c r="O190" s="600" t="str">
        <f t="shared" ca="1" si="39"/>
        <v/>
      </c>
      <c r="P190" s="600">
        <f t="shared" ca="1" si="40"/>
        <v>26839420.092300624</v>
      </c>
    </row>
    <row r="191" spans="2:16">
      <c r="B191" s="617">
        <v>10000576</v>
      </c>
      <c r="C191" s="621" t="s">
        <v>10</v>
      </c>
      <c r="D191" s="565" t="s">
        <v>73</v>
      </c>
      <c r="E191" s="549" t="s">
        <v>199</v>
      </c>
      <c r="F191" s="566" t="s">
        <v>279</v>
      </c>
      <c r="G191" s="574">
        <v>44049</v>
      </c>
      <c r="H191" s="580">
        <v>23394790.368719459</v>
      </c>
      <c r="I191" s="591">
        <v>44015</v>
      </c>
      <c r="J191" s="626">
        <f t="shared" ca="1" si="34"/>
        <v>405</v>
      </c>
      <c r="K191" s="600" t="str">
        <f t="shared" ca="1" si="35"/>
        <v/>
      </c>
      <c r="L191" s="600" t="str">
        <f t="shared" ca="1" si="36"/>
        <v/>
      </c>
      <c r="M191" s="601" t="str">
        <f t="shared" ca="1" si="37"/>
        <v/>
      </c>
      <c r="N191" s="600" t="str">
        <f t="shared" ca="1" si="38"/>
        <v/>
      </c>
      <c r="O191" s="600" t="str">
        <f t="shared" ca="1" si="39"/>
        <v/>
      </c>
      <c r="P191" s="600">
        <f t="shared" ca="1" si="40"/>
        <v>23394790.368719459</v>
      </c>
    </row>
    <row r="192" spans="2:16">
      <c r="B192" s="617">
        <v>10000576</v>
      </c>
      <c r="C192" s="621" t="s">
        <v>10</v>
      </c>
      <c r="D192" s="565" t="s">
        <v>73</v>
      </c>
      <c r="E192" s="552" t="s">
        <v>201</v>
      </c>
      <c r="F192" s="570" t="s">
        <v>281</v>
      </c>
      <c r="G192" s="574" t="s">
        <v>449</v>
      </c>
      <c r="H192" s="580">
        <v>21503895.364004403</v>
      </c>
      <c r="I192" s="592">
        <v>44020</v>
      </c>
      <c r="J192" s="626">
        <f t="shared" ca="1" si="34"/>
        <v>400</v>
      </c>
      <c r="K192" s="600" t="str">
        <f t="shared" ca="1" si="35"/>
        <v/>
      </c>
      <c r="L192" s="600" t="str">
        <f t="shared" ca="1" si="36"/>
        <v/>
      </c>
      <c r="M192" s="601" t="str">
        <f t="shared" ca="1" si="37"/>
        <v/>
      </c>
      <c r="N192" s="600" t="str">
        <f t="shared" ca="1" si="38"/>
        <v/>
      </c>
      <c r="O192" s="600" t="str">
        <f t="shared" ca="1" si="39"/>
        <v/>
      </c>
      <c r="P192" s="600">
        <f t="shared" ca="1" si="40"/>
        <v>21503895.364004403</v>
      </c>
    </row>
    <row r="193" spans="2:16">
      <c r="B193" s="617">
        <v>10000576</v>
      </c>
      <c r="C193" s="621" t="s">
        <v>10</v>
      </c>
      <c r="D193" s="565" t="s">
        <v>73</v>
      </c>
      <c r="E193" s="549" t="s">
        <v>203</v>
      </c>
      <c r="F193" s="566" t="s">
        <v>283</v>
      </c>
      <c r="G193" s="574">
        <v>44020</v>
      </c>
      <c r="H193" s="580">
        <v>14860039.666961938</v>
      </c>
      <c r="I193" s="591">
        <v>44065</v>
      </c>
      <c r="J193" s="626">
        <f t="shared" ca="1" si="34"/>
        <v>355</v>
      </c>
      <c r="K193" s="600" t="str">
        <f t="shared" ca="1" si="35"/>
        <v/>
      </c>
      <c r="L193" s="600" t="str">
        <f t="shared" ca="1" si="36"/>
        <v/>
      </c>
      <c r="M193" s="601" t="str">
        <f t="shared" ca="1" si="37"/>
        <v/>
      </c>
      <c r="N193" s="600" t="str">
        <f t="shared" ca="1" si="38"/>
        <v/>
      </c>
      <c r="O193" s="600">
        <f t="shared" ca="1" si="39"/>
        <v>14860039.666961938</v>
      </c>
      <c r="P193" s="600" t="str">
        <f t="shared" ca="1" si="40"/>
        <v/>
      </c>
    </row>
    <row r="194" spans="2:16">
      <c r="B194" s="617">
        <v>10000576</v>
      </c>
      <c r="C194" s="621" t="s">
        <v>10</v>
      </c>
      <c r="D194" s="565" t="s">
        <v>73</v>
      </c>
      <c r="E194" s="549" t="s">
        <v>207</v>
      </c>
      <c r="F194" s="566" t="s">
        <v>84</v>
      </c>
      <c r="G194" s="574" t="s">
        <v>209</v>
      </c>
      <c r="H194" s="580">
        <v>24727394.741709828</v>
      </c>
      <c r="I194" s="591">
        <v>44098</v>
      </c>
      <c r="J194" s="626">
        <f t="shared" ca="1" si="34"/>
        <v>322</v>
      </c>
      <c r="K194" s="600" t="str">
        <f t="shared" ca="1" si="35"/>
        <v/>
      </c>
      <c r="L194" s="600" t="str">
        <f t="shared" ca="1" si="36"/>
        <v/>
      </c>
      <c r="M194" s="601" t="str">
        <f t="shared" ca="1" si="37"/>
        <v/>
      </c>
      <c r="N194" s="600" t="str">
        <f t="shared" ca="1" si="38"/>
        <v/>
      </c>
      <c r="O194" s="600">
        <f t="shared" ca="1" si="39"/>
        <v>24727394.741709828</v>
      </c>
      <c r="P194" s="600" t="str">
        <f t="shared" ca="1" si="40"/>
        <v/>
      </c>
    </row>
    <row r="195" spans="2:16">
      <c r="B195" s="617">
        <v>10000576</v>
      </c>
      <c r="C195" s="621" t="s">
        <v>10</v>
      </c>
      <c r="D195" s="565" t="s">
        <v>73</v>
      </c>
      <c r="E195" s="552" t="s">
        <v>212</v>
      </c>
      <c r="F195" s="570" t="s">
        <v>286</v>
      </c>
      <c r="G195" s="574">
        <v>44084</v>
      </c>
      <c r="H195" s="580">
        <v>28414953.358708858</v>
      </c>
      <c r="I195" s="592">
        <v>44129</v>
      </c>
      <c r="J195" s="626">
        <f t="shared" ca="1" si="34"/>
        <v>291</v>
      </c>
      <c r="K195" s="600" t="str">
        <f t="shared" ca="1" si="35"/>
        <v/>
      </c>
      <c r="L195" s="600" t="str">
        <f t="shared" ca="1" si="36"/>
        <v/>
      </c>
      <c r="M195" s="601" t="str">
        <f t="shared" ca="1" si="37"/>
        <v/>
      </c>
      <c r="N195" s="600" t="str">
        <f t="shared" ca="1" si="38"/>
        <v/>
      </c>
      <c r="O195" s="600">
        <f t="shared" ca="1" si="39"/>
        <v>28414953.358708858</v>
      </c>
      <c r="P195" s="600" t="str">
        <f t="shared" ca="1" si="40"/>
        <v/>
      </c>
    </row>
    <row r="196" spans="2:16">
      <c r="B196" s="617">
        <v>10000576</v>
      </c>
      <c r="C196" s="621" t="s">
        <v>10</v>
      </c>
      <c r="D196" s="565" t="s">
        <v>73</v>
      </c>
      <c r="E196" s="549" t="s">
        <v>214</v>
      </c>
      <c r="F196" s="566" t="s">
        <v>775</v>
      </c>
      <c r="G196" s="574">
        <v>43962</v>
      </c>
      <c r="H196" s="580">
        <v>215212548.81589016</v>
      </c>
      <c r="I196" s="591">
        <v>44157</v>
      </c>
      <c r="J196" s="626">
        <f t="shared" ca="1" si="34"/>
        <v>263</v>
      </c>
      <c r="K196" s="600" t="str">
        <f t="shared" ca="1" si="35"/>
        <v/>
      </c>
      <c r="L196" s="600" t="str">
        <f t="shared" ca="1" si="36"/>
        <v/>
      </c>
      <c r="M196" s="601" t="str">
        <f t="shared" ca="1" si="37"/>
        <v/>
      </c>
      <c r="N196" s="600" t="str">
        <f t="shared" ca="1" si="38"/>
        <v/>
      </c>
      <c r="O196" s="600">
        <f t="shared" ca="1" si="39"/>
        <v>215212548.81589016</v>
      </c>
      <c r="P196" s="600" t="str">
        <f t="shared" ca="1" si="40"/>
        <v/>
      </c>
    </row>
    <row r="197" spans="2:16">
      <c r="B197" s="617">
        <v>10000576</v>
      </c>
      <c r="C197" s="621" t="s">
        <v>10</v>
      </c>
      <c r="D197" s="565" t="s">
        <v>73</v>
      </c>
      <c r="E197" s="549" t="s">
        <v>218</v>
      </c>
      <c r="F197" s="566" t="s">
        <v>289</v>
      </c>
      <c r="G197" s="574">
        <v>44024</v>
      </c>
      <c r="H197" s="580">
        <v>318417874.56501925</v>
      </c>
      <c r="I197" s="591">
        <v>44208</v>
      </c>
      <c r="J197" s="626">
        <f t="shared" ca="1" si="34"/>
        <v>212</v>
      </c>
      <c r="K197" s="600" t="str">
        <f t="shared" ca="1" si="35"/>
        <v/>
      </c>
      <c r="L197" s="600" t="str">
        <f t="shared" ca="1" si="36"/>
        <v/>
      </c>
      <c r="M197" s="601" t="str">
        <f t="shared" ca="1" si="37"/>
        <v/>
      </c>
      <c r="N197" s="600" t="str">
        <f t="shared" ca="1" si="38"/>
        <v/>
      </c>
      <c r="O197" s="600">
        <f t="shared" ca="1" si="39"/>
        <v>318417874.56501925</v>
      </c>
      <c r="P197" s="600" t="str">
        <f t="shared" ca="1" si="40"/>
        <v/>
      </c>
    </row>
    <row r="198" spans="2:16">
      <c r="B198" s="617">
        <v>10000576</v>
      </c>
      <c r="C198" s="621" t="s">
        <v>10</v>
      </c>
      <c r="D198" s="565" t="s">
        <v>73</v>
      </c>
      <c r="E198" s="552" t="s">
        <v>219</v>
      </c>
      <c r="F198" s="570" t="s">
        <v>777</v>
      </c>
      <c r="G198" s="574">
        <v>44531</v>
      </c>
      <c r="H198" s="580">
        <v>292102710.28262019</v>
      </c>
      <c r="I198" s="592">
        <v>44223</v>
      </c>
      <c r="J198" s="626">
        <f t="shared" ca="1" si="34"/>
        <v>197</v>
      </c>
      <c r="K198" s="600" t="str">
        <f t="shared" ca="1" si="35"/>
        <v/>
      </c>
      <c r="L198" s="600" t="str">
        <f t="shared" ca="1" si="36"/>
        <v/>
      </c>
      <c r="M198" s="601" t="str">
        <f t="shared" ca="1" si="37"/>
        <v/>
      </c>
      <c r="N198" s="600" t="str">
        <f t="shared" ca="1" si="38"/>
        <v/>
      </c>
      <c r="O198" s="600">
        <f t="shared" ca="1" si="39"/>
        <v>292102710.28262019</v>
      </c>
      <c r="P198" s="600" t="str">
        <f t="shared" ca="1" si="40"/>
        <v/>
      </c>
    </row>
    <row r="199" spans="2:16">
      <c r="B199" s="617">
        <v>10000576</v>
      </c>
      <c r="C199" s="621" t="s">
        <v>10</v>
      </c>
      <c r="D199" s="565" t="s">
        <v>73</v>
      </c>
      <c r="E199" s="549" t="s">
        <v>221</v>
      </c>
      <c r="F199" s="566" t="s">
        <v>74</v>
      </c>
      <c r="G199" s="574">
        <v>44471</v>
      </c>
      <c r="H199" s="580">
        <v>335935163.8164286</v>
      </c>
      <c r="I199" s="591">
        <v>44259</v>
      </c>
      <c r="J199" s="626">
        <f t="shared" ca="1" si="34"/>
        <v>161</v>
      </c>
      <c r="K199" s="600" t="str">
        <f t="shared" ca="1" si="35"/>
        <v/>
      </c>
      <c r="L199" s="600" t="str">
        <f t="shared" ca="1" si="36"/>
        <v/>
      </c>
      <c r="M199" s="601" t="str">
        <f t="shared" ca="1" si="37"/>
        <v/>
      </c>
      <c r="N199" s="600">
        <f t="shared" ca="1" si="38"/>
        <v>335935163.8164286</v>
      </c>
      <c r="O199" s="600" t="str">
        <f t="shared" ca="1" si="39"/>
        <v/>
      </c>
      <c r="P199" s="600" t="str">
        <f t="shared" ca="1" si="40"/>
        <v/>
      </c>
    </row>
    <row r="200" spans="2:16">
      <c r="B200" s="617">
        <v>10000576</v>
      </c>
      <c r="C200" s="621" t="s">
        <v>10</v>
      </c>
      <c r="D200" s="565" t="s">
        <v>73</v>
      </c>
      <c r="E200" s="549" t="s">
        <v>222</v>
      </c>
      <c r="F200" s="566" t="s">
        <v>296</v>
      </c>
      <c r="G200" s="574">
        <v>44319</v>
      </c>
      <c r="H200" s="580">
        <v>407485660.25241506</v>
      </c>
      <c r="I200" s="591">
        <v>44275</v>
      </c>
      <c r="J200" s="626">
        <f t="shared" ca="1" si="34"/>
        <v>145</v>
      </c>
      <c r="K200" s="600" t="str">
        <f t="shared" ca="1" si="35"/>
        <v/>
      </c>
      <c r="L200" s="600" t="str">
        <f t="shared" ca="1" si="36"/>
        <v/>
      </c>
      <c r="M200" s="601" t="str">
        <f t="shared" ca="1" si="37"/>
        <v/>
      </c>
      <c r="N200" s="600">
        <f t="shared" ca="1" si="38"/>
        <v>407485660.25241506</v>
      </c>
      <c r="O200" s="600" t="str">
        <f t="shared" ca="1" si="39"/>
        <v/>
      </c>
      <c r="P200" s="600" t="str">
        <f t="shared" ca="1" si="40"/>
        <v/>
      </c>
    </row>
    <row r="201" spans="2:16">
      <c r="B201" s="617"/>
      <c r="C201" s="621"/>
      <c r="D201" s="565"/>
      <c r="E201" s="552"/>
      <c r="F201" s="570"/>
      <c r="G201" s="574"/>
      <c r="H201" s="580"/>
      <c r="I201" s="592"/>
      <c r="J201" s="626"/>
      <c r="K201" s="600" t="str">
        <f t="shared" si="35"/>
        <v/>
      </c>
      <c r="L201" s="600" t="str">
        <f t="shared" si="36"/>
        <v/>
      </c>
      <c r="M201" s="601" t="str">
        <f t="shared" si="37"/>
        <v/>
      </c>
      <c r="N201" s="600" t="str">
        <f t="shared" si="38"/>
        <v/>
      </c>
      <c r="O201" s="600" t="str">
        <f t="shared" si="39"/>
        <v/>
      </c>
      <c r="P201" s="600" t="str">
        <f t="shared" si="40"/>
        <v/>
      </c>
    </row>
    <row r="202" spans="2:16">
      <c r="B202" s="617"/>
      <c r="C202" s="621"/>
      <c r="D202" s="565"/>
      <c r="E202" s="549"/>
      <c r="F202" s="566"/>
      <c r="G202" s="574"/>
      <c r="H202" s="580"/>
      <c r="I202" s="591"/>
      <c r="J202" s="626"/>
      <c r="K202" s="600" t="str">
        <f t="shared" si="35"/>
        <v/>
      </c>
      <c r="L202" s="600" t="str">
        <f t="shared" si="36"/>
        <v/>
      </c>
      <c r="M202" s="601" t="str">
        <f t="shared" si="37"/>
        <v/>
      </c>
      <c r="N202" s="600" t="str">
        <f t="shared" si="38"/>
        <v/>
      </c>
      <c r="O202" s="600" t="str">
        <f t="shared" si="39"/>
        <v/>
      </c>
      <c r="P202" s="600" t="str">
        <f t="shared" si="40"/>
        <v/>
      </c>
    </row>
    <row r="203" spans="2:16">
      <c r="B203" s="617"/>
      <c r="C203" s="621"/>
      <c r="D203" s="565"/>
      <c r="E203" s="549"/>
      <c r="F203" s="566"/>
      <c r="G203" s="574"/>
      <c r="H203" s="580"/>
      <c r="I203" s="591"/>
      <c r="J203" s="626"/>
      <c r="K203" s="600" t="str">
        <f t="shared" si="35"/>
        <v/>
      </c>
      <c r="L203" s="600" t="str">
        <f t="shared" si="36"/>
        <v/>
      </c>
      <c r="M203" s="601" t="str">
        <f t="shared" si="37"/>
        <v/>
      </c>
      <c r="N203" s="600" t="str">
        <f t="shared" si="38"/>
        <v/>
      </c>
      <c r="O203" s="600" t="str">
        <f t="shared" si="39"/>
        <v/>
      </c>
      <c r="P203" s="600" t="str">
        <f t="shared" si="40"/>
        <v/>
      </c>
    </row>
    <row r="204" spans="2:16">
      <c r="B204" s="617">
        <v>10000585</v>
      </c>
      <c r="C204" s="621" t="s">
        <v>10</v>
      </c>
      <c r="D204" s="565" t="s">
        <v>75</v>
      </c>
      <c r="E204" s="552" t="s">
        <v>1269</v>
      </c>
      <c r="F204" s="570" t="s">
        <v>550</v>
      </c>
      <c r="G204" s="574">
        <v>41436</v>
      </c>
      <c r="H204" s="580">
        <v>100058835.78999999</v>
      </c>
      <c r="I204" s="592">
        <v>41619</v>
      </c>
      <c r="J204" s="626">
        <f t="shared" ca="1" si="34"/>
        <v>2801</v>
      </c>
      <c r="K204" s="600" t="str">
        <f t="shared" ca="1" si="35"/>
        <v/>
      </c>
      <c r="L204" s="600" t="str">
        <f t="shared" ca="1" si="36"/>
        <v/>
      </c>
      <c r="M204" s="601" t="str">
        <f t="shared" ca="1" si="37"/>
        <v/>
      </c>
      <c r="N204" s="600" t="str">
        <f t="shared" ca="1" si="38"/>
        <v/>
      </c>
      <c r="O204" s="600" t="str">
        <f t="shared" ca="1" si="39"/>
        <v/>
      </c>
      <c r="P204" s="600">
        <f t="shared" ca="1" si="40"/>
        <v>100058835.78999999</v>
      </c>
    </row>
    <row r="205" spans="2:16">
      <c r="B205" s="617">
        <v>10000585</v>
      </c>
      <c r="C205" s="621" t="s">
        <v>10</v>
      </c>
      <c r="D205" s="565" t="s">
        <v>75</v>
      </c>
      <c r="E205" s="549" t="s">
        <v>1270</v>
      </c>
      <c r="F205" s="566" t="s">
        <v>113</v>
      </c>
      <c r="G205" s="574">
        <v>41620</v>
      </c>
      <c r="H205" s="580">
        <v>104419963.16999999</v>
      </c>
      <c r="I205" s="591">
        <v>41654</v>
      </c>
      <c r="J205" s="626">
        <f t="shared" ca="1" si="34"/>
        <v>2766</v>
      </c>
      <c r="K205" s="600" t="str">
        <f t="shared" ca="1" si="35"/>
        <v/>
      </c>
      <c r="L205" s="600" t="str">
        <f t="shared" ca="1" si="36"/>
        <v/>
      </c>
      <c r="M205" s="601" t="str">
        <f t="shared" ca="1" si="37"/>
        <v/>
      </c>
      <c r="N205" s="600" t="str">
        <f t="shared" ca="1" si="38"/>
        <v/>
      </c>
      <c r="O205" s="600" t="str">
        <f t="shared" ca="1" si="39"/>
        <v/>
      </c>
      <c r="P205" s="600">
        <f t="shared" ca="1" si="40"/>
        <v>104419963.16999999</v>
      </c>
    </row>
    <row r="206" spans="2:16">
      <c r="B206" s="617">
        <v>10000585</v>
      </c>
      <c r="C206" s="621" t="s">
        <v>10</v>
      </c>
      <c r="D206" s="565" t="s">
        <v>75</v>
      </c>
      <c r="E206" s="549" t="s">
        <v>1273</v>
      </c>
      <c r="F206" s="566" t="s">
        <v>229</v>
      </c>
      <c r="G206" s="574">
        <v>41821</v>
      </c>
      <c r="H206" s="580">
        <v>185750491.53</v>
      </c>
      <c r="I206" s="591">
        <v>41687</v>
      </c>
      <c r="J206" s="626">
        <f t="shared" ca="1" si="34"/>
        <v>2733</v>
      </c>
      <c r="K206" s="600" t="str">
        <f t="shared" ca="1" si="35"/>
        <v/>
      </c>
      <c r="L206" s="600" t="str">
        <f t="shared" ca="1" si="36"/>
        <v/>
      </c>
      <c r="M206" s="601" t="str">
        <f t="shared" ca="1" si="37"/>
        <v/>
      </c>
      <c r="N206" s="600" t="str">
        <f t="shared" ca="1" si="38"/>
        <v/>
      </c>
      <c r="O206" s="600" t="str">
        <f t="shared" ca="1" si="39"/>
        <v/>
      </c>
      <c r="P206" s="600">
        <f t="shared" ca="1" si="40"/>
        <v>185750491.53</v>
      </c>
    </row>
    <row r="207" spans="2:16">
      <c r="B207" s="617">
        <v>10000585</v>
      </c>
      <c r="C207" s="621" t="s">
        <v>10</v>
      </c>
      <c r="D207" s="565" t="s">
        <v>75</v>
      </c>
      <c r="E207" s="552" t="s">
        <v>1276</v>
      </c>
      <c r="F207" s="570" t="s">
        <v>33</v>
      </c>
      <c r="G207" s="574">
        <v>41856</v>
      </c>
      <c r="H207" s="580">
        <v>99988367.909999996</v>
      </c>
      <c r="I207" s="592">
        <v>41806</v>
      </c>
      <c r="J207" s="626">
        <f t="shared" ca="1" si="34"/>
        <v>2614</v>
      </c>
      <c r="K207" s="600" t="str">
        <f t="shared" ca="1" si="35"/>
        <v/>
      </c>
      <c r="L207" s="600" t="str">
        <f t="shared" ca="1" si="36"/>
        <v/>
      </c>
      <c r="M207" s="601" t="str">
        <f t="shared" ca="1" si="37"/>
        <v/>
      </c>
      <c r="N207" s="600" t="str">
        <f t="shared" ca="1" si="38"/>
        <v/>
      </c>
      <c r="O207" s="600" t="str">
        <f t="shared" ca="1" si="39"/>
        <v/>
      </c>
      <c r="P207" s="600">
        <f t="shared" ca="1" si="40"/>
        <v>99988367.909999996</v>
      </c>
    </row>
    <row r="208" spans="2:16">
      <c r="B208" s="617">
        <v>10000585</v>
      </c>
      <c r="C208" s="621" t="s">
        <v>10</v>
      </c>
      <c r="D208" s="565" t="s">
        <v>75</v>
      </c>
      <c r="E208" s="549" t="s">
        <v>1279</v>
      </c>
      <c r="F208" s="566" t="s">
        <v>241</v>
      </c>
      <c r="G208" s="574">
        <v>41949</v>
      </c>
      <c r="H208" s="580">
        <v>98163955.280000001</v>
      </c>
      <c r="I208" s="591">
        <v>41842</v>
      </c>
      <c r="J208" s="626">
        <f t="shared" ca="1" si="34"/>
        <v>2578</v>
      </c>
      <c r="K208" s="600" t="str">
        <f t="shared" ca="1" si="35"/>
        <v/>
      </c>
      <c r="L208" s="600" t="str">
        <f t="shared" ca="1" si="36"/>
        <v/>
      </c>
      <c r="M208" s="601" t="str">
        <f t="shared" ca="1" si="37"/>
        <v/>
      </c>
      <c r="N208" s="600" t="str">
        <f t="shared" ca="1" si="38"/>
        <v/>
      </c>
      <c r="O208" s="600" t="str">
        <f t="shared" ca="1" si="39"/>
        <v/>
      </c>
      <c r="P208" s="600">
        <f t="shared" ca="1" si="40"/>
        <v>98163955.280000001</v>
      </c>
    </row>
    <row r="209" spans="2:16">
      <c r="B209" s="617">
        <v>10000585</v>
      </c>
      <c r="C209" s="621" t="s">
        <v>10</v>
      </c>
      <c r="D209" s="565" t="s">
        <v>75</v>
      </c>
      <c r="E209" s="549" t="s">
        <v>1282</v>
      </c>
      <c r="F209" s="566" t="s">
        <v>244</v>
      </c>
      <c r="G209" s="574">
        <v>41889</v>
      </c>
      <c r="H209" s="580">
        <v>175123770.77000001</v>
      </c>
      <c r="I209" s="591">
        <v>41866</v>
      </c>
      <c r="J209" s="626">
        <f t="shared" ca="1" si="34"/>
        <v>2554</v>
      </c>
      <c r="K209" s="600" t="str">
        <f t="shared" ca="1" si="35"/>
        <v/>
      </c>
      <c r="L209" s="600" t="str">
        <f t="shared" ca="1" si="36"/>
        <v/>
      </c>
      <c r="M209" s="601" t="str">
        <f t="shared" ca="1" si="37"/>
        <v/>
      </c>
      <c r="N209" s="600" t="str">
        <f t="shared" ca="1" si="38"/>
        <v/>
      </c>
      <c r="O209" s="600" t="str">
        <f t="shared" ca="1" si="39"/>
        <v/>
      </c>
      <c r="P209" s="600">
        <f t="shared" ca="1" si="40"/>
        <v>175123770.77000001</v>
      </c>
    </row>
    <row r="210" spans="2:16">
      <c r="B210" s="617">
        <v>10000585</v>
      </c>
      <c r="C210" s="621" t="s">
        <v>10</v>
      </c>
      <c r="D210" s="565" t="s">
        <v>75</v>
      </c>
      <c r="E210" s="552" t="s">
        <v>1285</v>
      </c>
      <c r="F210" s="570" t="s">
        <v>57</v>
      </c>
      <c r="G210" s="574" t="s">
        <v>2219</v>
      </c>
      <c r="H210" s="580">
        <v>23354766.840000004</v>
      </c>
      <c r="I210" s="592">
        <v>41894</v>
      </c>
      <c r="J210" s="626">
        <f t="shared" ca="1" si="34"/>
        <v>2526</v>
      </c>
      <c r="K210" s="600" t="str">
        <f t="shared" ca="1" si="35"/>
        <v/>
      </c>
      <c r="L210" s="600" t="str">
        <f t="shared" ca="1" si="36"/>
        <v/>
      </c>
      <c r="M210" s="601" t="str">
        <f t="shared" ca="1" si="37"/>
        <v/>
      </c>
      <c r="N210" s="600" t="str">
        <f t="shared" ca="1" si="38"/>
        <v/>
      </c>
      <c r="O210" s="600" t="str">
        <f t="shared" ca="1" si="39"/>
        <v/>
      </c>
      <c r="P210" s="600">
        <f t="shared" ca="1" si="40"/>
        <v>23354766.840000004</v>
      </c>
    </row>
    <row r="211" spans="2:16">
      <c r="B211" s="617">
        <v>10000585</v>
      </c>
      <c r="C211" s="621" t="s">
        <v>10</v>
      </c>
      <c r="D211" s="565" t="s">
        <v>75</v>
      </c>
      <c r="E211" s="549" t="s">
        <v>1287</v>
      </c>
      <c r="F211" s="566" t="s">
        <v>249</v>
      </c>
      <c r="G211" s="574">
        <v>41921</v>
      </c>
      <c r="H211" s="580">
        <v>145566874.25999999</v>
      </c>
      <c r="I211" s="591">
        <v>41923</v>
      </c>
      <c r="J211" s="626">
        <f t="shared" ca="1" si="34"/>
        <v>2497</v>
      </c>
      <c r="K211" s="600" t="str">
        <f t="shared" ca="1" si="35"/>
        <v/>
      </c>
      <c r="L211" s="600" t="str">
        <f t="shared" ca="1" si="36"/>
        <v/>
      </c>
      <c r="M211" s="601" t="str">
        <f t="shared" ca="1" si="37"/>
        <v/>
      </c>
      <c r="N211" s="600" t="str">
        <f t="shared" ca="1" si="38"/>
        <v/>
      </c>
      <c r="O211" s="600" t="str">
        <f t="shared" ca="1" si="39"/>
        <v/>
      </c>
      <c r="P211" s="600">
        <f t="shared" ca="1" si="40"/>
        <v>145566874.25999999</v>
      </c>
    </row>
    <row r="212" spans="2:16">
      <c r="B212" s="617"/>
      <c r="C212" s="621"/>
      <c r="D212" s="565"/>
      <c r="E212" s="549"/>
      <c r="F212" s="566"/>
      <c r="G212" s="574"/>
      <c r="H212" s="580"/>
      <c r="I212" s="591"/>
      <c r="J212" s="626"/>
      <c r="K212" s="600" t="str">
        <f t="shared" si="35"/>
        <v/>
      </c>
      <c r="L212" s="600" t="str">
        <f t="shared" si="36"/>
        <v/>
      </c>
      <c r="M212" s="601" t="str">
        <f t="shared" si="37"/>
        <v/>
      </c>
      <c r="N212" s="600" t="str">
        <f t="shared" si="38"/>
        <v/>
      </c>
      <c r="O212" s="600" t="str">
        <f t="shared" si="39"/>
        <v/>
      </c>
      <c r="P212" s="600" t="str">
        <f t="shared" si="40"/>
        <v/>
      </c>
    </row>
    <row r="213" spans="2:16">
      <c r="B213" s="617"/>
      <c r="C213" s="621"/>
      <c r="D213" s="565"/>
      <c r="E213" s="552"/>
      <c r="F213" s="570"/>
      <c r="G213" s="574"/>
      <c r="H213" s="580"/>
      <c r="I213" s="592"/>
      <c r="J213" s="626"/>
      <c r="K213" s="600" t="str">
        <f t="shared" si="35"/>
        <v/>
      </c>
      <c r="L213" s="600" t="str">
        <f t="shared" si="36"/>
        <v/>
      </c>
      <c r="M213" s="601" t="str">
        <f t="shared" si="37"/>
        <v/>
      </c>
      <c r="N213" s="600" t="str">
        <f t="shared" si="38"/>
        <v/>
      </c>
      <c r="O213" s="600" t="str">
        <f t="shared" si="39"/>
        <v/>
      </c>
      <c r="P213" s="600" t="str">
        <f t="shared" si="40"/>
        <v/>
      </c>
    </row>
    <row r="214" spans="2:16">
      <c r="B214" s="617"/>
      <c r="C214" s="621"/>
      <c r="D214" s="565"/>
      <c r="E214" s="549"/>
      <c r="F214" s="566"/>
      <c r="G214" s="574"/>
      <c r="H214" s="580"/>
      <c r="I214" s="591"/>
      <c r="J214" s="626"/>
      <c r="K214" s="600" t="str">
        <f t="shared" si="35"/>
        <v/>
      </c>
      <c r="L214" s="600" t="str">
        <f t="shared" si="36"/>
        <v/>
      </c>
      <c r="M214" s="601" t="str">
        <f t="shared" si="37"/>
        <v/>
      </c>
      <c r="N214" s="600" t="str">
        <f t="shared" si="38"/>
        <v/>
      </c>
      <c r="O214" s="600" t="str">
        <f t="shared" si="39"/>
        <v/>
      </c>
      <c r="P214" s="600" t="str">
        <f t="shared" si="40"/>
        <v/>
      </c>
    </row>
    <row r="215" spans="2:16">
      <c r="B215" s="617">
        <v>10013009</v>
      </c>
      <c r="C215" s="621" t="s">
        <v>10</v>
      </c>
      <c r="D215" s="565" t="s">
        <v>76</v>
      </c>
      <c r="E215" s="549"/>
      <c r="F215" s="566"/>
      <c r="G215" s="574"/>
      <c r="H215" s="580"/>
      <c r="I215" s="591"/>
      <c r="J215" s="626"/>
      <c r="K215" s="600" t="str">
        <f t="shared" si="35"/>
        <v/>
      </c>
      <c r="L215" s="600" t="str">
        <f t="shared" si="36"/>
        <v/>
      </c>
      <c r="M215" s="601" t="str">
        <f t="shared" si="37"/>
        <v/>
      </c>
      <c r="N215" s="600" t="str">
        <f t="shared" si="38"/>
        <v/>
      </c>
      <c r="O215" s="600" t="str">
        <f t="shared" si="39"/>
        <v/>
      </c>
      <c r="P215" s="600" t="str">
        <f t="shared" si="40"/>
        <v/>
      </c>
    </row>
    <row r="216" spans="2:16">
      <c r="B216" s="617">
        <v>10013009</v>
      </c>
      <c r="C216" s="621" t="s">
        <v>10</v>
      </c>
      <c r="D216" s="565" t="s">
        <v>76</v>
      </c>
      <c r="E216" s="552" t="s">
        <v>136</v>
      </c>
      <c r="F216" s="570"/>
      <c r="G216" s="574"/>
      <c r="H216" s="580">
        <v>1630332456.6400003</v>
      </c>
      <c r="I216" s="592"/>
      <c r="J216" s="626"/>
      <c r="K216" s="600" t="str">
        <f t="shared" si="35"/>
        <v/>
      </c>
      <c r="L216" s="600" t="str">
        <f t="shared" si="36"/>
        <v/>
      </c>
      <c r="M216" s="601" t="str">
        <f t="shared" si="37"/>
        <v/>
      </c>
      <c r="N216" s="600" t="str">
        <f t="shared" si="38"/>
        <v/>
      </c>
      <c r="O216" s="600" t="str">
        <f t="shared" si="39"/>
        <v/>
      </c>
      <c r="P216" s="600" t="str">
        <f t="shared" si="40"/>
        <v/>
      </c>
    </row>
    <row r="217" spans="2:16">
      <c r="B217" s="617">
        <v>10013009</v>
      </c>
      <c r="C217" s="621" t="s">
        <v>10</v>
      </c>
      <c r="D217" s="565" t="s">
        <v>76</v>
      </c>
      <c r="E217" s="549" t="s">
        <v>500</v>
      </c>
      <c r="F217" s="566" t="s">
        <v>1299</v>
      </c>
      <c r="G217" s="574">
        <v>42958</v>
      </c>
      <c r="H217" s="580">
        <v>457368361.08999991</v>
      </c>
      <c r="I217" s="591">
        <f>G217+30</f>
        <v>42988</v>
      </c>
      <c r="J217" s="626">
        <f t="shared" ca="1" si="34"/>
        <v>1432</v>
      </c>
      <c r="K217" s="600" t="str">
        <f t="shared" ca="1" si="35"/>
        <v/>
      </c>
      <c r="L217" s="600" t="str">
        <f t="shared" ca="1" si="36"/>
        <v/>
      </c>
      <c r="M217" s="601" t="str">
        <f t="shared" ca="1" si="37"/>
        <v/>
      </c>
      <c r="N217" s="600" t="str">
        <f t="shared" ca="1" si="38"/>
        <v/>
      </c>
      <c r="O217" s="600" t="str">
        <f t="shared" ca="1" si="39"/>
        <v/>
      </c>
      <c r="P217" s="600">
        <f t="shared" ca="1" si="40"/>
        <v>457368361.08999991</v>
      </c>
    </row>
    <row r="218" spans="2:16">
      <c r="B218" s="617">
        <v>10013009</v>
      </c>
      <c r="C218" s="621" t="s">
        <v>10</v>
      </c>
      <c r="D218" s="565" t="s">
        <v>76</v>
      </c>
      <c r="E218" s="549" t="s">
        <v>231</v>
      </c>
      <c r="F218" s="566" t="s">
        <v>1305</v>
      </c>
      <c r="G218" s="574">
        <v>43377</v>
      </c>
      <c r="H218" s="580">
        <v>533152330.85618758</v>
      </c>
      <c r="I218" s="591">
        <f>G218+30</f>
        <v>43407</v>
      </c>
      <c r="J218" s="626">
        <f t="shared" ca="1" si="34"/>
        <v>1013</v>
      </c>
      <c r="K218" s="600" t="str">
        <f t="shared" ca="1" si="35"/>
        <v/>
      </c>
      <c r="L218" s="600" t="str">
        <f t="shared" ca="1" si="36"/>
        <v/>
      </c>
      <c r="M218" s="601" t="str">
        <f t="shared" ca="1" si="37"/>
        <v/>
      </c>
      <c r="N218" s="600" t="str">
        <f t="shared" ca="1" si="38"/>
        <v/>
      </c>
      <c r="O218" s="600" t="str">
        <f t="shared" ca="1" si="39"/>
        <v/>
      </c>
      <c r="P218" s="600">
        <f t="shared" ca="1" si="40"/>
        <v>533152330.85618758</v>
      </c>
    </row>
    <row r="219" spans="2:16">
      <c r="B219" s="617">
        <v>10013009</v>
      </c>
      <c r="C219" s="621" t="s">
        <v>10</v>
      </c>
      <c r="D219" s="565" t="s">
        <v>76</v>
      </c>
      <c r="E219" s="552" t="s">
        <v>246</v>
      </c>
      <c r="F219" s="570" t="s">
        <v>1311</v>
      </c>
      <c r="G219" s="574">
        <v>43353</v>
      </c>
      <c r="H219" s="580">
        <v>29595053.228115559</v>
      </c>
      <c r="I219" s="592">
        <v>43418</v>
      </c>
      <c r="J219" s="626">
        <f t="shared" ca="1" si="34"/>
        <v>1002</v>
      </c>
      <c r="K219" s="600" t="str">
        <f t="shared" ca="1" si="35"/>
        <v/>
      </c>
      <c r="L219" s="600" t="str">
        <f t="shared" ca="1" si="36"/>
        <v/>
      </c>
      <c r="M219" s="601" t="str">
        <f t="shared" ca="1" si="37"/>
        <v/>
      </c>
      <c r="N219" s="600" t="str">
        <f t="shared" ca="1" si="38"/>
        <v/>
      </c>
      <c r="O219" s="600" t="str">
        <f t="shared" ca="1" si="39"/>
        <v/>
      </c>
      <c r="P219" s="600">
        <f t="shared" ca="1" si="40"/>
        <v>29595053.228115559</v>
      </c>
    </row>
    <row r="220" spans="2:16">
      <c r="B220" s="617">
        <v>10013009</v>
      </c>
      <c r="C220" s="621" t="s">
        <v>10</v>
      </c>
      <c r="D220" s="565" t="s">
        <v>76</v>
      </c>
      <c r="E220" s="549" t="s">
        <v>191</v>
      </c>
      <c r="F220" s="566" t="s">
        <v>860</v>
      </c>
      <c r="G220" s="574">
        <v>43986</v>
      </c>
      <c r="H220" s="580">
        <v>186073044.64438415</v>
      </c>
      <c r="I220" s="591">
        <v>44140</v>
      </c>
      <c r="J220" s="626">
        <f t="shared" ca="1" si="34"/>
        <v>280</v>
      </c>
      <c r="K220" s="600" t="str">
        <f t="shared" ca="1" si="35"/>
        <v/>
      </c>
      <c r="L220" s="600" t="str">
        <f t="shared" ca="1" si="36"/>
        <v/>
      </c>
      <c r="M220" s="601" t="str">
        <f t="shared" ca="1" si="37"/>
        <v/>
      </c>
      <c r="N220" s="600" t="str">
        <f t="shared" ca="1" si="38"/>
        <v/>
      </c>
      <c r="O220" s="600">
        <f t="shared" ca="1" si="39"/>
        <v>186073044.64438415</v>
      </c>
      <c r="P220" s="600" t="str">
        <f t="shared" ca="1" si="40"/>
        <v/>
      </c>
    </row>
    <row r="221" spans="2:16">
      <c r="B221" s="617"/>
      <c r="C221" s="621"/>
      <c r="D221" s="565"/>
      <c r="E221" s="549"/>
      <c r="F221" s="566"/>
      <c r="G221" s="574"/>
      <c r="H221" s="580"/>
      <c r="I221" s="591"/>
      <c r="J221" s="626"/>
      <c r="K221" s="600" t="str">
        <f t="shared" si="35"/>
        <v/>
      </c>
      <c r="L221" s="600" t="str">
        <f t="shared" si="36"/>
        <v/>
      </c>
      <c r="M221" s="601" t="str">
        <f t="shared" si="37"/>
        <v/>
      </c>
      <c r="N221" s="600" t="str">
        <f t="shared" si="38"/>
        <v/>
      </c>
      <c r="O221" s="600" t="str">
        <f t="shared" si="39"/>
        <v/>
      </c>
      <c r="P221" s="600" t="str">
        <f t="shared" si="40"/>
        <v/>
      </c>
    </row>
    <row r="222" spans="2:16">
      <c r="B222" s="617"/>
      <c r="C222" s="621"/>
      <c r="D222" s="565"/>
      <c r="E222" s="552"/>
      <c r="F222" s="570"/>
      <c r="G222" s="574"/>
      <c r="H222" s="580"/>
      <c r="I222" s="592"/>
      <c r="J222" s="626"/>
      <c r="K222" s="600" t="str">
        <f t="shared" si="35"/>
        <v/>
      </c>
      <c r="L222" s="600" t="str">
        <f t="shared" si="36"/>
        <v/>
      </c>
      <c r="M222" s="601" t="str">
        <f t="shared" si="37"/>
        <v/>
      </c>
      <c r="N222" s="600" t="str">
        <f t="shared" si="38"/>
        <v/>
      </c>
      <c r="O222" s="600" t="str">
        <f t="shared" si="39"/>
        <v/>
      </c>
      <c r="P222" s="600" t="str">
        <f t="shared" si="40"/>
        <v/>
      </c>
    </row>
    <row r="223" spans="2:16">
      <c r="B223" s="617"/>
      <c r="C223" s="621"/>
      <c r="D223" s="565"/>
      <c r="E223" s="549"/>
      <c r="F223" s="566"/>
      <c r="G223" s="574"/>
      <c r="H223" s="580"/>
      <c r="I223" s="591"/>
      <c r="J223" s="626"/>
      <c r="K223" s="600" t="str">
        <f t="shared" si="35"/>
        <v/>
      </c>
      <c r="L223" s="600" t="str">
        <f t="shared" si="36"/>
        <v/>
      </c>
      <c r="M223" s="601" t="str">
        <f t="shared" si="37"/>
        <v/>
      </c>
      <c r="N223" s="600" t="str">
        <f t="shared" si="38"/>
        <v/>
      </c>
      <c r="O223" s="600" t="str">
        <f t="shared" si="39"/>
        <v/>
      </c>
      <c r="P223" s="600" t="str">
        <f t="shared" si="40"/>
        <v/>
      </c>
    </row>
    <row r="224" spans="2:16">
      <c r="B224" s="617">
        <v>10010189</v>
      </c>
      <c r="C224" s="621" t="s">
        <v>10</v>
      </c>
      <c r="D224" s="565" t="s">
        <v>78</v>
      </c>
      <c r="E224" s="549" t="s">
        <v>136</v>
      </c>
      <c r="F224" s="566"/>
      <c r="G224" s="574"/>
      <c r="H224" s="580">
        <v>638689606.69073105</v>
      </c>
      <c r="I224" s="591"/>
      <c r="J224" s="626">
        <f t="shared" ca="1" si="34"/>
        <v>44420</v>
      </c>
      <c r="K224" s="600" t="str">
        <f t="shared" ca="1" si="35"/>
        <v/>
      </c>
      <c r="L224" s="600" t="str">
        <f t="shared" ca="1" si="36"/>
        <v/>
      </c>
      <c r="M224" s="601" t="str">
        <f t="shared" ca="1" si="37"/>
        <v/>
      </c>
      <c r="N224" s="600" t="str">
        <f t="shared" ca="1" si="38"/>
        <v/>
      </c>
      <c r="O224" s="600" t="str">
        <f t="shared" ca="1" si="39"/>
        <v/>
      </c>
      <c r="P224" s="600">
        <f t="shared" ca="1" si="40"/>
        <v>638689606.69073105</v>
      </c>
    </row>
    <row r="225" spans="2:16">
      <c r="B225" s="617"/>
      <c r="C225" s="621"/>
      <c r="D225" s="565"/>
      <c r="E225" s="552"/>
      <c r="F225" s="570"/>
      <c r="G225" s="574"/>
      <c r="H225" s="580"/>
      <c r="I225" s="592"/>
      <c r="J225" s="626"/>
      <c r="K225" s="600" t="str">
        <f t="shared" si="35"/>
        <v/>
      </c>
      <c r="L225" s="600" t="str">
        <f t="shared" si="36"/>
        <v/>
      </c>
      <c r="M225" s="601" t="str">
        <f t="shared" si="37"/>
        <v/>
      </c>
      <c r="N225" s="600" t="str">
        <f t="shared" si="38"/>
        <v/>
      </c>
      <c r="O225" s="600" t="str">
        <f t="shared" si="39"/>
        <v/>
      </c>
      <c r="P225" s="600" t="str">
        <f t="shared" si="40"/>
        <v/>
      </c>
    </row>
    <row r="226" spans="2:16">
      <c r="B226" s="617"/>
      <c r="C226" s="621"/>
      <c r="D226" s="565"/>
      <c r="E226" s="549"/>
      <c r="F226" s="566"/>
      <c r="G226" s="574"/>
      <c r="H226" s="580"/>
      <c r="I226" s="591"/>
      <c r="J226" s="626"/>
      <c r="K226" s="600" t="str">
        <f t="shared" si="35"/>
        <v/>
      </c>
      <c r="L226" s="600" t="str">
        <f t="shared" si="36"/>
        <v/>
      </c>
      <c r="M226" s="601" t="str">
        <f t="shared" si="37"/>
        <v/>
      </c>
      <c r="N226" s="600" t="str">
        <f t="shared" si="38"/>
        <v/>
      </c>
      <c r="O226" s="600" t="str">
        <f t="shared" si="39"/>
        <v/>
      </c>
      <c r="P226" s="600" t="str">
        <f t="shared" si="40"/>
        <v/>
      </c>
    </row>
    <row r="227" spans="2:16">
      <c r="B227" s="617">
        <v>10015067</v>
      </c>
      <c r="C227" s="621" t="s">
        <v>10</v>
      </c>
      <c r="D227" s="565" t="s">
        <v>79</v>
      </c>
      <c r="E227" s="549" t="s">
        <v>214</v>
      </c>
      <c r="F227" s="566" t="s">
        <v>140</v>
      </c>
      <c r="G227" s="574">
        <v>43933</v>
      </c>
      <c r="H227" s="580">
        <v>9404096.9006234258</v>
      </c>
      <c r="I227" s="591">
        <v>43834</v>
      </c>
      <c r="J227" s="626">
        <f t="shared" ca="1" si="34"/>
        <v>586</v>
      </c>
      <c r="K227" s="600" t="str">
        <f t="shared" ca="1" si="35"/>
        <v/>
      </c>
      <c r="L227" s="600" t="str">
        <f t="shared" ca="1" si="36"/>
        <v/>
      </c>
      <c r="M227" s="601" t="str">
        <f t="shared" ca="1" si="37"/>
        <v/>
      </c>
      <c r="N227" s="600" t="str">
        <f t="shared" ca="1" si="38"/>
        <v/>
      </c>
      <c r="O227" s="600" t="str">
        <f t="shared" ca="1" si="39"/>
        <v/>
      </c>
      <c r="P227" s="600">
        <f t="shared" ca="1" si="40"/>
        <v>9404096.9006234258</v>
      </c>
    </row>
    <row r="228" spans="2:16">
      <c r="B228" s="617">
        <v>10015067</v>
      </c>
      <c r="C228" s="621" t="s">
        <v>10</v>
      </c>
      <c r="D228" s="565" t="s">
        <v>79</v>
      </c>
      <c r="E228" s="552" t="s">
        <v>218</v>
      </c>
      <c r="F228" s="570" t="s">
        <v>120</v>
      </c>
      <c r="G228" s="574" t="s">
        <v>387</v>
      </c>
      <c r="H228" s="580">
        <v>7890912.890004375</v>
      </c>
      <c r="I228" s="592">
        <v>43847</v>
      </c>
      <c r="J228" s="626">
        <f t="shared" ca="1" si="34"/>
        <v>573</v>
      </c>
      <c r="K228" s="600" t="str">
        <f t="shared" ca="1" si="35"/>
        <v/>
      </c>
      <c r="L228" s="600" t="str">
        <f t="shared" ca="1" si="36"/>
        <v/>
      </c>
      <c r="M228" s="601" t="str">
        <f t="shared" ca="1" si="37"/>
        <v/>
      </c>
      <c r="N228" s="600" t="str">
        <f t="shared" ca="1" si="38"/>
        <v/>
      </c>
      <c r="O228" s="600" t="str">
        <f t="shared" ca="1" si="39"/>
        <v/>
      </c>
      <c r="P228" s="600">
        <f t="shared" ca="1" si="40"/>
        <v>7890912.890004375</v>
      </c>
    </row>
    <row r="229" spans="2:16">
      <c r="B229" s="617">
        <v>10015067</v>
      </c>
      <c r="C229" s="621" t="s">
        <v>10</v>
      </c>
      <c r="D229" s="565" t="s">
        <v>79</v>
      </c>
      <c r="E229" s="549" t="s">
        <v>219</v>
      </c>
      <c r="F229" s="566" t="s">
        <v>146</v>
      </c>
      <c r="G229" s="574">
        <v>44531</v>
      </c>
      <c r="H229" s="580">
        <v>10608162.742138499</v>
      </c>
      <c r="I229" s="591">
        <v>44251</v>
      </c>
      <c r="J229" s="626">
        <f t="shared" ca="1" si="34"/>
        <v>169</v>
      </c>
      <c r="K229" s="600" t="str">
        <f t="shared" ca="1" si="35"/>
        <v/>
      </c>
      <c r="L229" s="600" t="str">
        <f t="shared" ca="1" si="36"/>
        <v/>
      </c>
      <c r="M229" s="601" t="str">
        <f t="shared" ca="1" si="37"/>
        <v/>
      </c>
      <c r="N229" s="600">
        <f t="shared" ca="1" si="38"/>
        <v>10608162.742138499</v>
      </c>
      <c r="O229" s="600" t="str">
        <f t="shared" ca="1" si="39"/>
        <v/>
      </c>
      <c r="P229" s="600" t="str">
        <f t="shared" ca="1" si="40"/>
        <v/>
      </c>
    </row>
    <row r="230" spans="2:16">
      <c r="B230" s="617">
        <v>10015067</v>
      </c>
      <c r="C230" s="621" t="s">
        <v>10</v>
      </c>
      <c r="D230" s="565" t="s">
        <v>79</v>
      </c>
      <c r="E230" s="549" t="s">
        <v>221</v>
      </c>
      <c r="F230" s="566" t="s">
        <v>80</v>
      </c>
      <c r="G230" s="574" t="s">
        <v>81</v>
      </c>
      <c r="H230" s="580">
        <v>12351615.330804748</v>
      </c>
      <c r="I230" s="591">
        <v>44271</v>
      </c>
      <c r="J230" s="626">
        <f t="shared" ca="1" si="34"/>
        <v>149</v>
      </c>
      <c r="K230" s="600" t="str">
        <f t="shared" ca="1" si="35"/>
        <v/>
      </c>
      <c r="L230" s="600" t="str">
        <f t="shared" ca="1" si="36"/>
        <v/>
      </c>
      <c r="M230" s="601" t="str">
        <f t="shared" ca="1" si="37"/>
        <v/>
      </c>
      <c r="N230" s="600">
        <f t="shared" ca="1" si="38"/>
        <v>12351615.330804748</v>
      </c>
      <c r="O230" s="600" t="str">
        <f t="shared" ca="1" si="39"/>
        <v/>
      </c>
      <c r="P230" s="600" t="str">
        <f t="shared" ca="1" si="40"/>
        <v/>
      </c>
    </row>
    <row r="231" spans="2:16">
      <c r="B231" s="617">
        <v>10015067</v>
      </c>
      <c r="C231" s="621" t="s">
        <v>10</v>
      </c>
      <c r="D231" s="565" t="s">
        <v>79</v>
      </c>
      <c r="E231" s="552" t="s">
        <v>222</v>
      </c>
      <c r="F231" s="570" t="s">
        <v>124</v>
      </c>
      <c r="G231" s="574">
        <v>44472</v>
      </c>
      <c r="H231" s="580">
        <v>21704103.754554376</v>
      </c>
      <c r="I231" s="592">
        <v>44296</v>
      </c>
      <c r="J231" s="626">
        <f t="shared" ca="1" si="34"/>
        <v>124</v>
      </c>
      <c r="K231" s="600" t="str">
        <f t="shared" ca="1" si="35"/>
        <v/>
      </c>
      <c r="L231" s="600" t="str">
        <f t="shared" ca="1" si="36"/>
        <v/>
      </c>
      <c r="M231" s="601" t="str">
        <f t="shared" ca="1" si="37"/>
        <v/>
      </c>
      <c r="N231" s="600">
        <f t="shared" ca="1" si="38"/>
        <v>21704103.754554376</v>
      </c>
      <c r="O231" s="600" t="str">
        <f t="shared" ca="1" si="39"/>
        <v/>
      </c>
      <c r="P231" s="600" t="str">
        <f t="shared" ca="1" si="40"/>
        <v/>
      </c>
    </row>
    <row r="232" spans="2:16">
      <c r="B232" s="617"/>
      <c r="C232" s="621"/>
      <c r="D232" s="565"/>
      <c r="E232" s="549"/>
      <c r="F232" s="566"/>
      <c r="G232" s="574"/>
      <c r="H232" s="580"/>
      <c r="I232" s="591"/>
      <c r="J232" s="626"/>
      <c r="K232" s="600" t="str">
        <f t="shared" si="35"/>
        <v/>
      </c>
      <c r="L232" s="600" t="str">
        <f t="shared" si="36"/>
        <v/>
      </c>
      <c r="M232" s="601" t="str">
        <f t="shared" si="37"/>
        <v/>
      </c>
      <c r="N232" s="600" t="str">
        <f t="shared" si="38"/>
        <v/>
      </c>
      <c r="O232" s="600" t="str">
        <f t="shared" si="39"/>
        <v/>
      </c>
      <c r="P232" s="600" t="str">
        <f t="shared" si="40"/>
        <v/>
      </c>
    </row>
    <row r="233" spans="2:16">
      <c r="B233" s="617"/>
      <c r="C233" s="621"/>
      <c r="D233" s="565"/>
      <c r="E233" s="549"/>
      <c r="F233" s="566"/>
      <c r="G233" s="574"/>
      <c r="H233" s="580"/>
      <c r="I233" s="591"/>
      <c r="J233" s="626"/>
      <c r="K233" s="600" t="str">
        <f t="shared" si="35"/>
        <v/>
      </c>
      <c r="L233" s="600" t="str">
        <f t="shared" si="36"/>
        <v/>
      </c>
      <c r="M233" s="601" t="str">
        <f t="shared" si="37"/>
        <v/>
      </c>
      <c r="N233" s="600" t="str">
        <f t="shared" si="38"/>
        <v/>
      </c>
      <c r="O233" s="600" t="str">
        <f t="shared" si="39"/>
        <v/>
      </c>
      <c r="P233" s="600" t="str">
        <f t="shared" si="40"/>
        <v/>
      </c>
    </row>
    <row r="234" spans="2:16">
      <c r="B234" s="617"/>
      <c r="C234" s="621"/>
      <c r="D234" s="565"/>
      <c r="E234" s="552"/>
      <c r="F234" s="570"/>
      <c r="G234" s="574"/>
      <c r="H234" s="580"/>
      <c r="I234" s="592"/>
      <c r="J234" s="626"/>
      <c r="K234" s="600" t="str">
        <f t="shared" si="35"/>
        <v/>
      </c>
      <c r="L234" s="600" t="str">
        <f t="shared" si="36"/>
        <v/>
      </c>
      <c r="M234" s="601" t="str">
        <f t="shared" si="37"/>
        <v/>
      </c>
      <c r="N234" s="600" t="str">
        <f t="shared" si="38"/>
        <v/>
      </c>
      <c r="O234" s="600" t="str">
        <f t="shared" si="39"/>
        <v/>
      </c>
      <c r="P234" s="600" t="str">
        <f t="shared" si="40"/>
        <v/>
      </c>
    </row>
    <row r="235" spans="2:16">
      <c r="B235" s="617">
        <v>10008692</v>
      </c>
      <c r="C235" s="621" t="s">
        <v>10</v>
      </c>
      <c r="D235" s="565" t="s">
        <v>83</v>
      </c>
      <c r="E235" s="549" t="s">
        <v>221</v>
      </c>
      <c r="F235" s="566" t="s">
        <v>84</v>
      </c>
      <c r="G235" s="574">
        <v>44410</v>
      </c>
      <c r="H235" s="580">
        <v>96654493.463966817</v>
      </c>
      <c r="I235" s="591">
        <v>44278</v>
      </c>
      <c r="J235" s="626">
        <f t="shared" ca="1" si="34"/>
        <v>142</v>
      </c>
      <c r="K235" s="600" t="str">
        <f t="shared" ca="1" si="35"/>
        <v/>
      </c>
      <c r="L235" s="600" t="str">
        <f t="shared" ca="1" si="36"/>
        <v/>
      </c>
      <c r="M235" s="601" t="str">
        <f t="shared" ca="1" si="37"/>
        <v/>
      </c>
      <c r="N235" s="600">
        <f t="shared" ca="1" si="38"/>
        <v>96654493.463966817</v>
      </c>
      <c r="O235" s="600" t="str">
        <f t="shared" ca="1" si="39"/>
        <v/>
      </c>
      <c r="P235" s="600" t="str">
        <f t="shared" ca="1" si="40"/>
        <v/>
      </c>
    </row>
    <row r="236" spans="2:16">
      <c r="B236" s="617">
        <v>10008692</v>
      </c>
      <c r="C236" s="621" t="s">
        <v>10</v>
      </c>
      <c r="D236" s="565" t="s">
        <v>83</v>
      </c>
      <c r="E236" s="549" t="s">
        <v>222</v>
      </c>
      <c r="F236" s="566" t="s">
        <v>286</v>
      </c>
      <c r="G236" s="574">
        <v>44319</v>
      </c>
      <c r="H236" s="580">
        <v>126297866.72227722</v>
      </c>
      <c r="I236" s="591">
        <v>44285</v>
      </c>
      <c r="J236" s="626">
        <f t="shared" ca="1" si="34"/>
        <v>135</v>
      </c>
      <c r="K236" s="600" t="str">
        <f t="shared" ca="1" si="35"/>
        <v/>
      </c>
      <c r="L236" s="600" t="str">
        <f t="shared" ca="1" si="36"/>
        <v/>
      </c>
      <c r="M236" s="601" t="str">
        <f t="shared" ca="1" si="37"/>
        <v/>
      </c>
      <c r="N236" s="600">
        <f t="shared" ca="1" si="38"/>
        <v>126297866.72227722</v>
      </c>
      <c r="O236" s="600" t="str">
        <f t="shared" ca="1" si="39"/>
        <v/>
      </c>
      <c r="P236" s="600" t="str">
        <f t="shared" ca="1" si="40"/>
        <v/>
      </c>
    </row>
    <row r="237" spans="2:16">
      <c r="B237" s="617"/>
      <c r="C237" s="621"/>
      <c r="D237" s="565"/>
      <c r="E237" s="552"/>
      <c r="F237" s="570"/>
      <c r="G237" s="574"/>
      <c r="H237" s="580"/>
      <c r="I237" s="592"/>
      <c r="J237" s="626"/>
      <c r="K237" s="600" t="str">
        <f t="shared" si="35"/>
        <v/>
      </c>
      <c r="L237" s="600" t="str">
        <f t="shared" si="36"/>
        <v/>
      </c>
      <c r="M237" s="601" t="str">
        <f t="shared" si="37"/>
        <v/>
      </c>
      <c r="N237" s="600" t="str">
        <f t="shared" si="38"/>
        <v/>
      </c>
      <c r="O237" s="600" t="str">
        <f t="shared" si="39"/>
        <v/>
      </c>
      <c r="P237" s="600" t="str">
        <f t="shared" si="40"/>
        <v/>
      </c>
    </row>
    <row r="238" spans="2:16">
      <c r="B238" s="617"/>
      <c r="C238" s="621"/>
      <c r="D238" s="565"/>
      <c r="E238" s="549"/>
      <c r="F238" s="566"/>
      <c r="G238" s="574"/>
      <c r="H238" s="580"/>
      <c r="I238" s="591"/>
      <c r="J238" s="626"/>
      <c r="K238" s="600" t="str">
        <f t="shared" si="35"/>
        <v/>
      </c>
      <c r="L238" s="600" t="str">
        <f t="shared" si="36"/>
        <v/>
      </c>
      <c r="M238" s="601" t="str">
        <f t="shared" si="37"/>
        <v/>
      </c>
      <c r="N238" s="600" t="str">
        <f t="shared" si="38"/>
        <v/>
      </c>
      <c r="O238" s="600" t="str">
        <f t="shared" si="39"/>
        <v/>
      </c>
      <c r="P238" s="600" t="str">
        <f t="shared" si="40"/>
        <v/>
      </c>
    </row>
    <row r="239" spans="2:16">
      <c r="B239" s="617">
        <v>10012836</v>
      </c>
      <c r="C239" s="621" t="s">
        <v>10</v>
      </c>
      <c r="D239" s="565" t="s">
        <v>86</v>
      </c>
      <c r="E239" s="549" t="s">
        <v>221</v>
      </c>
      <c r="F239" s="566" t="s">
        <v>43</v>
      </c>
      <c r="G239" s="574">
        <v>44441</v>
      </c>
      <c r="H239" s="580">
        <v>82735008.602665588</v>
      </c>
      <c r="I239" s="591">
        <v>44250</v>
      </c>
      <c r="J239" s="626">
        <f t="shared" ref="J239:J296" ca="1" si="41">DATEDIF(I239,$J$4,"D")</f>
        <v>170</v>
      </c>
      <c r="K239" s="600" t="str">
        <f t="shared" ref="K239:K302" ca="1" si="42">IF(AND(J239&gt;=16,J239&lt;=30),H239,"")</f>
        <v/>
      </c>
      <c r="L239" s="600" t="str">
        <f t="shared" ref="L239:L302" ca="1" si="43">IF(AND(J239&gt;=31,J239&lt;=60),H239,"")</f>
        <v/>
      </c>
      <c r="M239" s="601" t="str">
        <f t="shared" ref="M239:M302" ca="1" si="44">IF(AND(J239&gt;=61,J239&lt;=90),H239,"")</f>
        <v/>
      </c>
      <c r="N239" s="600">
        <f t="shared" ref="N239:N302" ca="1" si="45">IF(AND(J239&gt;=91,J239&lt;=180),H239,"")</f>
        <v>82735008.602665588</v>
      </c>
      <c r="O239" s="600" t="str">
        <f t="shared" ref="O239:O302" ca="1" si="46">IF(AND(J239&gt;=181,J239&lt;=360),H239,"")</f>
        <v/>
      </c>
      <c r="P239" s="600" t="str">
        <f t="shared" ref="P239:P302" ca="1" si="47">IF(J239&gt;=360,H239,"")</f>
        <v/>
      </c>
    </row>
    <row r="240" spans="2:16">
      <c r="B240" s="617">
        <v>10012836</v>
      </c>
      <c r="C240" s="621" t="s">
        <v>10</v>
      </c>
      <c r="D240" s="565" t="s">
        <v>86</v>
      </c>
      <c r="E240" s="552" t="s">
        <v>222</v>
      </c>
      <c r="F240" s="570" t="s">
        <v>540</v>
      </c>
      <c r="G240" s="574">
        <v>44472</v>
      </c>
      <c r="H240" s="580">
        <v>177139631.51225549</v>
      </c>
      <c r="I240" s="592">
        <v>44280</v>
      </c>
      <c r="J240" s="626">
        <f t="shared" ca="1" si="41"/>
        <v>140</v>
      </c>
      <c r="K240" s="600" t="str">
        <f t="shared" ca="1" si="42"/>
        <v/>
      </c>
      <c r="L240" s="600" t="str">
        <f t="shared" ca="1" si="43"/>
        <v/>
      </c>
      <c r="M240" s="601" t="str">
        <f t="shared" ca="1" si="44"/>
        <v/>
      </c>
      <c r="N240" s="600">
        <f t="shared" ca="1" si="45"/>
        <v>177139631.51225549</v>
      </c>
      <c r="O240" s="600" t="str">
        <f t="shared" ca="1" si="46"/>
        <v/>
      </c>
      <c r="P240" s="600" t="str">
        <f t="shared" ca="1" si="47"/>
        <v/>
      </c>
    </row>
    <row r="241" spans="2:16">
      <c r="B241" s="617"/>
      <c r="C241" s="621"/>
      <c r="D241" s="565"/>
      <c r="E241" s="549"/>
      <c r="F241" s="566"/>
      <c r="G241" s="574"/>
      <c r="H241" s="580"/>
      <c r="I241" s="591"/>
      <c r="J241" s="626"/>
      <c r="K241" s="600" t="str">
        <f t="shared" si="42"/>
        <v/>
      </c>
      <c r="L241" s="600" t="str">
        <f t="shared" si="43"/>
        <v/>
      </c>
      <c r="M241" s="601" t="str">
        <f t="shared" si="44"/>
        <v/>
      </c>
      <c r="N241" s="600" t="str">
        <f t="shared" si="45"/>
        <v/>
      </c>
      <c r="O241" s="600" t="str">
        <f t="shared" si="46"/>
        <v/>
      </c>
      <c r="P241" s="600" t="str">
        <f t="shared" si="47"/>
        <v/>
      </c>
    </row>
    <row r="242" spans="2:16">
      <c r="B242" s="617"/>
      <c r="C242" s="621"/>
      <c r="D242" s="565"/>
      <c r="E242" s="549"/>
      <c r="F242" s="566"/>
      <c r="G242" s="574"/>
      <c r="H242" s="580"/>
      <c r="I242" s="591"/>
      <c r="J242" s="626"/>
      <c r="K242" s="600" t="str">
        <f t="shared" si="42"/>
        <v/>
      </c>
      <c r="L242" s="600" t="str">
        <f t="shared" si="43"/>
        <v/>
      </c>
      <c r="M242" s="601" t="str">
        <f t="shared" si="44"/>
        <v/>
      </c>
      <c r="N242" s="600" t="str">
        <f t="shared" si="45"/>
        <v/>
      </c>
      <c r="O242" s="600" t="str">
        <f t="shared" si="46"/>
        <v/>
      </c>
      <c r="P242" s="600" t="str">
        <f t="shared" si="47"/>
        <v/>
      </c>
    </row>
    <row r="243" spans="2:16">
      <c r="B243" s="617"/>
      <c r="C243" s="621"/>
      <c r="D243" s="565"/>
      <c r="E243" s="552"/>
      <c r="F243" s="570"/>
      <c r="G243" s="574"/>
      <c r="H243" s="580"/>
      <c r="I243" s="592"/>
      <c r="J243" s="626"/>
      <c r="K243" s="600" t="str">
        <f t="shared" si="42"/>
        <v/>
      </c>
      <c r="L243" s="600" t="str">
        <f t="shared" si="43"/>
        <v/>
      </c>
      <c r="M243" s="601" t="str">
        <f t="shared" si="44"/>
        <v/>
      </c>
      <c r="N243" s="600" t="str">
        <f t="shared" si="45"/>
        <v/>
      </c>
      <c r="O243" s="600" t="str">
        <f t="shared" si="46"/>
        <v/>
      </c>
      <c r="P243" s="600" t="str">
        <f t="shared" si="47"/>
        <v/>
      </c>
    </row>
    <row r="244" spans="2:16">
      <c r="B244" s="617">
        <v>10000257</v>
      </c>
      <c r="C244" s="621" t="s">
        <v>10</v>
      </c>
      <c r="D244" s="565" t="s">
        <v>87</v>
      </c>
      <c r="E244" s="555" t="s">
        <v>1188</v>
      </c>
      <c r="F244" s="566"/>
      <c r="G244" s="574"/>
      <c r="H244" s="580">
        <v>61326183.672524564</v>
      </c>
      <c r="I244" s="591"/>
      <c r="J244" s="626">
        <f t="shared" ca="1" si="41"/>
        <v>44420</v>
      </c>
      <c r="K244" s="600" t="str">
        <f t="shared" ca="1" si="42"/>
        <v/>
      </c>
      <c r="L244" s="600" t="str">
        <f t="shared" ca="1" si="43"/>
        <v/>
      </c>
      <c r="M244" s="601" t="str">
        <f t="shared" ca="1" si="44"/>
        <v/>
      </c>
      <c r="N244" s="600" t="str">
        <f t="shared" ca="1" si="45"/>
        <v/>
      </c>
      <c r="O244" s="600" t="str">
        <f t="shared" ca="1" si="46"/>
        <v/>
      </c>
      <c r="P244" s="600">
        <f t="shared" ca="1" si="47"/>
        <v>61326183.672524564</v>
      </c>
    </row>
    <row r="245" spans="2:16">
      <c r="B245" s="617"/>
      <c r="C245" s="621"/>
      <c r="D245" s="565"/>
      <c r="E245" s="549"/>
      <c r="F245" s="566"/>
      <c r="G245" s="574"/>
      <c r="H245" s="580"/>
      <c r="I245" s="591"/>
      <c r="J245" s="626"/>
      <c r="K245" s="600" t="str">
        <f t="shared" si="42"/>
        <v/>
      </c>
      <c r="L245" s="600" t="str">
        <f t="shared" si="43"/>
        <v/>
      </c>
      <c r="M245" s="601" t="str">
        <f t="shared" si="44"/>
        <v/>
      </c>
      <c r="N245" s="600" t="str">
        <f t="shared" si="45"/>
        <v/>
      </c>
      <c r="O245" s="600" t="str">
        <f t="shared" si="46"/>
        <v/>
      </c>
      <c r="P245" s="600" t="str">
        <f t="shared" si="47"/>
        <v/>
      </c>
    </row>
    <row r="246" spans="2:16">
      <c r="B246" s="617"/>
      <c r="C246" s="621"/>
      <c r="D246" s="565"/>
      <c r="E246" s="552"/>
      <c r="F246" s="570"/>
      <c r="G246" s="574"/>
      <c r="H246" s="580"/>
      <c r="I246" s="592"/>
      <c r="J246" s="626"/>
      <c r="K246" s="600" t="str">
        <f t="shared" si="42"/>
        <v/>
      </c>
      <c r="L246" s="600" t="str">
        <f t="shared" si="43"/>
        <v/>
      </c>
      <c r="M246" s="601" t="str">
        <f t="shared" si="44"/>
        <v/>
      </c>
      <c r="N246" s="600" t="str">
        <f t="shared" si="45"/>
        <v/>
      </c>
      <c r="O246" s="600" t="str">
        <f t="shared" si="46"/>
        <v/>
      </c>
      <c r="P246" s="600" t="str">
        <f t="shared" si="47"/>
        <v/>
      </c>
    </row>
    <row r="247" spans="2:16">
      <c r="B247" s="617"/>
      <c r="C247" s="621"/>
      <c r="D247" s="565"/>
      <c r="E247" s="549"/>
      <c r="F247" s="566"/>
      <c r="G247" s="574"/>
      <c r="H247" s="580"/>
      <c r="I247" s="591"/>
      <c r="J247" s="626"/>
      <c r="K247" s="600" t="str">
        <f t="shared" si="42"/>
        <v/>
      </c>
      <c r="L247" s="600" t="str">
        <f t="shared" si="43"/>
        <v/>
      </c>
      <c r="M247" s="601" t="str">
        <f t="shared" si="44"/>
        <v/>
      </c>
      <c r="N247" s="600" t="str">
        <f t="shared" si="45"/>
        <v/>
      </c>
      <c r="O247" s="600" t="str">
        <f t="shared" si="46"/>
        <v/>
      </c>
      <c r="P247" s="600" t="str">
        <f t="shared" si="47"/>
        <v/>
      </c>
    </row>
    <row r="248" spans="2:16">
      <c r="B248" s="617">
        <v>40000021</v>
      </c>
      <c r="C248" s="621" t="s">
        <v>10</v>
      </c>
      <c r="D248" s="565" t="s">
        <v>88</v>
      </c>
      <c r="E248" s="549" t="s">
        <v>142</v>
      </c>
      <c r="F248" s="566" t="s">
        <v>1444</v>
      </c>
      <c r="G248" s="574">
        <v>43528</v>
      </c>
      <c r="H248" s="580">
        <v>29812594.284376677</v>
      </c>
      <c r="I248" s="592">
        <f>G248+30</f>
        <v>43558</v>
      </c>
      <c r="J248" s="626">
        <f t="shared" ca="1" si="41"/>
        <v>862</v>
      </c>
      <c r="K248" s="600" t="str">
        <f t="shared" ca="1" si="42"/>
        <v/>
      </c>
      <c r="L248" s="600" t="str">
        <f t="shared" ca="1" si="43"/>
        <v/>
      </c>
      <c r="M248" s="601" t="str">
        <f t="shared" ca="1" si="44"/>
        <v/>
      </c>
      <c r="N248" s="600" t="str">
        <f t="shared" ca="1" si="45"/>
        <v/>
      </c>
      <c r="O248" s="600" t="str">
        <f t="shared" ca="1" si="46"/>
        <v/>
      </c>
      <c r="P248" s="600">
        <f t="shared" ca="1" si="47"/>
        <v>29812594.284376677</v>
      </c>
    </row>
    <row r="249" spans="2:16">
      <c r="B249" s="617">
        <v>40000021</v>
      </c>
      <c r="C249" s="621" t="s">
        <v>10</v>
      </c>
      <c r="D249" s="565" t="s">
        <v>88</v>
      </c>
      <c r="E249" s="552" t="s">
        <v>145</v>
      </c>
      <c r="F249" s="570" t="s">
        <v>1445</v>
      </c>
      <c r="G249" s="574">
        <v>43544</v>
      </c>
      <c r="H249" s="580">
        <f>44956831.8327188-1969105.46</f>
        <v>42987726.372718796</v>
      </c>
      <c r="I249" s="592">
        <v>43574</v>
      </c>
      <c r="J249" s="626">
        <f t="shared" ca="1" si="41"/>
        <v>846</v>
      </c>
      <c r="K249" s="600" t="str">
        <f t="shared" ca="1" si="42"/>
        <v/>
      </c>
      <c r="L249" s="600" t="str">
        <f t="shared" ca="1" si="43"/>
        <v/>
      </c>
      <c r="M249" s="601" t="str">
        <f t="shared" ca="1" si="44"/>
        <v/>
      </c>
      <c r="N249" s="600" t="str">
        <f t="shared" ca="1" si="45"/>
        <v/>
      </c>
      <c r="O249" s="600" t="str">
        <f t="shared" ca="1" si="46"/>
        <v/>
      </c>
      <c r="P249" s="600">
        <f t="shared" ca="1" si="47"/>
        <v>42987726.372718796</v>
      </c>
    </row>
    <row r="250" spans="2:16">
      <c r="B250" s="617"/>
      <c r="C250" s="621"/>
      <c r="D250" s="565"/>
      <c r="E250" s="549"/>
      <c r="F250" s="566"/>
      <c r="G250" s="574"/>
      <c r="H250" s="580"/>
      <c r="I250" s="591"/>
      <c r="J250" s="626"/>
      <c r="K250" s="600" t="str">
        <f t="shared" si="42"/>
        <v/>
      </c>
      <c r="L250" s="600" t="str">
        <f t="shared" si="43"/>
        <v/>
      </c>
      <c r="M250" s="601" t="str">
        <f t="shared" si="44"/>
        <v/>
      </c>
      <c r="N250" s="600" t="str">
        <f t="shared" si="45"/>
        <v/>
      </c>
      <c r="O250" s="600" t="str">
        <f t="shared" si="46"/>
        <v/>
      </c>
      <c r="P250" s="600" t="str">
        <f t="shared" si="47"/>
        <v/>
      </c>
    </row>
    <row r="251" spans="2:16">
      <c r="B251" s="617"/>
      <c r="C251" s="621"/>
      <c r="D251" s="565"/>
      <c r="E251" s="549"/>
      <c r="F251" s="566"/>
      <c r="G251" s="574"/>
      <c r="H251" s="580"/>
      <c r="I251" s="591"/>
      <c r="J251" s="626"/>
      <c r="K251" s="600" t="str">
        <f t="shared" si="42"/>
        <v/>
      </c>
      <c r="L251" s="600" t="str">
        <f t="shared" si="43"/>
        <v/>
      </c>
      <c r="M251" s="601" t="str">
        <f t="shared" si="44"/>
        <v/>
      </c>
      <c r="N251" s="600" t="str">
        <f t="shared" si="45"/>
        <v/>
      </c>
      <c r="O251" s="600" t="str">
        <f t="shared" si="46"/>
        <v/>
      </c>
      <c r="P251" s="600" t="str">
        <f t="shared" si="47"/>
        <v/>
      </c>
    </row>
    <row r="252" spans="2:16">
      <c r="B252" s="617"/>
      <c r="C252" s="621"/>
      <c r="D252" s="565"/>
      <c r="E252" s="552"/>
      <c r="F252" s="570"/>
      <c r="G252" s="574"/>
      <c r="H252" s="580"/>
      <c r="I252" s="592"/>
      <c r="J252" s="626"/>
      <c r="K252" s="600" t="str">
        <f t="shared" si="42"/>
        <v/>
      </c>
      <c r="L252" s="600" t="str">
        <f t="shared" si="43"/>
        <v/>
      </c>
      <c r="M252" s="601" t="str">
        <f t="shared" si="44"/>
        <v/>
      </c>
      <c r="N252" s="600" t="str">
        <f t="shared" si="45"/>
        <v/>
      </c>
      <c r="O252" s="600" t="str">
        <f t="shared" si="46"/>
        <v/>
      </c>
      <c r="P252" s="600" t="str">
        <f t="shared" si="47"/>
        <v/>
      </c>
    </row>
    <row r="253" spans="2:16">
      <c r="B253" s="617">
        <v>10010863</v>
      </c>
      <c r="C253" s="621" t="s">
        <v>10</v>
      </c>
      <c r="D253" s="565" t="s">
        <v>89</v>
      </c>
      <c r="E253" s="549" t="s">
        <v>609</v>
      </c>
      <c r="F253" s="566" t="s">
        <v>359</v>
      </c>
      <c r="G253" s="574">
        <v>42718</v>
      </c>
      <c r="H253" s="580">
        <v>17216306.119999994</v>
      </c>
      <c r="I253" s="591">
        <f>G253+30</f>
        <v>42748</v>
      </c>
      <c r="J253" s="626">
        <f t="shared" ca="1" si="41"/>
        <v>1672</v>
      </c>
      <c r="K253" s="600" t="str">
        <f t="shared" ca="1" si="42"/>
        <v/>
      </c>
      <c r="L253" s="600" t="str">
        <f t="shared" ca="1" si="43"/>
        <v/>
      </c>
      <c r="M253" s="601" t="str">
        <f t="shared" ca="1" si="44"/>
        <v/>
      </c>
      <c r="N253" s="600" t="str">
        <f t="shared" ca="1" si="45"/>
        <v/>
      </c>
      <c r="O253" s="600" t="str">
        <f t="shared" ca="1" si="46"/>
        <v/>
      </c>
      <c r="P253" s="600">
        <f t="shared" ca="1" si="47"/>
        <v>17216306.119999994</v>
      </c>
    </row>
    <row r="254" spans="2:16">
      <c r="B254" s="617">
        <v>10010863</v>
      </c>
      <c r="C254" s="621" t="s">
        <v>10</v>
      </c>
      <c r="D254" s="565" t="s">
        <v>89</v>
      </c>
      <c r="E254" s="549" t="s">
        <v>611</v>
      </c>
      <c r="F254" s="566" t="s">
        <v>202</v>
      </c>
      <c r="G254" s="574">
        <v>42780</v>
      </c>
      <c r="H254" s="580">
        <v>27643435.170000002</v>
      </c>
      <c r="I254" s="591">
        <f t="shared" ref="I254:I266" si="48">G254+30</f>
        <v>42810</v>
      </c>
      <c r="J254" s="626">
        <f t="shared" ca="1" si="41"/>
        <v>1610</v>
      </c>
      <c r="K254" s="600" t="str">
        <f t="shared" ca="1" si="42"/>
        <v/>
      </c>
      <c r="L254" s="600" t="str">
        <f t="shared" ca="1" si="43"/>
        <v/>
      </c>
      <c r="M254" s="601" t="str">
        <f t="shared" ca="1" si="44"/>
        <v/>
      </c>
      <c r="N254" s="600" t="str">
        <f t="shared" ca="1" si="45"/>
        <v/>
      </c>
      <c r="O254" s="600" t="str">
        <f t="shared" ca="1" si="46"/>
        <v/>
      </c>
      <c r="P254" s="600">
        <f t="shared" ca="1" si="47"/>
        <v>27643435.170000002</v>
      </c>
    </row>
    <row r="255" spans="2:16">
      <c r="B255" s="617">
        <v>10010863</v>
      </c>
      <c r="C255" s="621" t="s">
        <v>10</v>
      </c>
      <c r="D255" s="565" t="s">
        <v>89</v>
      </c>
      <c r="E255" s="552" t="s">
        <v>614</v>
      </c>
      <c r="F255" s="570" t="s">
        <v>204</v>
      </c>
      <c r="G255" s="574">
        <v>42781</v>
      </c>
      <c r="H255" s="580">
        <v>27905697.280000001</v>
      </c>
      <c r="I255" s="591">
        <f t="shared" si="48"/>
        <v>42811</v>
      </c>
      <c r="J255" s="626">
        <f t="shared" ca="1" si="41"/>
        <v>1609</v>
      </c>
      <c r="K255" s="600" t="str">
        <f t="shared" ca="1" si="42"/>
        <v/>
      </c>
      <c r="L255" s="600" t="str">
        <f t="shared" ca="1" si="43"/>
        <v/>
      </c>
      <c r="M255" s="601" t="str">
        <f t="shared" ca="1" si="44"/>
        <v/>
      </c>
      <c r="N255" s="600" t="str">
        <f t="shared" ca="1" si="45"/>
        <v/>
      </c>
      <c r="O255" s="600" t="str">
        <f t="shared" ca="1" si="46"/>
        <v/>
      </c>
      <c r="P255" s="600">
        <f t="shared" ca="1" si="47"/>
        <v>27905697.280000001</v>
      </c>
    </row>
    <row r="256" spans="2:16">
      <c r="B256" s="617">
        <v>10010863</v>
      </c>
      <c r="C256" s="621" t="s">
        <v>10</v>
      </c>
      <c r="D256" s="565" t="s">
        <v>89</v>
      </c>
      <c r="E256" s="549" t="s">
        <v>489</v>
      </c>
      <c r="F256" s="566" t="s">
        <v>208</v>
      </c>
      <c r="G256" s="574">
        <v>42817</v>
      </c>
      <c r="H256" s="580">
        <v>18452637.690000001</v>
      </c>
      <c r="I256" s="591">
        <f t="shared" si="48"/>
        <v>42847</v>
      </c>
      <c r="J256" s="626">
        <f t="shared" ca="1" si="41"/>
        <v>1573</v>
      </c>
      <c r="K256" s="600" t="str">
        <f t="shared" ca="1" si="42"/>
        <v/>
      </c>
      <c r="L256" s="600" t="str">
        <f t="shared" ca="1" si="43"/>
        <v/>
      </c>
      <c r="M256" s="601" t="str">
        <f t="shared" ca="1" si="44"/>
        <v/>
      </c>
      <c r="N256" s="600" t="str">
        <f t="shared" ca="1" si="45"/>
        <v/>
      </c>
      <c r="O256" s="600" t="str">
        <f t="shared" ca="1" si="46"/>
        <v/>
      </c>
      <c r="P256" s="600">
        <f t="shared" ca="1" si="47"/>
        <v>18452637.690000001</v>
      </c>
    </row>
    <row r="257" spans="2:16">
      <c r="B257" s="617">
        <v>10010863</v>
      </c>
      <c r="C257" s="621" t="s">
        <v>10</v>
      </c>
      <c r="D257" s="565" t="s">
        <v>89</v>
      </c>
      <c r="E257" s="549" t="s">
        <v>618</v>
      </c>
      <c r="F257" s="566" t="s">
        <v>52</v>
      </c>
      <c r="G257" s="574">
        <v>42851</v>
      </c>
      <c r="H257" s="580">
        <v>19602601.920000002</v>
      </c>
      <c r="I257" s="591">
        <f t="shared" si="48"/>
        <v>42881</v>
      </c>
      <c r="J257" s="626">
        <f t="shared" ca="1" si="41"/>
        <v>1539</v>
      </c>
      <c r="K257" s="600" t="str">
        <f t="shared" ca="1" si="42"/>
        <v/>
      </c>
      <c r="L257" s="600" t="str">
        <f t="shared" ca="1" si="43"/>
        <v/>
      </c>
      <c r="M257" s="601" t="str">
        <f t="shared" ca="1" si="44"/>
        <v/>
      </c>
      <c r="N257" s="600" t="str">
        <f t="shared" ca="1" si="45"/>
        <v/>
      </c>
      <c r="O257" s="600" t="str">
        <f t="shared" ca="1" si="46"/>
        <v/>
      </c>
      <c r="P257" s="600">
        <f t="shared" ca="1" si="47"/>
        <v>19602601.920000002</v>
      </c>
    </row>
    <row r="258" spans="2:16">
      <c r="B258" s="617">
        <v>10010863</v>
      </c>
      <c r="C258" s="621" t="s">
        <v>10</v>
      </c>
      <c r="D258" s="565" t="s">
        <v>89</v>
      </c>
      <c r="E258" s="552" t="s">
        <v>560</v>
      </c>
      <c r="F258" s="570" t="s">
        <v>215</v>
      </c>
      <c r="G258" s="574">
        <v>42874</v>
      </c>
      <c r="H258" s="580">
        <v>18385127.219999999</v>
      </c>
      <c r="I258" s="591">
        <f t="shared" si="48"/>
        <v>42904</v>
      </c>
      <c r="J258" s="626">
        <f t="shared" ca="1" si="41"/>
        <v>1516</v>
      </c>
      <c r="K258" s="600" t="str">
        <f t="shared" ca="1" si="42"/>
        <v/>
      </c>
      <c r="L258" s="600" t="str">
        <f t="shared" ca="1" si="43"/>
        <v/>
      </c>
      <c r="M258" s="601" t="str">
        <f t="shared" ca="1" si="44"/>
        <v/>
      </c>
      <c r="N258" s="600" t="str">
        <f t="shared" ca="1" si="45"/>
        <v/>
      </c>
      <c r="O258" s="600" t="str">
        <f t="shared" ca="1" si="46"/>
        <v/>
      </c>
      <c r="P258" s="600">
        <f t="shared" ca="1" si="47"/>
        <v>18385127.219999999</v>
      </c>
    </row>
    <row r="259" spans="2:16">
      <c r="B259" s="617">
        <v>10010863</v>
      </c>
      <c r="C259" s="621" t="s">
        <v>10</v>
      </c>
      <c r="D259" s="565" t="s">
        <v>89</v>
      </c>
      <c r="E259" s="549" t="s">
        <v>562</v>
      </c>
      <c r="F259" s="566" t="s">
        <v>65</v>
      </c>
      <c r="G259" s="574">
        <v>42899</v>
      </c>
      <c r="H259" s="580">
        <v>19297788.420000002</v>
      </c>
      <c r="I259" s="591">
        <f t="shared" si="48"/>
        <v>42929</v>
      </c>
      <c r="J259" s="626">
        <f t="shared" ca="1" si="41"/>
        <v>1491</v>
      </c>
      <c r="K259" s="600" t="str">
        <f t="shared" ca="1" si="42"/>
        <v/>
      </c>
      <c r="L259" s="600" t="str">
        <f t="shared" ca="1" si="43"/>
        <v/>
      </c>
      <c r="M259" s="601" t="str">
        <f t="shared" ca="1" si="44"/>
        <v/>
      </c>
      <c r="N259" s="600" t="str">
        <f t="shared" ca="1" si="45"/>
        <v/>
      </c>
      <c r="O259" s="600" t="str">
        <f t="shared" ca="1" si="46"/>
        <v/>
      </c>
      <c r="P259" s="600">
        <f t="shared" ca="1" si="47"/>
        <v>19297788.420000002</v>
      </c>
    </row>
    <row r="260" spans="2:16">
      <c r="B260" s="617">
        <v>10010863</v>
      </c>
      <c r="C260" s="621" t="s">
        <v>10</v>
      </c>
      <c r="D260" s="565" t="s">
        <v>89</v>
      </c>
      <c r="E260" s="549" t="s">
        <v>494</v>
      </c>
      <c r="F260" s="566" t="s">
        <v>71</v>
      </c>
      <c r="G260" s="574">
        <v>42957</v>
      </c>
      <c r="H260" s="580">
        <v>17460155.609999999</v>
      </c>
      <c r="I260" s="591">
        <f t="shared" si="48"/>
        <v>42987</v>
      </c>
      <c r="J260" s="626">
        <f t="shared" ca="1" si="41"/>
        <v>1433</v>
      </c>
      <c r="K260" s="600" t="str">
        <f t="shared" ca="1" si="42"/>
        <v/>
      </c>
      <c r="L260" s="600" t="str">
        <f t="shared" ca="1" si="43"/>
        <v/>
      </c>
      <c r="M260" s="601" t="str">
        <f t="shared" ca="1" si="44"/>
        <v/>
      </c>
      <c r="N260" s="600" t="str">
        <f t="shared" ca="1" si="45"/>
        <v/>
      </c>
      <c r="O260" s="600" t="str">
        <f t="shared" ca="1" si="46"/>
        <v/>
      </c>
      <c r="P260" s="600">
        <f t="shared" ca="1" si="47"/>
        <v>17460155.609999999</v>
      </c>
    </row>
    <row r="261" spans="2:16">
      <c r="B261" s="617">
        <v>10010863</v>
      </c>
      <c r="C261" s="621" t="s">
        <v>10</v>
      </c>
      <c r="D261" s="565" t="s">
        <v>89</v>
      </c>
      <c r="E261" s="552" t="s">
        <v>1157</v>
      </c>
      <c r="F261" s="570" t="s">
        <v>26</v>
      </c>
      <c r="G261" s="574">
        <v>42982</v>
      </c>
      <c r="H261" s="580">
        <v>13632088.800000001</v>
      </c>
      <c r="I261" s="591">
        <f t="shared" si="48"/>
        <v>43012</v>
      </c>
      <c r="J261" s="626">
        <f t="shared" ca="1" si="41"/>
        <v>1408</v>
      </c>
      <c r="K261" s="600" t="str">
        <f t="shared" ca="1" si="42"/>
        <v/>
      </c>
      <c r="L261" s="600" t="str">
        <f t="shared" ca="1" si="43"/>
        <v/>
      </c>
      <c r="M261" s="601" t="str">
        <f t="shared" ca="1" si="44"/>
        <v/>
      </c>
      <c r="N261" s="600" t="str">
        <f t="shared" ca="1" si="45"/>
        <v/>
      </c>
      <c r="O261" s="600" t="str">
        <f t="shared" ca="1" si="46"/>
        <v/>
      </c>
      <c r="P261" s="600">
        <f t="shared" ca="1" si="47"/>
        <v>13632088.800000001</v>
      </c>
    </row>
    <row r="262" spans="2:16">
      <c r="B262" s="617">
        <v>10010863</v>
      </c>
      <c r="C262" s="621" t="s">
        <v>10</v>
      </c>
      <c r="D262" s="565" t="s">
        <v>89</v>
      </c>
      <c r="E262" s="549" t="s">
        <v>1209</v>
      </c>
      <c r="F262" s="566" t="s">
        <v>223</v>
      </c>
      <c r="G262" s="574">
        <v>42983</v>
      </c>
      <c r="H262" s="580">
        <v>15725523.26</v>
      </c>
      <c r="I262" s="591">
        <f t="shared" si="48"/>
        <v>43013</v>
      </c>
      <c r="J262" s="626">
        <f t="shared" ca="1" si="41"/>
        <v>1407</v>
      </c>
      <c r="K262" s="600" t="str">
        <f t="shared" ca="1" si="42"/>
        <v/>
      </c>
      <c r="L262" s="600" t="str">
        <f t="shared" ca="1" si="43"/>
        <v/>
      </c>
      <c r="M262" s="601" t="str">
        <f t="shared" ca="1" si="44"/>
        <v/>
      </c>
      <c r="N262" s="600" t="str">
        <f t="shared" ca="1" si="45"/>
        <v/>
      </c>
      <c r="O262" s="600" t="str">
        <f t="shared" ca="1" si="46"/>
        <v/>
      </c>
      <c r="P262" s="600">
        <f t="shared" ca="1" si="47"/>
        <v>15725523.26</v>
      </c>
    </row>
    <row r="263" spans="2:16">
      <c r="B263" s="617">
        <v>10010863</v>
      </c>
      <c r="C263" s="621" t="s">
        <v>10</v>
      </c>
      <c r="D263" s="565" t="s">
        <v>89</v>
      </c>
      <c r="E263" s="549" t="s">
        <v>1347</v>
      </c>
      <c r="F263" s="566" t="s">
        <v>367</v>
      </c>
      <c r="G263" s="574">
        <v>43032</v>
      </c>
      <c r="H263" s="580">
        <v>10497978.1</v>
      </c>
      <c r="I263" s="591">
        <f t="shared" si="48"/>
        <v>43062</v>
      </c>
      <c r="J263" s="626">
        <f t="shared" ca="1" si="41"/>
        <v>1358</v>
      </c>
      <c r="K263" s="600" t="str">
        <f t="shared" ca="1" si="42"/>
        <v/>
      </c>
      <c r="L263" s="600" t="str">
        <f t="shared" ca="1" si="43"/>
        <v/>
      </c>
      <c r="M263" s="601" t="str">
        <f t="shared" ca="1" si="44"/>
        <v/>
      </c>
      <c r="N263" s="600" t="str">
        <f t="shared" ca="1" si="45"/>
        <v/>
      </c>
      <c r="O263" s="600" t="str">
        <f t="shared" ca="1" si="46"/>
        <v/>
      </c>
      <c r="P263" s="600">
        <f t="shared" ca="1" si="47"/>
        <v>10497978.1</v>
      </c>
    </row>
    <row r="264" spans="2:16">
      <c r="B264" s="617">
        <v>10010863</v>
      </c>
      <c r="C264" s="621" t="s">
        <v>10</v>
      </c>
      <c r="D264" s="565" t="s">
        <v>89</v>
      </c>
      <c r="E264" s="552" t="s">
        <v>500</v>
      </c>
      <c r="F264" s="570" t="s">
        <v>368</v>
      </c>
      <c r="G264" s="574">
        <v>43059</v>
      </c>
      <c r="H264" s="580">
        <v>11604313.09</v>
      </c>
      <c r="I264" s="591">
        <f t="shared" si="48"/>
        <v>43089</v>
      </c>
      <c r="J264" s="626">
        <f t="shared" ca="1" si="41"/>
        <v>1331</v>
      </c>
      <c r="K264" s="600" t="str">
        <f t="shared" ca="1" si="42"/>
        <v/>
      </c>
      <c r="L264" s="600" t="str">
        <f t="shared" ca="1" si="43"/>
        <v/>
      </c>
      <c r="M264" s="601" t="str">
        <f t="shared" ca="1" si="44"/>
        <v/>
      </c>
      <c r="N264" s="600" t="str">
        <f t="shared" ca="1" si="45"/>
        <v/>
      </c>
      <c r="O264" s="600" t="str">
        <f t="shared" ca="1" si="46"/>
        <v/>
      </c>
      <c r="P264" s="600">
        <f t="shared" ca="1" si="47"/>
        <v>11604313.09</v>
      </c>
    </row>
    <row r="265" spans="2:16">
      <c r="B265" s="617">
        <v>10010863</v>
      </c>
      <c r="C265" s="621" t="s">
        <v>10</v>
      </c>
      <c r="D265" s="565" t="s">
        <v>89</v>
      </c>
      <c r="E265" s="549" t="s">
        <v>501</v>
      </c>
      <c r="F265" s="566" t="s">
        <v>370</v>
      </c>
      <c r="G265" s="574">
        <v>43098</v>
      </c>
      <c r="H265" s="580">
        <v>10163243.18</v>
      </c>
      <c r="I265" s="591">
        <f t="shared" si="48"/>
        <v>43128</v>
      </c>
      <c r="J265" s="626">
        <f t="shared" ca="1" si="41"/>
        <v>1292</v>
      </c>
      <c r="K265" s="600" t="str">
        <f t="shared" ca="1" si="42"/>
        <v/>
      </c>
      <c r="L265" s="600" t="str">
        <f t="shared" ca="1" si="43"/>
        <v/>
      </c>
      <c r="M265" s="601" t="str">
        <f t="shared" ca="1" si="44"/>
        <v/>
      </c>
      <c r="N265" s="600" t="str">
        <f t="shared" ca="1" si="45"/>
        <v/>
      </c>
      <c r="O265" s="600" t="str">
        <f t="shared" ca="1" si="46"/>
        <v/>
      </c>
      <c r="P265" s="600">
        <f t="shared" ca="1" si="47"/>
        <v>10163243.18</v>
      </c>
    </row>
    <row r="266" spans="2:16">
      <c r="B266" s="617">
        <v>10010863</v>
      </c>
      <c r="C266" s="621" t="s">
        <v>10</v>
      </c>
      <c r="D266" s="565" t="s">
        <v>89</v>
      </c>
      <c r="E266" s="549" t="s">
        <v>504</v>
      </c>
      <c r="F266" s="566" t="s">
        <v>371</v>
      </c>
      <c r="G266" s="574">
        <v>43130</v>
      </c>
      <c r="H266" s="580">
        <v>1994671.38</v>
      </c>
      <c r="I266" s="591">
        <f t="shared" si="48"/>
        <v>43160</v>
      </c>
      <c r="J266" s="626">
        <f t="shared" ca="1" si="41"/>
        <v>1260</v>
      </c>
      <c r="K266" s="600" t="str">
        <f t="shared" ca="1" si="42"/>
        <v/>
      </c>
      <c r="L266" s="600" t="str">
        <f t="shared" ca="1" si="43"/>
        <v/>
      </c>
      <c r="M266" s="601" t="str">
        <f t="shared" ca="1" si="44"/>
        <v/>
      </c>
      <c r="N266" s="600" t="str">
        <f t="shared" ca="1" si="45"/>
        <v/>
      </c>
      <c r="O266" s="600" t="str">
        <f t="shared" ca="1" si="46"/>
        <v/>
      </c>
      <c r="P266" s="600">
        <f t="shared" ca="1" si="47"/>
        <v>1994671.38</v>
      </c>
    </row>
    <row r="267" spans="2:16">
      <c r="B267" s="617"/>
      <c r="C267" s="621"/>
      <c r="D267" s="565"/>
      <c r="E267" s="552"/>
      <c r="F267" s="570"/>
      <c r="G267" s="574"/>
      <c r="H267" s="580"/>
      <c r="I267" s="592"/>
      <c r="J267" s="626"/>
      <c r="K267" s="600" t="str">
        <f t="shared" si="42"/>
        <v/>
      </c>
      <c r="L267" s="600" t="str">
        <f t="shared" si="43"/>
        <v/>
      </c>
      <c r="M267" s="601" t="str">
        <f t="shared" si="44"/>
        <v/>
      </c>
      <c r="N267" s="600" t="str">
        <f t="shared" si="45"/>
        <v/>
      </c>
      <c r="O267" s="600" t="str">
        <f t="shared" si="46"/>
        <v/>
      </c>
      <c r="P267" s="600" t="str">
        <f t="shared" si="47"/>
        <v/>
      </c>
    </row>
    <row r="268" spans="2:16">
      <c r="B268" s="617"/>
      <c r="C268" s="621"/>
      <c r="D268" s="565"/>
      <c r="E268" s="549"/>
      <c r="F268" s="566"/>
      <c r="G268" s="574"/>
      <c r="H268" s="580"/>
      <c r="I268" s="593"/>
      <c r="J268" s="626"/>
      <c r="K268" s="600" t="str">
        <f t="shared" si="42"/>
        <v/>
      </c>
      <c r="L268" s="600" t="str">
        <f t="shared" si="43"/>
        <v/>
      </c>
      <c r="M268" s="601" t="str">
        <f t="shared" si="44"/>
        <v/>
      </c>
      <c r="N268" s="600" t="str">
        <f t="shared" si="45"/>
        <v/>
      </c>
      <c r="O268" s="600" t="str">
        <f t="shared" si="46"/>
        <v/>
      </c>
      <c r="P268" s="600" t="str">
        <f t="shared" si="47"/>
        <v/>
      </c>
    </row>
    <row r="269" spans="2:16">
      <c r="B269" s="617"/>
      <c r="C269" s="621"/>
      <c r="D269" s="565"/>
      <c r="E269" s="549"/>
      <c r="F269" s="566"/>
      <c r="G269" s="574"/>
      <c r="H269" s="580"/>
      <c r="I269" s="591"/>
      <c r="J269" s="626"/>
      <c r="K269" s="600" t="str">
        <f t="shared" si="42"/>
        <v/>
      </c>
      <c r="L269" s="600" t="str">
        <f t="shared" si="43"/>
        <v/>
      </c>
      <c r="M269" s="601" t="str">
        <f t="shared" si="44"/>
        <v/>
      </c>
      <c r="N269" s="600" t="str">
        <f t="shared" si="45"/>
        <v/>
      </c>
      <c r="O269" s="600" t="str">
        <f t="shared" si="46"/>
        <v/>
      </c>
      <c r="P269" s="600" t="str">
        <f t="shared" si="47"/>
        <v/>
      </c>
    </row>
    <row r="270" spans="2:16">
      <c r="B270" s="617">
        <v>10013008</v>
      </c>
      <c r="C270" s="621" t="s">
        <v>10</v>
      </c>
      <c r="D270" s="565" t="s">
        <v>91</v>
      </c>
      <c r="E270" s="245" t="s">
        <v>136</v>
      </c>
      <c r="F270" s="569"/>
      <c r="G270" s="577"/>
      <c r="H270" s="580">
        <v>18654729.218630828</v>
      </c>
      <c r="I270" s="590"/>
      <c r="J270" s="626"/>
      <c r="K270" s="600" t="str">
        <f t="shared" si="42"/>
        <v/>
      </c>
      <c r="L270" s="600" t="str">
        <f t="shared" si="43"/>
        <v/>
      </c>
      <c r="M270" s="601" t="str">
        <f t="shared" si="44"/>
        <v/>
      </c>
      <c r="N270" s="600" t="str">
        <f t="shared" si="45"/>
        <v/>
      </c>
      <c r="O270" s="600" t="str">
        <f t="shared" si="46"/>
        <v/>
      </c>
      <c r="P270" s="600" t="str">
        <f t="shared" si="47"/>
        <v/>
      </c>
    </row>
    <row r="271" spans="2:16">
      <c r="B271" s="617">
        <v>10013008</v>
      </c>
      <c r="C271" s="621" t="s">
        <v>10</v>
      </c>
      <c r="D271" s="565" t="s">
        <v>91</v>
      </c>
      <c r="E271" s="552" t="s">
        <v>221</v>
      </c>
      <c r="F271" s="570" t="s">
        <v>92</v>
      </c>
      <c r="G271" s="574">
        <v>44410</v>
      </c>
      <c r="H271" s="580">
        <v>29328120.166406497</v>
      </c>
      <c r="I271" s="592">
        <v>44250</v>
      </c>
      <c r="J271" s="626">
        <f t="shared" ca="1" si="41"/>
        <v>170</v>
      </c>
      <c r="K271" s="600" t="str">
        <f t="shared" ca="1" si="42"/>
        <v/>
      </c>
      <c r="L271" s="600" t="str">
        <f t="shared" ca="1" si="43"/>
        <v/>
      </c>
      <c r="M271" s="601" t="str">
        <f t="shared" ca="1" si="44"/>
        <v/>
      </c>
      <c r="N271" s="600">
        <f t="shared" ca="1" si="45"/>
        <v>29328120.166406497</v>
      </c>
      <c r="O271" s="600" t="str">
        <f t="shared" ca="1" si="46"/>
        <v/>
      </c>
      <c r="P271" s="600" t="str">
        <f t="shared" ca="1" si="47"/>
        <v/>
      </c>
    </row>
    <row r="272" spans="2:16">
      <c r="B272" s="617">
        <v>10013008</v>
      </c>
      <c r="C272" s="621" t="s">
        <v>10</v>
      </c>
      <c r="D272" s="565" t="s">
        <v>91</v>
      </c>
      <c r="E272" s="549" t="s">
        <v>222</v>
      </c>
      <c r="F272" s="566" t="s">
        <v>63</v>
      </c>
      <c r="G272" s="574">
        <v>44319</v>
      </c>
      <c r="H272" s="580">
        <v>23544229.901308998</v>
      </c>
      <c r="I272" s="591">
        <v>44275</v>
      </c>
      <c r="J272" s="626">
        <f t="shared" ca="1" si="41"/>
        <v>145</v>
      </c>
      <c r="K272" s="600" t="str">
        <f t="shared" ca="1" si="42"/>
        <v/>
      </c>
      <c r="L272" s="600" t="str">
        <f t="shared" ca="1" si="43"/>
        <v/>
      </c>
      <c r="M272" s="601" t="str">
        <f t="shared" ca="1" si="44"/>
        <v/>
      </c>
      <c r="N272" s="600">
        <f t="shared" ca="1" si="45"/>
        <v>23544229.901308998</v>
      </c>
      <c r="O272" s="600" t="str">
        <f t="shared" ca="1" si="46"/>
        <v/>
      </c>
      <c r="P272" s="600" t="str">
        <f t="shared" ca="1" si="47"/>
        <v/>
      </c>
    </row>
    <row r="273" spans="2:16">
      <c r="B273" s="617"/>
      <c r="C273" s="621"/>
      <c r="D273" s="565"/>
      <c r="E273" s="552"/>
      <c r="F273" s="570"/>
      <c r="G273" s="574"/>
      <c r="H273" s="580"/>
      <c r="I273" s="592"/>
      <c r="J273" s="626"/>
      <c r="K273" s="600" t="str">
        <f t="shared" si="42"/>
        <v/>
      </c>
      <c r="L273" s="600" t="str">
        <f t="shared" si="43"/>
        <v/>
      </c>
      <c r="M273" s="601" t="str">
        <f t="shared" si="44"/>
        <v/>
      </c>
      <c r="N273" s="600" t="str">
        <f t="shared" si="45"/>
        <v/>
      </c>
      <c r="O273" s="600" t="str">
        <f t="shared" si="46"/>
        <v/>
      </c>
      <c r="P273" s="600" t="str">
        <f t="shared" si="47"/>
        <v/>
      </c>
    </row>
    <row r="274" spans="2:16">
      <c r="B274" s="617"/>
      <c r="C274" s="621"/>
      <c r="D274" s="565"/>
      <c r="E274" s="549"/>
      <c r="F274" s="566"/>
      <c r="G274" s="574"/>
      <c r="H274" s="580"/>
      <c r="I274" s="591"/>
      <c r="J274" s="626"/>
      <c r="K274" s="600" t="str">
        <f t="shared" si="42"/>
        <v/>
      </c>
      <c r="L274" s="600" t="str">
        <f t="shared" si="43"/>
        <v/>
      </c>
      <c r="M274" s="601" t="str">
        <f t="shared" si="44"/>
        <v/>
      </c>
      <c r="N274" s="600" t="str">
        <f t="shared" si="45"/>
        <v/>
      </c>
      <c r="O274" s="600" t="str">
        <f t="shared" si="46"/>
        <v/>
      </c>
      <c r="P274" s="600" t="str">
        <f t="shared" si="47"/>
        <v/>
      </c>
    </row>
    <row r="275" spans="2:16">
      <c r="B275" s="617"/>
      <c r="C275" s="621"/>
      <c r="D275" s="565"/>
      <c r="E275" s="549"/>
      <c r="F275" s="566"/>
      <c r="G275" s="574"/>
      <c r="H275" s="580"/>
      <c r="I275" s="591"/>
      <c r="J275" s="626"/>
      <c r="K275" s="600" t="str">
        <f t="shared" si="42"/>
        <v/>
      </c>
      <c r="L275" s="600" t="str">
        <f t="shared" si="43"/>
        <v/>
      </c>
      <c r="M275" s="601" t="str">
        <f t="shared" si="44"/>
        <v/>
      </c>
      <c r="N275" s="600" t="str">
        <f t="shared" si="45"/>
        <v/>
      </c>
      <c r="O275" s="600" t="str">
        <f t="shared" si="46"/>
        <v/>
      </c>
      <c r="P275" s="600" t="str">
        <f t="shared" si="47"/>
        <v/>
      </c>
    </row>
    <row r="276" spans="2:16">
      <c r="B276" s="617">
        <v>10000507</v>
      </c>
      <c r="C276" s="621" t="s">
        <v>10</v>
      </c>
      <c r="D276" s="565" t="s">
        <v>95</v>
      </c>
      <c r="E276" s="552" t="s">
        <v>222</v>
      </c>
      <c r="F276" s="570" t="s">
        <v>1500</v>
      </c>
      <c r="G276" s="574">
        <v>44472</v>
      </c>
      <c r="H276" s="580">
        <v>169948339.40855923</v>
      </c>
      <c r="I276" s="592">
        <v>44296</v>
      </c>
      <c r="J276" s="626">
        <f t="shared" ca="1" si="41"/>
        <v>124</v>
      </c>
      <c r="K276" s="600" t="str">
        <f t="shared" ca="1" si="42"/>
        <v/>
      </c>
      <c r="L276" s="600" t="str">
        <f t="shared" ca="1" si="43"/>
        <v/>
      </c>
      <c r="M276" s="601" t="str">
        <f t="shared" ca="1" si="44"/>
        <v/>
      </c>
      <c r="N276" s="600">
        <f t="shared" ca="1" si="45"/>
        <v>169948339.40855923</v>
      </c>
      <c r="O276" s="600" t="str">
        <f t="shared" ca="1" si="46"/>
        <v/>
      </c>
      <c r="P276" s="600" t="str">
        <f t="shared" ca="1" si="47"/>
        <v/>
      </c>
    </row>
    <row r="277" spans="2:16">
      <c r="B277" s="617"/>
      <c r="C277" s="621"/>
      <c r="D277" s="565"/>
      <c r="E277" s="549"/>
      <c r="F277" s="566"/>
      <c r="G277" s="574"/>
      <c r="H277" s="580"/>
      <c r="I277" s="591"/>
      <c r="J277" s="626"/>
      <c r="K277" s="600" t="str">
        <f t="shared" si="42"/>
        <v/>
      </c>
      <c r="L277" s="600" t="str">
        <f t="shared" si="43"/>
        <v/>
      </c>
      <c r="M277" s="601" t="str">
        <f t="shared" si="44"/>
        <v/>
      </c>
      <c r="N277" s="600" t="str">
        <f t="shared" si="45"/>
        <v/>
      </c>
      <c r="O277" s="600" t="str">
        <f t="shared" si="46"/>
        <v/>
      </c>
      <c r="P277" s="600" t="str">
        <f t="shared" si="47"/>
        <v/>
      </c>
    </row>
    <row r="278" spans="2:16">
      <c r="B278" s="617"/>
      <c r="C278" s="621"/>
      <c r="D278" s="565"/>
      <c r="E278" s="549"/>
      <c r="F278" s="566"/>
      <c r="G278" s="574"/>
      <c r="H278" s="580"/>
      <c r="I278" s="591"/>
      <c r="J278" s="626"/>
      <c r="K278" s="600" t="str">
        <f t="shared" si="42"/>
        <v/>
      </c>
      <c r="L278" s="600" t="str">
        <f t="shared" si="43"/>
        <v/>
      </c>
      <c r="M278" s="601" t="str">
        <f t="shared" si="44"/>
        <v/>
      </c>
      <c r="N278" s="600" t="str">
        <f t="shared" si="45"/>
        <v/>
      </c>
      <c r="O278" s="600" t="str">
        <f t="shared" si="46"/>
        <v/>
      </c>
      <c r="P278" s="600" t="str">
        <f t="shared" si="47"/>
        <v/>
      </c>
    </row>
    <row r="279" spans="2:16">
      <c r="B279" s="617"/>
      <c r="C279" s="621"/>
      <c r="D279" s="565"/>
      <c r="E279" s="552"/>
      <c r="F279" s="570"/>
      <c r="G279" s="574"/>
      <c r="H279" s="580"/>
      <c r="I279" s="592"/>
      <c r="J279" s="626"/>
      <c r="K279" s="600" t="str">
        <f t="shared" si="42"/>
        <v/>
      </c>
      <c r="L279" s="600" t="str">
        <f t="shared" si="43"/>
        <v/>
      </c>
      <c r="M279" s="601" t="str">
        <f t="shared" si="44"/>
        <v/>
      </c>
      <c r="N279" s="600" t="str">
        <f t="shared" si="45"/>
        <v/>
      </c>
      <c r="O279" s="600" t="str">
        <f t="shared" si="46"/>
        <v/>
      </c>
      <c r="P279" s="600" t="str">
        <f t="shared" si="47"/>
        <v/>
      </c>
    </row>
    <row r="280" spans="2:16">
      <c r="B280" s="617">
        <v>10015067</v>
      </c>
      <c r="C280" s="621" t="s">
        <v>10</v>
      </c>
      <c r="D280" s="565" t="s">
        <v>96</v>
      </c>
      <c r="E280" s="549" t="s">
        <v>136</v>
      </c>
      <c r="F280" s="566"/>
      <c r="G280" s="574"/>
      <c r="H280" s="580">
        <v>957089.98999999941</v>
      </c>
      <c r="I280" s="591"/>
      <c r="J280" s="626"/>
      <c r="K280" s="600" t="str">
        <f t="shared" si="42"/>
        <v/>
      </c>
      <c r="L280" s="600" t="str">
        <f t="shared" si="43"/>
        <v/>
      </c>
      <c r="M280" s="601" t="str">
        <f t="shared" si="44"/>
        <v/>
      </c>
      <c r="N280" s="600" t="str">
        <f t="shared" si="45"/>
        <v/>
      </c>
      <c r="O280" s="600" t="str">
        <f t="shared" si="46"/>
        <v/>
      </c>
      <c r="P280" s="600" t="str">
        <f t="shared" si="47"/>
        <v/>
      </c>
    </row>
    <row r="281" spans="2:16">
      <c r="B281" s="617">
        <v>10015067</v>
      </c>
      <c r="C281" s="621" t="s">
        <v>10</v>
      </c>
      <c r="D281" s="565" t="s">
        <v>96</v>
      </c>
      <c r="E281" s="549" t="s">
        <v>212</v>
      </c>
      <c r="F281" s="566" t="s">
        <v>167</v>
      </c>
      <c r="G281" s="574">
        <v>44084</v>
      </c>
      <c r="H281" s="580">
        <v>663200.15850000002</v>
      </c>
      <c r="I281" s="591">
        <v>44129</v>
      </c>
      <c r="J281" s="626">
        <f t="shared" ca="1" si="41"/>
        <v>291</v>
      </c>
      <c r="K281" s="600" t="str">
        <f t="shared" ca="1" si="42"/>
        <v/>
      </c>
      <c r="L281" s="600" t="str">
        <f t="shared" ca="1" si="43"/>
        <v/>
      </c>
      <c r="M281" s="601" t="str">
        <f t="shared" ca="1" si="44"/>
        <v/>
      </c>
      <c r="N281" s="600" t="str">
        <f t="shared" ca="1" si="45"/>
        <v/>
      </c>
      <c r="O281" s="600">
        <f t="shared" ca="1" si="46"/>
        <v>663200.15850000002</v>
      </c>
      <c r="P281" s="600" t="str">
        <f t="shared" ca="1" si="47"/>
        <v/>
      </c>
    </row>
    <row r="282" spans="2:16">
      <c r="B282" s="617"/>
      <c r="C282" s="621"/>
      <c r="D282" s="565"/>
      <c r="E282" s="552"/>
      <c r="F282" s="570"/>
      <c r="G282" s="574"/>
      <c r="H282" s="580"/>
      <c r="I282" s="592"/>
      <c r="J282" s="626"/>
      <c r="K282" s="600" t="str">
        <f t="shared" si="42"/>
        <v/>
      </c>
      <c r="L282" s="600" t="str">
        <f t="shared" si="43"/>
        <v/>
      </c>
      <c r="M282" s="601" t="str">
        <f t="shared" si="44"/>
        <v/>
      </c>
      <c r="N282" s="600" t="str">
        <f t="shared" si="45"/>
        <v/>
      </c>
      <c r="O282" s="600" t="str">
        <f t="shared" si="46"/>
        <v/>
      </c>
      <c r="P282" s="600" t="str">
        <f t="shared" si="47"/>
        <v/>
      </c>
    </row>
    <row r="283" spans="2:16">
      <c r="B283" s="617"/>
      <c r="C283" s="621"/>
      <c r="D283" s="565"/>
      <c r="E283" s="549"/>
      <c r="F283" s="566"/>
      <c r="G283" s="574"/>
      <c r="H283" s="580"/>
      <c r="I283" s="591"/>
      <c r="J283" s="626"/>
      <c r="K283" s="600" t="str">
        <f t="shared" si="42"/>
        <v/>
      </c>
      <c r="L283" s="600" t="str">
        <f t="shared" si="43"/>
        <v/>
      </c>
      <c r="M283" s="601" t="str">
        <f t="shared" si="44"/>
        <v/>
      </c>
      <c r="N283" s="600" t="str">
        <f t="shared" si="45"/>
        <v/>
      </c>
      <c r="O283" s="600" t="str">
        <f t="shared" si="46"/>
        <v/>
      </c>
      <c r="P283" s="600" t="str">
        <f t="shared" si="47"/>
        <v/>
      </c>
    </row>
    <row r="284" spans="2:16">
      <c r="B284" s="617"/>
      <c r="C284" s="621"/>
      <c r="D284" s="565"/>
      <c r="E284" s="549"/>
      <c r="F284" s="566"/>
      <c r="G284" s="574"/>
      <c r="H284" s="580"/>
      <c r="I284" s="591"/>
      <c r="J284" s="626"/>
      <c r="K284" s="600" t="str">
        <f t="shared" si="42"/>
        <v/>
      </c>
      <c r="L284" s="600" t="str">
        <f t="shared" si="43"/>
        <v/>
      </c>
      <c r="M284" s="601" t="str">
        <f t="shared" si="44"/>
        <v/>
      </c>
      <c r="N284" s="600" t="str">
        <f t="shared" si="45"/>
        <v/>
      </c>
      <c r="O284" s="600" t="str">
        <f t="shared" si="46"/>
        <v/>
      </c>
      <c r="P284" s="600" t="str">
        <f t="shared" si="47"/>
        <v/>
      </c>
    </row>
    <row r="285" spans="2:16">
      <c r="B285" s="617">
        <v>10012384</v>
      </c>
      <c r="C285" s="621" t="s">
        <v>10</v>
      </c>
      <c r="D285" s="565" t="s">
        <v>98</v>
      </c>
      <c r="E285" s="552" t="s">
        <v>136</v>
      </c>
      <c r="F285" s="570"/>
      <c r="G285" s="574"/>
      <c r="H285" s="580">
        <v>13971585.277287439</v>
      </c>
      <c r="I285" s="592"/>
      <c r="J285" s="626"/>
      <c r="K285" s="600" t="str">
        <f t="shared" si="42"/>
        <v/>
      </c>
      <c r="L285" s="600" t="str">
        <f t="shared" si="43"/>
        <v/>
      </c>
      <c r="M285" s="601" t="str">
        <f t="shared" si="44"/>
        <v/>
      </c>
      <c r="N285" s="600" t="str">
        <f t="shared" si="45"/>
        <v/>
      </c>
      <c r="O285" s="600" t="str">
        <f t="shared" si="46"/>
        <v/>
      </c>
      <c r="P285" s="600" t="str">
        <f t="shared" si="47"/>
        <v/>
      </c>
    </row>
    <row r="286" spans="2:16">
      <c r="B286" s="617">
        <v>10012384</v>
      </c>
      <c r="C286" s="621" t="s">
        <v>10</v>
      </c>
      <c r="D286" s="565" t="s">
        <v>98</v>
      </c>
      <c r="E286" s="549" t="s">
        <v>222</v>
      </c>
      <c r="F286" s="566" t="s">
        <v>528</v>
      </c>
      <c r="G286" s="574">
        <v>44411</v>
      </c>
      <c r="H286" s="580">
        <v>62170612.404910147</v>
      </c>
      <c r="I286" s="591">
        <v>44278</v>
      </c>
      <c r="J286" s="626">
        <f t="shared" ca="1" si="41"/>
        <v>142</v>
      </c>
      <c r="K286" s="600" t="str">
        <f t="shared" ca="1" si="42"/>
        <v/>
      </c>
      <c r="L286" s="600" t="str">
        <f t="shared" ca="1" si="43"/>
        <v/>
      </c>
      <c r="M286" s="601" t="str">
        <f t="shared" ca="1" si="44"/>
        <v/>
      </c>
      <c r="N286" s="600">
        <f t="shared" ca="1" si="45"/>
        <v>62170612.404910147</v>
      </c>
      <c r="O286" s="600" t="str">
        <f t="shared" ca="1" si="46"/>
        <v/>
      </c>
      <c r="P286" s="600" t="str">
        <f t="shared" ca="1" si="47"/>
        <v/>
      </c>
    </row>
    <row r="287" spans="2:16">
      <c r="B287" s="617"/>
      <c r="C287" s="621"/>
      <c r="D287" s="565"/>
      <c r="E287" s="549"/>
      <c r="F287" s="566"/>
      <c r="G287" s="574"/>
      <c r="H287" s="580"/>
      <c r="I287" s="591"/>
      <c r="J287" s="626"/>
      <c r="K287" s="600" t="str">
        <f t="shared" si="42"/>
        <v/>
      </c>
      <c r="L287" s="600" t="str">
        <f t="shared" si="43"/>
        <v/>
      </c>
      <c r="M287" s="601" t="str">
        <f t="shared" si="44"/>
        <v/>
      </c>
      <c r="N287" s="600" t="str">
        <f t="shared" si="45"/>
        <v/>
      </c>
      <c r="O287" s="600" t="str">
        <f t="shared" si="46"/>
        <v/>
      </c>
      <c r="P287" s="600" t="str">
        <f t="shared" si="47"/>
        <v/>
      </c>
    </row>
    <row r="288" spans="2:16">
      <c r="B288" s="617"/>
      <c r="C288" s="621"/>
      <c r="D288" s="565"/>
      <c r="E288" s="552"/>
      <c r="F288" s="570"/>
      <c r="G288" s="574"/>
      <c r="H288" s="580"/>
      <c r="I288" s="592"/>
      <c r="J288" s="626"/>
      <c r="K288" s="600" t="str">
        <f t="shared" si="42"/>
        <v/>
      </c>
      <c r="L288" s="600" t="str">
        <f t="shared" si="43"/>
        <v/>
      </c>
      <c r="M288" s="601" t="str">
        <f t="shared" si="44"/>
        <v/>
      </c>
      <c r="N288" s="600" t="str">
        <f t="shared" si="45"/>
        <v/>
      </c>
      <c r="O288" s="600" t="str">
        <f t="shared" si="46"/>
        <v/>
      </c>
      <c r="P288" s="600" t="str">
        <f t="shared" si="47"/>
        <v/>
      </c>
    </row>
    <row r="289" spans="2:16">
      <c r="B289" s="617">
        <v>10000265</v>
      </c>
      <c r="C289" s="621" t="s">
        <v>10</v>
      </c>
      <c r="D289" s="565" t="s">
        <v>99</v>
      </c>
      <c r="E289" s="549" t="s">
        <v>136</v>
      </c>
      <c r="F289" s="566"/>
      <c r="G289" s="574"/>
      <c r="H289" s="580">
        <v>806933.12584703416</v>
      </c>
      <c r="I289" s="591"/>
      <c r="J289" s="626"/>
      <c r="K289" s="600" t="str">
        <f t="shared" si="42"/>
        <v/>
      </c>
      <c r="L289" s="600" t="str">
        <f t="shared" si="43"/>
        <v/>
      </c>
      <c r="M289" s="601" t="str">
        <f t="shared" si="44"/>
        <v/>
      </c>
      <c r="N289" s="600" t="str">
        <f t="shared" si="45"/>
        <v/>
      </c>
      <c r="O289" s="600" t="str">
        <f t="shared" si="46"/>
        <v/>
      </c>
      <c r="P289" s="600" t="str">
        <f t="shared" si="47"/>
        <v/>
      </c>
    </row>
    <row r="290" spans="2:16">
      <c r="B290" s="617">
        <v>10000265</v>
      </c>
      <c r="C290" s="621" t="s">
        <v>10</v>
      </c>
      <c r="D290" s="565" t="s">
        <v>99</v>
      </c>
      <c r="E290" s="549" t="s">
        <v>199</v>
      </c>
      <c r="F290" s="566" t="s">
        <v>74</v>
      </c>
      <c r="G290" s="574">
        <v>44049</v>
      </c>
      <c r="H290" s="580">
        <v>2918392.3403816</v>
      </c>
      <c r="I290" s="591">
        <v>43897</v>
      </c>
      <c r="J290" s="626">
        <f t="shared" ca="1" si="41"/>
        <v>523</v>
      </c>
      <c r="K290" s="600" t="str">
        <f t="shared" ca="1" si="42"/>
        <v/>
      </c>
      <c r="L290" s="600" t="str">
        <f t="shared" ca="1" si="43"/>
        <v/>
      </c>
      <c r="M290" s="601" t="str">
        <f t="shared" ca="1" si="44"/>
        <v/>
      </c>
      <c r="N290" s="600" t="str">
        <f t="shared" ca="1" si="45"/>
        <v/>
      </c>
      <c r="O290" s="600" t="str">
        <f t="shared" ca="1" si="46"/>
        <v/>
      </c>
      <c r="P290" s="600">
        <f t="shared" ca="1" si="47"/>
        <v>2918392.3403816</v>
      </c>
    </row>
    <row r="291" spans="2:16">
      <c r="B291" s="617"/>
      <c r="C291" s="621"/>
      <c r="D291" s="565"/>
      <c r="E291" s="552"/>
      <c r="F291" s="570"/>
      <c r="G291" s="574"/>
      <c r="H291" s="580"/>
      <c r="I291" s="592"/>
      <c r="J291" s="626"/>
      <c r="K291" s="600" t="str">
        <f t="shared" si="42"/>
        <v/>
      </c>
      <c r="L291" s="600" t="str">
        <f t="shared" si="43"/>
        <v/>
      </c>
      <c r="M291" s="601" t="str">
        <f t="shared" si="44"/>
        <v/>
      </c>
      <c r="N291" s="600" t="str">
        <f t="shared" si="45"/>
        <v/>
      </c>
      <c r="O291" s="600" t="str">
        <f t="shared" si="46"/>
        <v/>
      </c>
      <c r="P291" s="600" t="str">
        <f t="shared" si="47"/>
        <v/>
      </c>
    </row>
    <row r="292" spans="2:16">
      <c r="B292" s="617"/>
      <c r="C292" s="621"/>
      <c r="D292" s="565"/>
      <c r="E292" s="549"/>
      <c r="F292" s="566"/>
      <c r="G292" s="574"/>
      <c r="H292" s="580"/>
      <c r="I292" s="591"/>
      <c r="J292" s="626"/>
      <c r="K292" s="600" t="str">
        <f t="shared" si="42"/>
        <v/>
      </c>
      <c r="L292" s="600" t="str">
        <f t="shared" si="43"/>
        <v/>
      </c>
      <c r="M292" s="601" t="str">
        <f t="shared" si="44"/>
        <v/>
      </c>
      <c r="N292" s="600" t="str">
        <f t="shared" si="45"/>
        <v/>
      </c>
      <c r="O292" s="600" t="str">
        <f t="shared" si="46"/>
        <v/>
      </c>
      <c r="P292" s="600" t="str">
        <f t="shared" si="47"/>
        <v/>
      </c>
    </row>
    <row r="293" spans="2:16">
      <c r="B293" s="617"/>
      <c r="C293" s="621"/>
      <c r="D293" s="565"/>
      <c r="E293" s="549"/>
      <c r="F293" s="566"/>
      <c r="G293" s="574"/>
      <c r="H293" s="580"/>
      <c r="I293" s="591"/>
      <c r="J293" s="626"/>
      <c r="K293" s="600" t="str">
        <f t="shared" si="42"/>
        <v/>
      </c>
      <c r="L293" s="600" t="str">
        <f t="shared" si="43"/>
        <v/>
      </c>
      <c r="M293" s="601" t="str">
        <f t="shared" si="44"/>
        <v/>
      </c>
      <c r="N293" s="600" t="str">
        <f t="shared" si="45"/>
        <v/>
      </c>
      <c r="O293" s="600" t="str">
        <f t="shared" si="46"/>
        <v/>
      </c>
      <c r="P293" s="600" t="str">
        <f t="shared" si="47"/>
        <v/>
      </c>
    </row>
    <row r="294" spans="2:16">
      <c r="B294" s="617">
        <v>10012644</v>
      </c>
      <c r="C294" s="621" t="s">
        <v>10</v>
      </c>
      <c r="D294" s="565" t="s">
        <v>100</v>
      </c>
      <c r="E294" s="552" t="s">
        <v>219</v>
      </c>
      <c r="F294" s="570" t="s">
        <v>386</v>
      </c>
      <c r="G294" s="574">
        <v>44409</v>
      </c>
      <c r="H294" s="580">
        <v>92037040.168728501</v>
      </c>
      <c r="I294" s="592">
        <v>44219</v>
      </c>
      <c r="J294" s="626">
        <f t="shared" ca="1" si="41"/>
        <v>201</v>
      </c>
      <c r="K294" s="600" t="str">
        <f t="shared" ca="1" si="42"/>
        <v/>
      </c>
      <c r="L294" s="600" t="str">
        <f t="shared" ca="1" si="43"/>
        <v/>
      </c>
      <c r="M294" s="601" t="str">
        <f t="shared" ca="1" si="44"/>
        <v/>
      </c>
      <c r="N294" s="600" t="str">
        <f t="shared" ca="1" si="45"/>
        <v/>
      </c>
      <c r="O294" s="600">
        <f t="shared" ca="1" si="46"/>
        <v>92037040.168728501</v>
      </c>
      <c r="P294" s="600" t="str">
        <f t="shared" ca="1" si="47"/>
        <v/>
      </c>
    </row>
    <row r="295" spans="2:16">
      <c r="B295" s="617"/>
      <c r="C295" s="621"/>
      <c r="D295" s="565"/>
      <c r="E295" s="552" t="s">
        <v>221</v>
      </c>
      <c r="F295" s="570" t="s">
        <v>388</v>
      </c>
      <c r="G295" s="574">
        <v>44441</v>
      </c>
      <c r="H295" s="580">
        <v>388393932.37698895</v>
      </c>
      <c r="I295" s="592">
        <v>44250</v>
      </c>
      <c r="J295" s="626">
        <f t="shared" ca="1" si="41"/>
        <v>170</v>
      </c>
      <c r="K295" s="600" t="str">
        <f t="shared" ca="1" si="42"/>
        <v/>
      </c>
      <c r="L295" s="600" t="str">
        <f t="shared" ca="1" si="43"/>
        <v/>
      </c>
      <c r="M295" s="601" t="str">
        <f t="shared" ca="1" si="44"/>
        <v/>
      </c>
      <c r="N295" s="600">
        <f t="shared" ca="1" si="45"/>
        <v>388393932.37698895</v>
      </c>
      <c r="O295" s="600" t="str">
        <f t="shared" ca="1" si="46"/>
        <v/>
      </c>
      <c r="P295" s="600" t="str">
        <f t="shared" ca="1" si="47"/>
        <v/>
      </c>
    </row>
    <row r="296" spans="2:16">
      <c r="B296" s="617"/>
      <c r="C296" s="621"/>
      <c r="D296" s="565"/>
      <c r="E296" s="552" t="s">
        <v>222</v>
      </c>
      <c r="F296" s="570" t="s">
        <v>388</v>
      </c>
      <c r="G296" s="574">
        <v>44319</v>
      </c>
      <c r="H296" s="580">
        <v>319349434.80928952</v>
      </c>
      <c r="I296" s="592">
        <v>44275</v>
      </c>
      <c r="J296" s="626">
        <f t="shared" ca="1" si="41"/>
        <v>145</v>
      </c>
      <c r="K296" s="600" t="str">
        <f t="shared" ca="1" si="42"/>
        <v/>
      </c>
      <c r="L296" s="600" t="str">
        <f t="shared" ca="1" si="43"/>
        <v/>
      </c>
      <c r="M296" s="601" t="str">
        <f t="shared" ca="1" si="44"/>
        <v/>
      </c>
      <c r="N296" s="600">
        <f t="shared" ca="1" si="45"/>
        <v>319349434.80928952</v>
      </c>
      <c r="O296" s="600" t="str">
        <f t="shared" ca="1" si="46"/>
        <v/>
      </c>
      <c r="P296" s="600" t="str">
        <f t="shared" ca="1" si="47"/>
        <v/>
      </c>
    </row>
    <row r="297" spans="2:16">
      <c r="B297" s="617"/>
      <c r="C297" s="621"/>
      <c r="D297" s="565"/>
      <c r="E297" s="552"/>
      <c r="F297" s="570"/>
      <c r="G297" s="574"/>
      <c r="H297" s="580"/>
      <c r="I297" s="592"/>
      <c r="J297" s="626"/>
      <c r="K297" s="600" t="str">
        <f t="shared" si="42"/>
        <v/>
      </c>
      <c r="L297" s="600" t="str">
        <f t="shared" si="43"/>
        <v/>
      </c>
      <c r="M297" s="601" t="str">
        <f t="shared" si="44"/>
        <v/>
      </c>
      <c r="N297" s="600" t="str">
        <f t="shared" si="45"/>
        <v/>
      </c>
      <c r="O297" s="600" t="str">
        <f t="shared" si="46"/>
        <v/>
      </c>
      <c r="P297" s="600" t="str">
        <f t="shared" si="47"/>
        <v/>
      </c>
    </row>
    <row r="298" spans="2:16">
      <c r="B298" s="617"/>
      <c r="C298" s="621"/>
      <c r="D298" s="565"/>
      <c r="E298" s="552"/>
      <c r="F298" s="570"/>
      <c r="G298" s="574"/>
      <c r="H298" s="580"/>
      <c r="I298" s="592"/>
      <c r="J298" s="626"/>
      <c r="K298" s="600" t="str">
        <f t="shared" si="42"/>
        <v/>
      </c>
      <c r="L298" s="600" t="str">
        <f t="shared" si="43"/>
        <v/>
      </c>
      <c r="M298" s="601" t="str">
        <f t="shared" si="44"/>
        <v/>
      </c>
      <c r="N298" s="600" t="str">
        <f t="shared" si="45"/>
        <v/>
      </c>
      <c r="O298" s="600" t="str">
        <f t="shared" si="46"/>
        <v/>
      </c>
      <c r="P298" s="600" t="str">
        <f t="shared" si="47"/>
        <v/>
      </c>
    </row>
    <row r="299" spans="2:16">
      <c r="B299" s="617"/>
      <c r="C299" s="621"/>
      <c r="D299" s="565"/>
      <c r="E299" s="549"/>
      <c r="F299" s="566"/>
      <c r="G299" s="574"/>
      <c r="H299" s="580"/>
      <c r="I299" s="591"/>
      <c r="J299" s="626"/>
      <c r="K299" s="600" t="str">
        <f t="shared" si="42"/>
        <v/>
      </c>
      <c r="L299" s="600" t="str">
        <f t="shared" si="43"/>
        <v/>
      </c>
      <c r="M299" s="601" t="str">
        <f t="shared" si="44"/>
        <v/>
      </c>
      <c r="N299" s="600" t="str">
        <f t="shared" si="45"/>
        <v/>
      </c>
      <c r="O299" s="600" t="str">
        <f t="shared" si="46"/>
        <v/>
      </c>
      <c r="P299" s="600" t="str">
        <f t="shared" si="47"/>
        <v/>
      </c>
    </row>
    <row r="300" spans="2:16">
      <c r="B300" s="617"/>
      <c r="C300" s="621"/>
      <c r="D300" s="565"/>
      <c r="E300" s="549"/>
      <c r="F300" s="566"/>
      <c r="G300" s="574"/>
      <c r="H300" s="580"/>
      <c r="I300" s="591"/>
      <c r="J300" s="626"/>
      <c r="K300" s="600" t="str">
        <f t="shared" si="42"/>
        <v/>
      </c>
      <c r="L300" s="600" t="str">
        <f t="shared" si="43"/>
        <v/>
      </c>
      <c r="M300" s="601" t="str">
        <f t="shared" si="44"/>
        <v/>
      </c>
      <c r="N300" s="600" t="str">
        <f t="shared" si="45"/>
        <v/>
      </c>
      <c r="O300" s="600" t="str">
        <f t="shared" si="46"/>
        <v/>
      </c>
      <c r="P300" s="600" t="str">
        <f t="shared" si="47"/>
        <v/>
      </c>
    </row>
    <row r="301" spans="2:16">
      <c r="B301" s="617">
        <v>10010717</v>
      </c>
      <c r="C301" s="621" t="s">
        <v>10</v>
      </c>
      <c r="D301" s="565" t="s">
        <v>104</v>
      </c>
      <c r="E301" s="552" t="s">
        <v>136</v>
      </c>
      <c r="F301" s="570"/>
      <c r="G301" s="574"/>
      <c r="H301" s="580">
        <v>18602903.810000002</v>
      </c>
      <c r="I301" s="592"/>
      <c r="J301" s="626"/>
      <c r="K301" s="600" t="str">
        <f t="shared" si="42"/>
        <v/>
      </c>
      <c r="L301" s="600" t="str">
        <f t="shared" si="43"/>
        <v/>
      </c>
      <c r="M301" s="601" t="str">
        <f t="shared" si="44"/>
        <v/>
      </c>
      <c r="N301" s="600" t="str">
        <f t="shared" si="45"/>
        <v/>
      </c>
      <c r="O301" s="600" t="str">
        <f t="shared" si="46"/>
        <v/>
      </c>
      <c r="P301" s="600" t="str">
        <f t="shared" si="47"/>
        <v/>
      </c>
    </row>
    <row r="302" spans="2:16">
      <c r="B302" s="617"/>
      <c r="C302" s="621"/>
      <c r="D302" s="565"/>
      <c r="E302" s="549"/>
      <c r="F302" s="566"/>
      <c r="G302" s="574"/>
      <c r="H302" s="580"/>
      <c r="I302" s="591"/>
      <c r="J302" s="626"/>
      <c r="K302" s="600" t="str">
        <f t="shared" si="42"/>
        <v/>
      </c>
      <c r="L302" s="600" t="str">
        <f t="shared" si="43"/>
        <v/>
      </c>
      <c r="M302" s="601" t="str">
        <f t="shared" si="44"/>
        <v/>
      </c>
      <c r="N302" s="600" t="str">
        <f t="shared" si="45"/>
        <v/>
      </c>
      <c r="O302" s="600" t="str">
        <f t="shared" si="46"/>
        <v/>
      </c>
      <c r="P302" s="600" t="str">
        <f t="shared" si="47"/>
        <v/>
      </c>
    </row>
    <row r="303" spans="2:16">
      <c r="B303" s="617"/>
      <c r="C303" s="621"/>
      <c r="D303" s="565"/>
      <c r="E303" s="549"/>
      <c r="F303" s="566"/>
      <c r="G303" s="574"/>
      <c r="H303" s="580"/>
      <c r="I303" s="591"/>
      <c r="J303" s="626"/>
      <c r="K303" s="600" t="str">
        <f t="shared" ref="K303:K366" si="49">IF(AND(J303&gt;=16,J303&lt;=30),H303,"")</f>
        <v/>
      </c>
      <c r="L303" s="600" t="str">
        <f t="shared" ref="L303:L366" si="50">IF(AND(J303&gt;=31,J303&lt;=60),H303,"")</f>
        <v/>
      </c>
      <c r="M303" s="601" t="str">
        <f t="shared" ref="M303:M366" si="51">IF(AND(J303&gt;=61,J303&lt;=90),H303,"")</f>
        <v/>
      </c>
      <c r="N303" s="600" t="str">
        <f t="shared" ref="N303:N366" si="52">IF(AND(J303&gt;=91,J303&lt;=180),H303,"")</f>
        <v/>
      </c>
      <c r="O303" s="600" t="str">
        <f t="shared" ref="O303:O366" si="53">IF(AND(J303&gt;=181,J303&lt;=360),H303,"")</f>
        <v/>
      </c>
      <c r="P303" s="600" t="str">
        <f t="shared" ref="P303:P366" si="54">IF(J303&gt;=360,H303,"")</f>
        <v/>
      </c>
    </row>
    <row r="304" spans="2:16">
      <c r="B304" s="617">
        <v>10014784</v>
      </c>
      <c r="C304" s="621" t="s">
        <v>10</v>
      </c>
      <c r="D304" s="565" t="s">
        <v>105</v>
      </c>
      <c r="E304" s="552" t="s">
        <v>212</v>
      </c>
      <c r="F304" s="570" t="s">
        <v>167</v>
      </c>
      <c r="G304" s="574">
        <v>44084</v>
      </c>
      <c r="H304" s="580">
        <v>401552.37543725001</v>
      </c>
      <c r="I304" s="592">
        <v>44129</v>
      </c>
      <c r="J304" s="626">
        <f ca="1">DATEDIF(I304,$J$4,"D")</f>
        <v>291</v>
      </c>
      <c r="K304" s="600" t="str">
        <f t="shared" ca="1" si="49"/>
        <v/>
      </c>
      <c r="L304" s="600" t="str">
        <f t="shared" ca="1" si="50"/>
        <v/>
      </c>
      <c r="M304" s="601" t="str">
        <f t="shared" ca="1" si="51"/>
        <v/>
      </c>
      <c r="N304" s="600" t="str">
        <f t="shared" ca="1" si="52"/>
        <v/>
      </c>
      <c r="O304" s="600">
        <f t="shared" ca="1" si="53"/>
        <v>401552.37543725001</v>
      </c>
      <c r="P304" s="600" t="str">
        <f t="shared" ca="1" si="54"/>
        <v/>
      </c>
    </row>
    <row r="305" spans="2:16">
      <c r="B305" s="617"/>
      <c r="C305" s="621"/>
      <c r="D305" s="565"/>
      <c r="E305" s="549"/>
      <c r="F305" s="566"/>
      <c r="G305" s="574"/>
      <c r="H305" s="580"/>
      <c r="I305" s="592"/>
      <c r="J305" s="626"/>
      <c r="K305" s="600" t="str">
        <f t="shared" si="49"/>
        <v/>
      </c>
      <c r="L305" s="600" t="str">
        <f t="shared" si="50"/>
        <v/>
      </c>
      <c r="M305" s="601" t="str">
        <f t="shared" si="51"/>
        <v/>
      </c>
      <c r="N305" s="600" t="str">
        <f t="shared" si="52"/>
        <v/>
      </c>
      <c r="O305" s="600" t="str">
        <f t="shared" si="53"/>
        <v/>
      </c>
      <c r="P305" s="600" t="str">
        <f t="shared" si="54"/>
        <v/>
      </c>
    </row>
    <row r="306" spans="2:16">
      <c r="B306" s="617"/>
      <c r="C306" s="621"/>
      <c r="D306" s="565"/>
      <c r="E306" s="549"/>
      <c r="F306" s="566"/>
      <c r="G306" s="574"/>
      <c r="H306" s="580"/>
      <c r="I306" s="592"/>
      <c r="J306" s="626"/>
      <c r="K306" s="600" t="str">
        <f t="shared" si="49"/>
        <v/>
      </c>
      <c r="L306" s="600" t="str">
        <f t="shared" si="50"/>
        <v/>
      </c>
      <c r="M306" s="601" t="str">
        <f t="shared" si="51"/>
        <v/>
      </c>
      <c r="N306" s="600" t="str">
        <f t="shared" si="52"/>
        <v/>
      </c>
      <c r="O306" s="600" t="str">
        <f t="shared" si="53"/>
        <v/>
      </c>
      <c r="P306" s="600" t="str">
        <f t="shared" si="54"/>
        <v/>
      </c>
    </row>
    <row r="307" spans="2:16">
      <c r="B307" s="617"/>
      <c r="C307" s="621"/>
      <c r="D307" s="565"/>
      <c r="E307" s="552"/>
      <c r="F307" s="570"/>
      <c r="G307" s="574"/>
      <c r="H307" s="580"/>
      <c r="I307" s="592"/>
      <c r="J307" s="626"/>
      <c r="K307" s="600" t="str">
        <f t="shared" si="49"/>
        <v/>
      </c>
      <c r="L307" s="600" t="str">
        <f t="shared" si="50"/>
        <v/>
      </c>
      <c r="M307" s="601" t="str">
        <f t="shared" si="51"/>
        <v/>
      </c>
      <c r="N307" s="600" t="str">
        <f t="shared" si="52"/>
        <v/>
      </c>
      <c r="O307" s="600" t="str">
        <f t="shared" si="53"/>
        <v/>
      </c>
      <c r="P307" s="600" t="str">
        <f t="shared" si="54"/>
        <v/>
      </c>
    </row>
    <row r="308" spans="2:16">
      <c r="B308" s="617">
        <v>10010190</v>
      </c>
      <c r="C308" s="621" t="s">
        <v>10</v>
      </c>
      <c r="D308" s="565" t="s">
        <v>108</v>
      </c>
      <c r="E308" s="549" t="s">
        <v>145</v>
      </c>
      <c r="F308" s="566" t="s">
        <v>540</v>
      </c>
      <c r="G308" s="574"/>
      <c r="H308" s="580">
        <v>72854.102697599985</v>
      </c>
      <c r="I308" s="586">
        <v>43521</v>
      </c>
      <c r="J308" s="626">
        <f ca="1">DATEDIF(I308,$J$4,"D")</f>
        <v>899</v>
      </c>
      <c r="K308" s="600" t="str">
        <f t="shared" ca="1" si="49"/>
        <v/>
      </c>
      <c r="L308" s="600" t="str">
        <f t="shared" ca="1" si="50"/>
        <v/>
      </c>
      <c r="M308" s="601" t="str">
        <f t="shared" ca="1" si="51"/>
        <v/>
      </c>
      <c r="N308" s="600" t="str">
        <f t="shared" ca="1" si="52"/>
        <v/>
      </c>
      <c r="O308" s="600" t="str">
        <f t="shared" ca="1" si="53"/>
        <v/>
      </c>
      <c r="P308" s="600">
        <f t="shared" ca="1" si="54"/>
        <v>72854.102697599985</v>
      </c>
    </row>
    <row r="309" spans="2:16">
      <c r="B309" s="617">
        <v>10010190</v>
      </c>
      <c r="C309" s="621" t="s">
        <v>10</v>
      </c>
      <c r="D309" s="565" t="s">
        <v>108</v>
      </c>
      <c r="E309" s="549" t="s">
        <v>148</v>
      </c>
      <c r="F309" s="566" t="s">
        <v>542</v>
      </c>
      <c r="G309" s="574"/>
      <c r="H309" s="580">
        <v>2185135.9820837379</v>
      </c>
      <c r="I309" s="586">
        <v>43549</v>
      </c>
      <c r="J309" s="626">
        <f ca="1">DATEDIF(I309,$J$4,"D")</f>
        <v>871</v>
      </c>
      <c r="K309" s="600" t="str">
        <f t="shared" ca="1" si="49"/>
        <v/>
      </c>
      <c r="L309" s="600" t="str">
        <f t="shared" ca="1" si="50"/>
        <v/>
      </c>
      <c r="M309" s="601" t="str">
        <f t="shared" ca="1" si="51"/>
        <v/>
      </c>
      <c r="N309" s="600" t="str">
        <f t="shared" ca="1" si="52"/>
        <v/>
      </c>
      <c r="O309" s="600" t="str">
        <f t="shared" ca="1" si="53"/>
        <v/>
      </c>
      <c r="P309" s="600">
        <f t="shared" ca="1" si="54"/>
        <v>2185135.9820837379</v>
      </c>
    </row>
    <row r="310" spans="2:16">
      <c r="B310" s="617"/>
      <c r="C310" s="621"/>
      <c r="D310" s="565"/>
      <c r="E310" s="552"/>
      <c r="F310" s="570"/>
      <c r="G310" s="574"/>
      <c r="H310" s="580"/>
      <c r="I310" s="592"/>
      <c r="J310" s="626"/>
      <c r="K310" s="600" t="str">
        <f t="shared" si="49"/>
        <v/>
      </c>
      <c r="L310" s="600" t="str">
        <f t="shared" si="50"/>
        <v/>
      </c>
      <c r="M310" s="601" t="str">
        <f t="shared" si="51"/>
        <v/>
      </c>
      <c r="N310" s="600" t="str">
        <f t="shared" si="52"/>
        <v/>
      </c>
      <c r="O310" s="600" t="str">
        <f t="shared" si="53"/>
        <v/>
      </c>
      <c r="P310" s="600" t="str">
        <f t="shared" si="54"/>
        <v/>
      </c>
    </row>
    <row r="311" spans="2:16">
      <c r="B311" s="617"/>
      <c r="C311" s="621"/>
      <c r="D311" s="565"/>
      <c r="E311" s="549"/>
      <c r="F311" s="566"/>
      <c r="G311" s="574"/>
      <c r="H311" s="580"/>
      <c r="I311" s="592"/>
      <c r="J311" s="626"/>
      <c r="K311" s="600" t="str">
        <f t="shared" si="49"/>
        <v/>
      </c>
      <c r="L311" s="600" t="str">
        <f t="shared" si="50"/>
        <v/>
      </c>
      <c r="M311" s="601" t="str">
        <f t="shared" si="51"/>
        <v/>
      </c>
      <c r="N311" s="600" t="str">
        <f t="shared" si="52"/>
        <v/>
      </c>
      <c r="O311" s="600" t="str">
        <f t="shared" si="53"/>
        <v/>
      </c>
      <c r="P311" s="600" t="str">
        <f t="shared" si="54"/>
        <v/>
      </c>
    </row>
    <row r="312" spans="2:16">
      <c r="B312" s="617"/>
      <c r="C312" s="621"/>
      <c r="D312" s="565"/>
      <c r="E312" s="549"/>
      <c r="F312" s="566"/>
      <c r="G312" s="574"/>
      <c r="H312" s="580"/>
      <c r="I312" s="591"/>
      <c r="J312" s="626"/>
      <c r="K312" s="600" t="str">
        <f t="shared" si="49"/>
        <v/>
      </c>
      <c r="L312" s="600" t="str">
        <f t="shared" si="50"/>
        <v/>
      </c>
      <c r="M312" s="601" t="str">
        <f t="shared" si="51"/>
        <v/>
      </c>
      <c r="N312" s="600" t="str">
        <f t="shared" si="52"/>
        <v/>
      </c>
      <c r="O312" s="600" t="str">
        <f t="shared" si="53"/>
        <v/>
      </c>
      <c r="P312" s="600" t="str">
        <f t="shared" si="54"/>
        <v/>
      </c>
    </row>
    <row r="313" spans="2:16">
      <c r="B313" s="617">
        <v>10015115</v>
      </c>
      <c r="C313" s="621" t="s">
        <v>10</v>
      </c>
      <c r="D313" s="565" t="s">
        <v>109</v>
      </c>
      <c r="E313" s="552" t="s">
        <v>221</v>
      </c>
      <c r="F313" s="570" t="s">
        <v>1589</v>
      </c>
      <c r="G313" s="574" t="s">
        <v>47</v>
      </c>
      <c r="H313" s="580">
        <v>22505.553204749995</v>
      </c>
      <c r="I313" s="592">
        <v>44253</v>
      </c>
      <c r="J313" s="626">
        <f ca="1">DATEDIF(I313,$J$4,"D")</f>
        <v>167</v>
      </c>
      <c r="K313" s="600" t="str">
        <f t="shared" ca="1" si="49"/>
        <v/>
      </c>
      <c r="L313" s="600" t="str">
        <f t="shared" ca="1" si="50"/>
        <v/>
      </c>
      <c r="M313" s="601" t="str">
        <f t="shared" ca="1" si="51"/>
        <v/>
      </c>
      <c r="N313" s="600">
        <f t="shared" ca="1" si="52"/>
        <v>22505.553204749995</v>
      </c>
      <c r="O313" s="600" t="str">
        <f t="shared" ca="1" si="53"/>
        <v/>
      </c>
      <c r="P313" s="600" t="str">
        <f t="shared" ca="1" si="54"/>
        <v/>
      </c>
    </row>
    <row r="314" spans="2:16">
      <c r="B314" s="617">
        <v>10015115</v>
      </c>
      <c r="C314" s="622" t="s">
        <v>10</v>
      </c>
      <c r="D314" s="565" t="s">
        <v>109</v>
      </c>
      <c r="E314" s="549" t="s">
        <v>222</v>
      </c>
      <c r="F314" s="566" t="s">
        <v>120</v>
      </c>
      <c r="G314" s="574">
        <v>44472</v>
      </c>
      <c r="H314" s="580">
        <v>86097.007336724986</v>
      </c>
      <c r="I314" s="592">
        <v>44280</v>
      </c>
      <c r="J314" s="626">
        <f ca="1">DATEDIF(I314,$J$4,"D")</f>
        <v>140</v>
      </c>
      <c r="K314" s="600" t="str">
        <f t="shared" ca="1" si="49"/>
        <v/>
      </c>
      <c r="L314" s="600" t="str">
        <f t="shared" ca="1" si="50"/>
        <v/>
      </c>
      <c r="M314" s="601" t="str">
        <f t="shared" ca="1" si="51"/>
        <v/>
      </c>
      <c r="N314" s="600">
        <f t="shared" ca="1" si="52"/>
        <v>86097.007336724986</v>
      </c>
      <c r="O314" s="600" t="str">
        <f t="shared" ca="1" si="53"/>
        <v/>
      </c>
      <c r="P314" s="600" t="str">
        <f t="shared" ca="1" si="54"/>
        <v/>
      </c>
    </row>
    <row r="315" spans="2:16">
      <c r="B315" s="617"/>
      <c r="C315" s="621"/>
      <c r="D315" s="565"/>
      <c r="E315" s="549"/>
      <c r="F315" s="566"/>
      <c r="G315" s="574"/>
      <c r="H315" s="580"/>
      <c r="I315" s="591"/>
      <c r="J315" s="626"/>
      <c r="K315" s="600" t="str">
        <f t="shared" si="49"/>
        <v/>
      </c>
      <c r="L315" s="600" t="str">
        <f t="shared" si="50"/>
        <v/>
      </c>
      <c r="M315" s="601" t="str">
        <f t="shared" si="51"/>
        <v/>
      </c>
      <c r="N315" s="600" t="str">
        <f t="shared" si="52"/>
        <v/>
      </c>
      <c r="O315" s="600" t="str">
        <f t="shared" si="53"/>
        <v/>
      </c>
      <c r="P315" s="600" t="str">
        <f t="shared" si="54"/>
        <v/>
      </c>
    </row>
    <row r="316" spans="2:16">
      <c r="B316" s="617"/>
      <c r="C316" s="621"/>
      <c r="D316" s="565"/>
      <c r="E316" s="552"/>
      <c r="F316" s="570"/>
      <c r="G316" s="574"/>
      <c r="H316" s="580"/>
      <c r="I316" s="592"/>
      <c r="J316" s="626"/>
      <c r="K316" s="600" t="str">
        <f t="shared" si="49"/>
        <v/>
      </c>
      <c r="L316" s="600" t="str">
        <f t="shared" si="50"/>
        <v/>
      </c>
      <c r="M316" s="601" t="str">
        <f t="shared" si="51"/>
        <v/>
      </c>
      <c r="N316" s="600" t="str">
        <f t="shared" si="52"/>
        <v/>
      </c>
      <c r="O316" s="600" t="str">
        <f t="shared" si="53"/>
        <v/>
      </c>
      <c r="P316" s="600" t="str">
        <f t="shared" si="54"/>
        <v/>
      </c>
    </row>
    <row r="317" spans="2:16">
      <c r="B317" s="617"/>
      <c r="C317" s="621"/>
      <c r="D317" s="565"/>
      <c r="E317" s="549"/>
      <c r="F317" s="566"/>
      <c r="G317" s="574"/>
      <c r="H317" s="580"/>
      <c r="I317" s="592"/>
      <c r="J317" s="626"/>
      <c r="K317" s="600" t="str">
        <f t="shared" si="49"/>
        <v/>
      </c>
      <c r="L317" s="600" t="str">
        <f t="shared" si="50"/>
        <v/>
      </c>
      <c r="M317" s="601" t="str">
        <f t="shared" si="51"/>
        <v/>
      </c>
      <c r="N317" s="600" t="str">
        <f t="shared" si="52"/>
        <v/>
      </c>
      <c r="O317" s="600" t="str">
        <f t="shared" si="53"/>
        <v/>
      </c>
      <c r="P317" s="600" t="str">
        <f t="shared" si="54"/>
        <v/>
      </c>
    </row>
    <row r="318" spans="2:16">
      <c r="B318" s="617">
        <v>10014785</v>
      </c>
      <c r="C318" s="621" t="s">
        <v>10</v>
      </c>
      <c r="D318" s="565" t="s">
        <v>110</v>
      </c>
      <c r="E318" s="549" t="s">
        <v>136</v>
      </c>
      <c r="F318" s="566"/>
      <c r="G318" s="574"/>
      <c r="H318" s="580">
        <v>444583.56060113199</v>
      </c>
      <c r="I318" s="591"/>
      <c r="J318" s="626"/>
      <c r="K318" s="600" t="str">
        <f t="shared" si="49"/>
        <v/>
      </c>
      <c r="L318" s="600" t="str">
        <f t="shared" si="50"/>
        <v/>
      </c>
      <c r="M318" s="601" t="str">
        <f t="shared" si="51"/>
        <v/>
      </c>
      <c r="N318" s="600" t="str">
        <f t="shared" si="52"/>
        <v/>
      </c>
      <c r="O318" s="600" t="str">
        <f t="shared" si="53"/>
        <v/>
      </c>
      <c r="P318" s="600" t="str">
        <f t="shared" si="54"/>
        <v/>
      </c>
    </row>
    <row r="319" spans="2:16">
      <c r="B319" s="617">
        <v>10014785</v>
      </c>
      <c r="C319" s="621" t="s">
        <v>10</v>
      </c>
      <c r="D319" s="565" t="s">
        <v>110</v>
      </c>
      <c r="E319" s="552" t="s">
        <v>221</v>
      </c>
      <c r="F319" s="570" t="s">
        <v>111</v>
      </c>
      <c r="G319" s="574">
        <v>44441</v>
      </c>
      <c r="H319" s="580">
        <v>29764345.063274421</v>
      </c>
      <c r="I319" s="592">
        <v>44250</v>
      </c>
      <c r="J319" s="626">
        <f ca="1">DATEDIF(I319,$J$4,"D")</f>
        <v>170</v>
      </c>
      <c r="K319" s="600" t="str">
        <f t="shared" ca="1" si="49"/>
        <v/>
      </c>
      <c r="L319" s="600" t="str">
        <f t="shared" ca="1" si="50"/>
        <v/>
      </c>
      <c r="M319" s="601" t="str">
        <f t="shared" ca="1" si="51"/>
        <v/>
      </c>
      <c r="N319" s="600">
        <f t="shared" ca="1" si="52"/>
        <v>29764345.063274421</v>
      </c>
      <c r="O319" s="600" t="str">
        <f t="shared" ca="1" si="53"/>
        <v/>
      </c>
      <c r="P319" s="600" t="str">
        <f t="shared" ca="1" si="54"/>
        <v/>
      </c>
    </row>
    <row r="320" spans="2:16">
      <c r="B320" s="617">
        <v>10014785</v>
      </c>
      <c r="C320" s="621" t="s">
        <v>10</v>
      </c>
      <c r="D320" s="565" t="s">
        <v>110</v>
      </c>
      <c r="E320" s="549" t="s">
        <v>222</v>
      </c>
      <c r="F320" s="566" t="s">
        <v>182</v>
      </c>
      <c r="G320" s="574">
        <v>44411</v>
      </c>
      <c r="H320" s="580">
        <v>33379782.909519445</v>
      </c>
      <c r="I320" s="592">
        <v>44278</v>
      </c>
      <c r="J320" s="626">
        <f ca="1">DATEDIF(I320,$J$4,"D")</f>
        <v>142</v>
      </c>
      <c r="K320" s="600" t="str">
        <f t="shared" ca="1" si="49"/>
        <v/>
      </c>
      <c r="L320" s="600" t="str">
        <f t="shared" ca="1" si="50"/>
        <v/>
      </c>
      <c r="M320" s="601" t="str">
        <f t="shared" ca="1" si="51"/>
        <v/>
      </c>
      <c r="N320" s="600">
        <f t="shared" ca="1" si="52"/>
        <v>33379782.909519445</v>
      </c>
      <c r="O320" s="600" t="str">
        <f t="shared" ca="1" si="53"/>
        <v/>
      </c>
      <c r="P320" s="600" t="str">
        <f t="shared" ca="1" si="54"/>
        <v/>
      </c>
    </row>
    <row r="321" spans="2:16">
      <c r="B321" s="617"/>
      <c r="C321" s="621"/>
      <c r="D321" s="565"/>
      <c r="E321" s="549"/>
      <c r="F321" s="566"/>
      <c r="G321" s="574"/>
      <c r="H321" s="580"/>
      <c r="I321" s="591"/>
      <c r="J321" s="626"/>
      <c r="K321" s="600" t="str">
        <f t="shared" si="49"/>
        <v/>
      </c>
      <c r="L321" s="600" t="str">
        <f t="shared" si="50"/>
        <v/>
      </c>
      <c r="M321" s="601" t="str">
        <f t="shared" si="51"/>
        <v/>
      </c>
      <c r="N321" s="600" t="str">
        <f t="shared" si="52"/>
        <v/>
      </c>
      <c r="O321" s="600" t="str">
        <f t="shared" si="53"/>
        <v/>
      </c>
      <c r="P321" s="600" t="str">
        <f t="shared" si="54"/>
        <v/>
      </c>
    </row>
    <row r="322" spans="2:16">
      <c r="B322" s="617"/>
      <c r="C322" s="621"/>
      <c r="D322" s="565"/>
      <c r="E322" s="549"/>
      <c r="F322" s="566"/>
      <c r="G322" s="574"/>
      <c r="H322" s="580"/>
      <c r="I322" s="591"/>
      <c r="J322" s="626"/>
      <c r="K322" s="600" t="str">
        <f t="shared" si="49"/>
        <v/>
      </c>
      <c r="L322" s="600" t="str">
        <f t="shared" si="50"/>
        <v/>
      </c>
      <c r="M322" s="601" t="str">
        <f t="shared" si="51"/>
        <v/>
      </c>
      <c r="N322" s="600" t="str">
        <f t="shared" si="52"/>
        <v/>
      </c>
      <c r="O322" s="600" t="str">
        <f t="shared" si="53"/>
        <v/>
      </c>
      <c r="P322" s="600" t="str">
        <f t="shared" si="54"/>
        <v/>
      </c>
    </row>
    <row r="323" spans="2:16">
      <c r="B323" s="617"/>
      <c r="C323" s="621"/>
      <c r="D323" s="565"/>
      <c r="E323" s="552"/>
      <c r="F323" s="570"/>
      <c r="G323" s="574"/>
      <c r="H323" s="580"/>
      <c r="I323" s="592"/>
      <c r="J323" s="626"/>
      <c r="K323" s="600" t="str">
        <f t="shared" si="49"/>
        <v/>
      </c>
      <c r="L323" s="600" t="str">
        <f t="shared" si="50"/>
        <v/>
      </c>
      <c r="M323" s="601" t="str">
        <f t="shared" si="51"/>
        <v/>
      </c>
      <c r="N323" s="600" t="str">
        <f t="shared" si="52"/>
        <v/>
      </c>
      <c r="O323" s="600" t="str">
        <f t="shared" si="53"/>
        <v/>
      </c>
      <c r="P323" s="600" t="str">
        <f t="shared" si="54"/>
        <v/>
      </c>
    </row>
    <row r="324" spans="2:16">
      <c r="B324" s="617">
        <v>10011035</v>
      </c>
      <c r="C324" s="621" t="s">
        <v>10</v>
      </c>
      <c r="D324" s="565" t="s">
        <v>112</v>
      </c>
      <c r="E324" s="549" t="s">
        <v>136</v>
      </c>
      <c r="F324" s="566"/>
      <c r="G324" s="574"/>
      <c r="H324" s="580">
        <v>9688985.0858814418</v>
      </c>
      <c r="I324" s="592"/>
      <c r="J324" s="626"/>
      <c r="K324" s="600" t="str">
        <f t="shared" si="49"/>
        <v/>
      </c>
      <c r="L324" s="600" t="str">
        <f t="shared" si="50"/>
        <v/>
      </c>
      <c r="M324" s="601" t="str">
        <f t="shared" si="51"/>
        <v/>
      </c>
      <c r="N324" s="600" t="str">
        <f t="shared" si="52"/>
        <v/>
      </c>
      <c r="O324" s="600" t="str">
        <f t="shared" si="53"/>
        <v/>
      </c>
      <c r="P324" s="600" t="str">
        <f t="shared" si="54"/>
        <v/>
      </c>
    </row>
    <row r="325" spans="2:16">
      <c r="B325" s="617">
        <v>10011035</v>
      </c>
      <c r="C325" s="621" t="s">
        <v>10</v>
      </c>
      <c r="D325" s="565" t="s">
        <v>112</v>
      </c>
      <c r="E325" s="549" t="s">
        <v>221</v>
      </c>
      <c r="F325" s="566" t="s">
        <v>113</v>
      </c>
      <c r="G325" s="574">
        <v>44441</v>
      </c>
      <c r="H325" s="580">
        <v>934587045.35113955</v>
      </c>
      <c r="I325" s="591">
        <v>44250</v>
      </c>
      <c r="J325" s="626">
        <f ca="1">DATEDIF(I325,$J$4,"D")</f>
        <v>170</v>
      </c>
      <c r="K325" s="600" t="str">
        <f t="shared" ca="1" si="49"/>
        <v/>
      </c>
      <c r="L325" s="600" t="str">
        <f t="shared" ca="1" si="50"/>
        <v/>
      </c>
      <c r="M325" s="601" t="str">
        <f t="shared" ca="1" si="51"/>
        <v/>
      </c>
      <c r="N325" s="600">
        <f t="shared" ca="1" si="52"/>
        <v>934587045.35113955</v>
      </c>
      <c r="O325" s="600" t="str">
        <f t="shared" ca="1" si="53"/>
        <v/>
      </c>
      <c r="P325" s="600" t="str">
        <f t="shared" ca="1" si="54"/>
        <v/>
      </c>
    </row>
    <row r="326" spans="2:16">
      <c r="B326" s="617">
        <v>10011035</v>
      </c>
      <c r="C326" s="621" t="s">
        <v>10</v>
      </c>
      <c r="D326" s="565" t="s">
        <v>112</v>
      </c>
      <c r="E326" s="552" t="s">
        <v>222</v>
      </c>
      <c r="F326" s="570" t="s">
        <v>229</v>
      </c>
      <c r="G326" s="574">
        <v>44319</v>
      </c>
      <c r="H326" s="580">
        <v>764818986.51309192</v>
      </c>
      <c r="I326" s="592">
        <v>44275</v>
      </c>
      <c r="J326" s="626">
        <f ca="1">DATEDIF(I326,$J$4,"D")</f>
        <v>145</v>
      </c>
      <c r="K326" s="600" t="str">
        <f t="shared" ca="1" si="49"/>
        <v/>
      </c>
      <c r="L326" s="600" t="str">
        <f t="shared" ca="1" si="50"/>
        <v/>
      </c>
      <c r="M326" s="601" t="str">
        <f t="shared" ca="1" si="51"/>
        <v/>
      </c>
      <c r="N326" s="600">
        <f t="shared" ca="1" si="52"/>
        <v>764818986.51309192</v>
      </c>
      <c r="O326" s="600" t="str">
        <f t="shared" ca="1" si="53"/>
        <v/>
      </c>
      <c r="P326" s="600" t="str">
        <f t="shared" ca="1" si="54"/>
        <v/>
      </c>
    </row>
    <row r="327" spans="2:16">
      <c r="B327" s="617"/>
      <c r="C327" s="621"/>
      <c r="D327" s="565"/>
      <c r="E327" s="549"/>
      <c r="F327" s="566"/>
      <c r="G327" s="574"/>
      <c r="H327" s="580"/>
      <c r="I327" s="592"/>
      <c r="J327" s="626"/>
      <c r="K327" s="600" t="str">
        <f t="shared" si="49"/>
        <v/>
      </c>
      <c r="L327" s="600" t="str">
        <f t="shared" si="50"/>
        <v/>
      </c>
      <c r="M327" s="601" t="str">
        <f t="shared" si="51"/>
        <v/>
      </c>
      <c r="N327" s="600" t="str">
        <f t="shared" si="52"/>
        <v/>
      </c>
      <c r="O327" s="600" t="str">
        <f t="shared" si="53"/>
        <v/>
      </c>
      <c r="P327" s="600" t="str">
        <f t="shared" si="54"/>
        <v/>
      </c>
    </row>
    <row r="328" spans="2:16">
      <c r="B328" s="617"/>
      <c r="C328" s="621"/>
      <c r="D328" s="565"/>
      <c r="E328" s="549"/>
      <c r="F328" s="566"/>
      <c r="G328" s="574"/>
      <c r="H328" s="580"/>
      <c r="I328" s="591"/>
      <c r="J328" s="626"/>
      <c r="K328" s="600" t="str">
        <f t="shared" si="49"/>
        <v/>
      </c>
      <c r="L328" s="600" t="str">
        <f t="shared" si="50"/>
        <v/>
      </c>
      <c r="M328" s="601" t="str">
        <f t="shared" si="51"/>
        <v/>
      </c>
      <c r="N328" s="600" t="str">
        <f t="shared" si="52"/>
        <v/>
      </c>
      <c r="O328" s="600" t="str">
        <f t="shared" si="53"/>
        <v/>
      </c>
      <c r="P328" s="600" t="str">
        <f t="shared" si="54"/>
        <v/>
      </c>
    </row>
    <row r="329" spans="2:16">
      <c r="B329" s="617"/>
      <c r="C329" s="621"/>
      <c r="D329" s="565"/>
      <c r="E329" s="552"/>
      <c r="F329" s="570"/>
      <c r="G329" s="574"/>
      <c r="H329" s="580"/>
      <c r="I329" s="592"/>
      <c r="J329" s="626"/>
      <c r="K329" s="600" t="str">
        <f t="shared" si="49"/>
        <v/>
      </c>
      <c r="L329" s="600" t="str">
        <f t="shared" si="50"/>
        <v/>
      </c>
      <c r="M329" s="601" t="str">
        <f t="shared" si="51"/>
        <v/>
      </c>
      <c r="N329" s="600" t="str">
        <f t="shared" si="52"/>
        <v/>
      </c>
      <c r="O329" s="600" t="str">
        <f t="shared" si="53"/>
        <v/>
      </c>
      <c r="P329" s="600" t="str">
        <f t="shared" si="54"/>
        <v/>
      </c>
    </row>
    <row r="330" spans="2:16">
      <c r="B330" s="617">
        <v>10008607</v>
      </c>
      <c r="C330" s="621" t="s">
        <v>10</v>
      </c>
      <c r="D330" s="565" t="s">
        <v>114</v>
      </c>
      <c r="E330" s="549" t="s">
        <v>136</v>
      </c>
      <c r="F330" s="566"/>
      <c r="G330" s="574"/>
      <c r="H330" s="580">
        <v>958961888.1536026</v>
      </c>
      <c r="I330" s="592"/>
      <c r="J330" s="626"/>
      <c r="K330" s="600" t="str">
        <f t="shared" si="49"/>
        <v/>
      </c>
      <c r="L330" s="600" t="str">
        <f t="shared" si="50"/>
        <v/>
      </c>
      <c r="M330" s="601" t="str">
        <f t="shared" si="51"/>
        <v/>
      </c>
      <c r="N330" s="600" t="str">
        <f t="shared" si="52"/>
        <v/>
      </c>
      <c r="O330" s="600" t="str">
        <f t="shared" si="53"/>
        <v/>
      </c>
      <c r="P330" s="600" t="str">
        <f t="shared" si="54"/>
        <v/>
      </c>
    </row>
    <row r="331" spans="2:16">
      <c r="B331" s="617">
        <v>10008607</v>
      </c>
      <c r="C331" s="621" t="s">
        <v>10</v>
      </c>
      <c r="D331" s="565" t="s">
        <v>114</v>
      </c>
      <c r="E331" s="549" t="s">
        <v>250</v>
      </c>
      <c r="F331" s="566" t="s">
        <v>229</v>
      </c>
      <c r="G331" s="574"/>
      <c r="H331" s="580">
        <v>65697936.009999998</v>
      </c>
      <c r="I331" s="591">
        <v>43485</v>
      </c>
      <c r="J331" s="626">
        <f t="shared" ref="J331:J342" ca="1" si="55">DATEDIF(I331,$J$4,"D")</f>
        <v>935</v>
      </c>
      <c r="K331" s="600" t="str">
        <f t="shared" ca="1" si="49"/>
        <v/>
      </c>
      <c r="L331" s="600" t="str">
        <f t="shared" ca="1" si="50"/>
        <v/>
      </c>
      <c r="M331" s="601" t="str">
        <f t="shared" ca="1" si="51"/>
        <v/>
      </c>
      <c r="N331" s="600" t="str">
        <f t="shared" ca="1" si="52"/>
        <v/>
      </c>
      <c r="O331" s="600" t="str">
        <f t="shared" ca="1" si="53"/>
        <v/>
      </c>
      <c r="P331" s="600">
        <f t="shared" ca="1" si="54"/>
        <v>65697936.009999998</v>
      </c>
    </row>
    <row r="332" spans="2:16">
      <c r="B332" s="617">
        <v>10008607</v>
      </c>
      <c r="C332" s="621" t="s">
        <v>10</v>
      </c>
      <c r="D332" s="565" t="s">
        <v>114</v>
      </c>
      <c r="E332" s="552" t="s">
        <v>139</v>
      </c>
      <c r="F332" s="570" t="s">
        <v>232</v>
      </c>
      <c r="G332" s="574"/>
      <c r="H332" s="580">
        <v>73251383.870000005</v>
      </c>
      <c r="I332" s="592">
        <v>43516</v>
      </c>
      <c r="J332" s="626">
        <f t="shared" ca="1" si="55"/>
        <v>904</v>
      </c>
      <c r="K332" s="600" t="str">
        <f t="shared" ca="1" si="49"/>
        <v/>
      </c>
      <c r="L332" s="600" t="str">
        <f t="shared" ca="1" si="50"/>
        <v/>
      </c>
      <c r="M332" s="601" t="str">
        <f t="shared" ca="1" si="51"/>
        <v/>
      </c>
      <c r="N332" s="600" t="str">
        <f t="shared" ca="1" si="52"/>
        <v/>
      </c>
      <c r="O332" s="600" t="str">
        <f t="shared" ca="1" si="53"/>
        <v/>
      </c>
      <c r="P332" s="600">
        <f t="shared" ca="1" si="54"/>
        <v>73251383.870000005</v>
      </c>
    </row>
    <row r="333" spans="2:16">
      <c r="B333" s="617">
        <v>10008607</v>
      </c>
      <c r="C333" s="621" t="s">
        <v>10</v>
      </c>
      <c r="D333" s="565" t="s">
        <v>114</v>
      </c>
      <c r="E333" s="549" t="s">
        <v>142</v>
      </c>
      <c r="F333" s="566" t="s">
        <v>235</v>
      </c>
      <c r="G333" s="574">
        <v>43528</v>
      </c>
      <c r="H333" s="580">
        <v>2728179.7159920037</v>
      </c>
      <c r="I333" s="592">
        <f>G333+30</f>
        <v>43558</v>
      </c>
      <c r="J333" s="626">
        <f t="shared" ca="1" si="55"/>
        <v>862</v>
      </c>
      <c r="K333" s="600" t="str">
        <f t="shared" ca="1" si="49"/>
        <v/>
      </c>
      <c r="L333" s="600" t="str">
        <f t="shared" ca="1" si="50"/>
        <v/>
      </c>
      <c r="M333" s="601" t="str">
        <f t="shared" ca="1" si="51"/>
        <v/>
      </c>
      <c r="N333" s="600" t="str">
        <f t="shared" ca="1" si="52"/>
        <v/>
      </c>
      <c r="O333" s="600" t="str">
        <f t="shared" ca="1" si="53"/>
        <v/>
      </c>
      <c r="P333" s="600">
        <f t="shared" ca="1" si="54"/>
        <v>2728179.7159920037</v>
      </c>
    </row>
    <row r="334" spans="2:16">
      <c r="B334" s="617">
        <v>10008607</v>
      </c>
      <c r="C334" s="621" t="s">
        <v>10</v>
      </c>
      <c r="D334" s="565" t="s">
        <v>114</v>
      </c>
      <c r="E334" s="549" t="s">
        <v>145</v>
      </c>
      <c r="F334" s="566" t="s">
        <v>237</v>
      </c>
      <c r="G334" s="574">
        <v>43536</v>
      </c>
      <c r="H334" s="580">
        <v>45249046.190333992</v>
      </c>
      <c r="I334" s="592">
        <f>G334+30</f>
        <v>43566</v>
      </c>
      <c r="J334" s="626">
        <f t="shared" ca="1" si="55"/>
        <v>854</v>
      </c>
      <c r="K334" s="600" t="str">
        <f t="shared" ca="1" si="49"/>
        <v/>
      </c>
      <c r="L334" s="600" t="str">
        <f t="shared" ca="1" si="50"/>
        <v/>
      </c>
      <c r="M334" s="601" t="str">
        <f t="shared" ca="1" si="51"/>
        <v/>
      </c>
      <c r="N334" s="600" t="str">
        <f t="shared" ca="1" si="52"/>
        <v/>
      </c>
      <c r="O334" s="600" t="str">
        <f t="shared" ca="1" si="53"/>
        <v/>
      </c>
      <c r="P334" s="600">
        <f t="shared" ca="1" si="54"/>
        <v>45249046.190333992</v>
      </c>
    </row>
    <row r="335" spans="2:16">
      <c r="B335" s="617">
        <v>10008607</v>
      </c>
      <c r="C335" s="621" t="s">
        <v>10</v>
      </c>
      <c r="D335" s="565" t="s">
        <v>114</v>
      </c>
      <c r="E335" s="552" t="s">
        <v>148</v>
      </c>
      <c r="F335" s="570" t="s">
        <v>33</v>
      </c>
      <c r="G335" s="574"/>
      <c r="H335" s="580">
        <v>65231323.460677505</v>
      </c>
      <c r="I335" s="592">
        <v>43577</v>
      </c>
      <c r="J335" s="626">
        <f t="shared" ca="1" si="55"/>
        <v>843</v>
      </c>
      <c r="K335" s="600" t="str">
        <f t="shared" ca="1" si="49"/>
        <v/>
      </c>
      <c r="L335" s="600" t="str">
        <f t="shared" ca="1" si="50"/>
        <v/>
      </c>
      <c r="M335" s="601" t="str">
        <f t="shared" ca="1" si="51"/>
        <v/>
      </c>
      <c r="N335" s="600" t="str">
        <f t="shared" ca="1" si="52"/>
        <v/>
      </c>
      <c r="O335" s="600" t="str">
        <f t="shared" ca="1" si="53"/>
        <v/>
      </c>
      <c r="P335" s="600">
        <f t="shared" ca="1" si="54"/>
        <v>65231323.460677505</v>
      </c>
    </row>
    <row r="336" spans="2:16">
      <c r="B336" s="617">
        <v>10008607</v>
      </c>
      <c r="C336" s="621" t="s">
        <v>10</v>
      </c>
      <c r="D336" s="565" t="s">
        <v>114</v>
      </c>
      <c r="E336" s="549" t="s">
        <v>151</v>
      </c>
      <c r="F336" s="566" t="s">
        <v>241</v>
      </c>
      <c r="G336" s="574"/>
      <c r="H336" s="580">
        <v>42587211.966326997</v>
      </c>
      <c r="I336" s="592">
        <v>43617</v>
      </c>
      <c r="J336" s="626">
        <f t="shared" ca="1" si="55"/>
        <v>803</v>
      </c>
      <c r="K336" s="600" t="str">
        <f t="shared" ca="1" si="49"/>
        <v/>
      </c>
      <c r="L336" s="600" t="str">
        <f t="shared" ca="1" si="50"/>
        <v/>
      </c>
      <c r="M336" s="601" t="str">
        <f t="shared" ca="1" si="51"/>
        <v/>
      </c>
      <c r="N336" s="600" t="str">
        <f t="shared" ca="1" si="52"/>
        <v/>
      </c>
      <c r="O336" s="600" t="str">
        <f t="shared" ca="1" si="53"/>
        <v/>
      </c>
      <c r="P336" s="600">
        <f t="shared" ca="1" si="54"/>
        <v>42587211.966326997</v>
      </c>
    </row>
    <row r="337" spans="2:16">
      <c r="B337" s="617">
        <v>10008607</v>
      </c>
      <c r="C337" s="621" t="s">
        <v>10</v>
      </c>
      <c r="D337" s="565" t="s">
        <v>114</v>
      </c>
      <c r="E337" s="549" t="s">
        <v>154</v>
      </c>
      <c r="F337" s="566" t="s">
        <v>244</v>
      </c>
      <c r="G337" s="574"/>
      <c r="H337" s="580">
        <v>56478900.462431997</v>
      </c>
      <c r="I337" s="591">
        <v>43647</v>
      </c>
      <c r="J337" s="626">
        <f t="shared" ca="1" si="55"/>
        <v>773</v>
      </c>
      <c r="K337" s="600" t="str">
        <f t="shared" ca="1" si="49"/>
        <v/>
      </c>
      <c r="L337" s="600" t="str">
        <f t="shared" ca="1" si="50"/>
        <v/>
      </c>
      <c r="M337" s="601" t="str">
        <f t="shared" ca="1" si="51"/>
        <v/>
      </c>
      <c r="N337" s="600" t="str">
        <f t="shared" ca="1" si="52"/>
        <v/>
      </c>
      <c r="O337" s="600" t="str">
        <f t="shared" ca="1" si="53"/>
        <v/>
      </c>
      <c r="P337" s="600">
        <f t="shared" ca="1" si="54"/>
        <v>56478900.462431997</v>
      </c>
    </row>
    <row r="338" spans="2:16">
      <c r="B338" s="617">
        <v>10008607</v>
      </c>
      <c r="C338" s="621" t="s">
        <v>10</v>
      </c>
      <c r="D338" s="565" t="s">
        <v>114</v>
      </c>
      <c r="E338" s="552" t="s">
        <v>158</v>
      </c>
      <c r="F338" s="570" t="s">
        <v>57</v>
      </c>
      <c r="G338" s="574"/>
      <c r="H338" s="580">
        <v>54357249.927246004</v>
      </c>
      <c r="I338" s="592">
        <v>43678</v>
      </c>
      <c r="J338" s="626">
        <f t="shared" ca="1" si="55"/>
        <v>742</v>
      </c>
      <c r="K338" s="600" t="str">
        <f t="shared" ca="1" si="49"/>
        <v/>
      </c>
      <c r="L338" s="600" t="str">
        <f t="shared" ca="1" si="50"/>
        <v/>
      </c>
      <c r="M338" s="601" t="str">
        <f t="shared" ca="1" si="51"/>
        <v/>
      </c>
      <c r="N338" s="600" t="str">
        <f t="shared" ca="1" si="52"/>
        <v/>
      </c>
      <c r="O338" s="600" t="str">
        <f t="shared" ca="1" si="53"/>
        <v/>
      </c>
      <c r="P338" s="600">
        <f t="shared" ca="1" si="54"/>
        <v>54357249.927246004</v>
      </c>
    </row>
    <row r="339" spans="2:16">
      <c r="B339" s="617">
        <v>10008607</v>
      </c>
      <c r="C339" s="621" t="s">
        <v>10</v>
      </c>
      <c r="D339" s="565" t="s">
        <v>114</v>
      </c>
      <c r="E339" s="549" t="s">
        <v>162</v>
      </c>
      <c r="F339" s="566" t="s">
        <v>249</v>
      </c>
      <c r="G339" s="574"/>
      <c r="H339" s="580">
        <v>44949455.384148002</v>
      </c>
      <c r="I339" s="592">
        <v>43709</v>
      </c>
      <c r="J339" s="626">
        <f t="shared" ca="1" si="55"/>
        <v>711</v>
      </c>
      <c r="K339" s="600" t="str">
        <f t="shared" ca="1" si="49"/>
        <v/>
      </c>
      <c r="L339" s="600" t="str">
        <f t="shared" ca="1" si="50"/>
        <v/>
      </c>
      <c r="M339" s="601" t="str">
        <f t="shared" ca="1" si="51"/>
        <v/>
      </c>
      <c r="N339" s="600" t="str">
        <f t="shared" ca="1" si="52"/>
        <v/>
      </c>
      <c r="O339" s="600" t="str">
        <f t="shared" ca="1" si="53"/>
        <v/>
      </c>
      <c r="P339" s="600">
        <f t="shared" ca="1" si="54"/>
        <v>44949455.384148002</v>
      </c>
    </row>
    <row r="340" spans="2:16">
      <c r="B340" s="617">
        <v>10008607</v>
      </c>
      <c r="C340" s="621" t="s">
        <v>10</v>
      </c>
      <c r="D340" s="565" t="s">
        <v>114</v>
      </c>
      <c r="E340" s="549" t="s">
        <v>166</v>
      </c>
      <c r="F340" s="566" t="s">
        <v>251</v>
      </c>
      <c r="G340" s="574"/>
      <c r="H340" s="580">
        <v>46828708.403715007</v>
      </c>
      <c r="I340" s="591">
        <v>43739</v>
      </c>
      <c r="J340" s="626">
        <f t="shared" ca="1" si="55"/>
        <v>681</v>
      </c>
      <c r="K340" s="600" t="str">
        <f t="shared" ca="1" si="49"/>
        <v/>
      </c>
      <c r="L340" s="600" t="str">
        <f t="shared" ca="1" si="50"/>
        <v/>
      </c>
      <c r="M340" s="601" t="str">
        <f t="shared" ca="1" si="51"/>
        <v/>
      </c>
      <c r="N340" s="600" t="str">
        <f t="shared" ca="1" si="52"/>
        <v/>
      </c>
      <c r="O340" s="600" t="str">
        <f t="shared" ca="1" si="53"/>
        <v/>
      </c>
      <c r="P340" s="600">
        <f t="shared" ca="1" si="54"/>
        <v>46828708.403715007</v>
      </c>
    </row>
    <row r="341" spans="2:16">
      <c r="B341" s="617">
        <v>10008607</v>
      </c>
      <c r="C341" s="621" t="s">
        <v>10</v>
      </c>
      <c r="D341" s="565" t="s">
        <v>114</v>
      </c>
      <c r="E341" s="552" t="s">
        <v>170</v>
      </c>
      <c r="F341" s="570" t="s">
        <v>253</v>
      </c>
      <c r="G341" s="574"/>
      <c r="H341" s="580">
        <v>66438457.1475555</v>
      </c>
      <c r="I341" s="592">
        <v>43770</v>
      </c>
      <c r="J341" s="626">
        <f t="shared" ca="1" si="55"/>
        <v>650</v>
      </c>
      <c r="K341" s="600" t="str">
        <f t="shared" ca="1" si="49"/>
        <v/>
      </c>
      <c r="L341" s="600" t="str">
        <f t="shared" ca="1" si="50"/>
        <v/>
      </c>
      <c r="M341" s="601" t="str">
        <f t="shared" ca="1" si="51"/>
        <v/>
      </c>
      <c r="N341" s="600" t="str">
        <f t="shared" ca="1" si="52"/>
        <v/>
      </c>
      <c r="O341" s="600" t="str">
        <f t="shared" ca="1" si="53"/>
        <v/>
      </c>
      <c r="P341" s="600">
        <f t="shared" ca="1" si="54"/>
        <v>66438457.1475555</v>
      </c>
    </row>
    <row r="342" spans="2:16">
      <c r="B342" s="617">
        <v>10008607</v>
      </c>
      <c r="C342" s="621" t="s">
        <v>10</v>
      </c>
      <c r="D342" s="565" t="s">
        <v>114</v>
      </c>
      <c r="E342" s="549" t="s">
        <v>174</v>
      </c>
      <c r="F342" s="566" t="s">
        <v>255</v>
      </c>
      <c r="G342" s="574"/>
      <c r="H342" s="580">
        <v>12611551.990726499</v>
      </c>
      <c r="I342" s="592">
        <v>43800</v>
      </c>
      <c r="J342" s="626">
        <f t="shared" ca="1" si="55"/>
        <v>620</v>
      </c>
      <c r="K342" s="600" t="str">
        <f t="shared" ca="1" si="49"/>
        <v/>
      </c>
      <c r="L342" s="600" t="str">
        <f t="shared" ca="1" si="50"/>
        <v/>
      </c>
      <c r="M342" s="601" t="str">
        <f t="shared" ca="1" si="51"/>
        <v/>
      </c>
      <c r="N342" s="600" t="str">
        <f t="shared" ca="1" si="52"/>
        <v/>
      </c>
      <c r="O342" s="600" t="str">
        <f t="shared" ca="1" si="53"/>
        <v/>
      </c>
      <c r="P342" s="600">
        <f t="shared" ca="1" si="54"/>
        <v>12611551.990726499</v>
      </c>
    </row>
    <row r="343" spans="2:16">
      <c r="B343" s="617"/>
      <c r="C343" s="621"/>
      <c r="D343" s="565"/>
      <c r="E343" s="549"/>
      <c r="F343" s="566"/>
      <c r="G343" s="574"/>
      <c r="H343" s="580"/>
      <c r="I343" s="591"/>
      <c r="J343" s="626"/>
      <c r="K343" s="600" t="str">
        <f t="shared" si="49"/>
        <v/>
      </c>
      <c r="L343" s="600" t="str">
        <f t="shared" si="50"/>
        <v/>
      </c>
      <c r="M343" s="601" t="str">
        <f t="shared" si="51"/>
        <v/>
      </c>
      <c r="N343" s="600" t="str">
        <f t="shared" si="52"/>
        <v/>
      </c>
      <c r="O343" s="600" t="str">
        <f t="shared" si="53"/>
        <v/>
      </c>
      <c r="P343" s="600" t="str">
        <f t="shared" si="54"/>
        <v/>
      </c>
    </row>
    <row r="344" spans="2:16">
      <c r="B344" s="617"/>
      <c r="C344" s="621"/>
      <c r="D344" s="561"/>
      <c r="E344" s="552"/>
      <c r="F344" s="570"/>
      <c r="G344" s="574"/>
      <c r="H344" s="580"/>
      <c r="I344" s="592"/>
      <c r="J344" s="626"/>
      <c r="K344" s="600" t="str">
        <f t="shared" si="49"/>
        <v/>
      </c>
      <c r="L344" s="600" t="str">
        <f t="shared" si="50"/>
        <v/>
      </c>
      <c r="M344" s="601" t="str">
        <f t="shared" si="51"/>
        <v/>
      </c>
      <c r="N344" s="600" t="str">
        <f t="shared" si="52"/>
        <v/>
      </c>
      <c r="O344" s="600" t="str">
        <f t="shared" si="53"/>
        <v/>
      </c>
      <c r="P344" s="600" t="str">
        <f t="shared" si="54"/>
        <v/>
      </c>
    </row>
    <row r="345" spans="2:16">
      <c r="B345" s="617"/>
      <c r="C345" s="621"/>
      <c r="D345" s="565"/>
      <c r="E345" s="549"/>
      <c r="F345" s="566"/>
      <c r="G345" s="574"/>
      <c r="H345" s="580"/>
      <c r="I345" s="592"/>
      <c r="J345" s="626"/>
      <c r="K345" s="600" t="str">
        <f t="shared" si="49"/>
        <v/>
      </c>
      <c r="L345" s="600" t="str">
        <f t="shared" si="50"/>
        <v/>
      </c>
      <c r="M345" s="601" t="str">
        <f t="shared" si="51"/>
        <v/>
      </c>
      <c r="N345" s="600" t="str">
        <f t="shared" si="52"/>
        <v/>
      </c>
      <c r="O345" s="600" t="str">
        <f t="shared" si="53"/>
        <v/>
      </c>
      <c r="P345" s="600" t="str">
        <f t="shared" si="54"/>
        <v/>
      </c>
    </row>
    <row r="346" spans="2:16">
      <c r="B346" s="617"/>
      <c r="C346" s="621"/>
      <c r="D346" s="565"/>
      <c r="E346" s="549"/>
      <c r="F346" s="566"/>
      <c r="G346" s="574"/>
      <c r="H346" s="580"/>
      <c r="I346" s="591"/>
      <c r="J346" s="626"/>
      <c r="K346" s="600" t="str">
        <f t="shared" si="49"/>
        <v/>
      </c>
      <c r="L346" s="600" t="str">
        <f t="shared" si="50"/>
        <v/>
      </c>
      <c r="M346" s="601" t="str">
        <f t="shared" si="51"/>
        <v/>
      </c>
      <c r="N346" s="600" t="str">
        <f t="shared" si="52"/>
        <v/>
      </c>
      <c r="O346" s="600" t="str">
        <f t="shared" si="53"/>
        <v/>
      </c>
      <c r="P346" s="600" t="str">
        <f t="shared" si="54"/>
        <v/>
      </c>
    </row>
    <row r="347" spans="2:16">
      <c r="B347" s="617">
        <v>10000553</v>
      </c>
      <c r="C347" s="621" t="s">
        <v>10</v>
      </c>
      <c r="D347" s="565" t="s">
        <v>116</v>
      </c>
      <c r="E347" s="552"/>
      <c r="F347" s="570"/>
      <c r="G347" s="574"/>
      <c r="H347" s="580"/>
      <c r="I347" s="592"/>
      <c r="J347" s="626"/>
      <c r="K347" s="600" t="str">
        <f t="shared" si="49"/>
        <v/>
      </c>
      <c r="L347" s="600" t="str">
        <f t="shared" si="50"/>
        <v/>
      </c>
      <c r="M347" s="601" t="str">
        <f t="shared" si="51"/>
        <v/>
      </c>
      <c r="N347" s="600" t="str">
        <f t="shared" si="52"/>
        <v/>
      </c>
      <c r="O347" s="600" t="str">
        <f t="shared" si="53"/>
        <v/>
      </c>
      <c r="P347" s="600" t="str">
        <f t="shared" si="54"/>
        <v/>
      </c>
    </row>
    <row r="348" spans="2:16">
      <c r="B348" s="617">
        <v>10000553</v>
      </c>
      <c r="C348" s="621" t="s">
        <v>10</v>
      </c>
      <c r="D348" s="565" t="s">
        <v>116</v>
      </c>
      <c r="E348" s="549" t="s">
        <v>221</v>
      </c>
      <c r="F348" s="566" t="s">
        <v>117</v>
      </c>
      <c r="G348" s="574">
        <v>44410</v>
      </c>
      <c r="H348" s="580">
        <f>99373659.7833955+17372.49</f>
        <v>99391032.273395494</v>
      </c>
      <c r="I348" s="592">
        <v>44250</v>
      </c>
      <c r="J348" s="626">
        <f ca="1">DATEDIF(I348,$J$4,"D")</f>
        <v>170</v>
      </c>
      <c r="K348" s="600" t="str">
        <f t="shared" ca="1" si="49"/>
        <v/>
      </c>
      <c r="L348" s="600" t="str">
        <f t="shared" ca="1" si="50"/>
        <v/>
      </c>
      <c r="M348" s="601" t="str">
        <f t="shared" ca="1" si="51"/>
        <v/>
      </c>
      <c r="N348" s="600">
        <f t="shared" ca="1" si="52"/>
        <v>99391032.273395494</v>
      </c>
      <c r="O348" s="600" t="str">
        <f t="shared" ca="1" si="53"/>
        <v/>
      </c>
      <c r="P348" s="600" t="str">
        <f t="shared" ca="1" si="54"/>
        <v/>
      </c>
    </row>
    <row r="349" spans="2:16">
      <c r="B349" s="617">
        <v>10000553</v>
      </c>
      <c r="C349" s="621" t="s">
        <v>10</v>
      </c>
      <c r="D349" s="565" t="s">
        <v>116</v>
      </c>
      <c r="E349" s="549" t="s">
        <v>222</v>
      </c>
      <c r="F349" s="566" t="s">
        <v>1701</v>
      </c>
      <c r="G349" s="574">
        <v>44319</v>
      </c>
      <c r="H349" s="580">
        <v>56843414.125814468</v>
      </c>
      <c r="I349" s="592">
        <v>44275</v>
      </c>
      <c r="J349" s="626">
        <f ca="1">DATEDIF(I349,$J$4,"D")</f>
        <v>145</v>
      </c>
      <c r="K349" s="600" t="str">
        <f t="shared" ca="1" si="49"/>
        <v/>
      </c>
      <c r="L349" s="600" t="str">
        <f t="shared" ca="1" si="50"/>
        <v/>
      </c>
      <c r="M349" s="601" t="str">
        <f t="shared" ca="1" si="51"/>
        <v/>
      </c>
      <c r="N349" s="600">
        <f t="shared" ca="1" si="52"/>
        <v>56843414.125814468</v>
      </c>
      <c r="O349" s="600" t="str">
        <f t="shared" ca="1" si="53"/>
        <v/>
      </c>
      <c r="P349" s="600" t="str">
        <f t="shared" ca="1" si="54"/>
        <v/>
      </c>
    </row>
    <row r="350" spans="2:16">
      <c r="B350" s="617"/>
      <c r="C350" s="621"/>
      <c r="D350" s="565"/>
      <c r="E350" s="552"/>
      <c r="F350" s="570"/>
      <c r="G350" s="574"/>
      <c r="H350" s="580"/>
      <c r="I350" s="592"/>
      <c r="J350" s="626"/>
      <c r="K350" s="600" t="str">
        <f t="shared" si="49"/>
        <v/>
      </c>
      <c r="L350" s="600" t="str">
        <f t="shared" si="50"/>
        <v/>
      </c>
      <c r="M350" s="601" t="str">
        <f t="shared" si="51"/>
        <v/>
      </c>
      <c r="N350" s="600" t="str">
        <f t="shared" si="52"/>
        <v/>
      </c>
      <c r="O350" s="600" t="str">
        <f t="shared" si="53"/>
        <v/>
      </c>
      <c r="P350" s="600" t="str">
        <f t="shared" si="54"/>
        <v/>
      </c>
    </row>
    <row r="351" spans="2:16">
      <c r="B351" s="617"/>
      <c r="C351" s="621"/>
      <c r="D351" s="565"/>
      <c r="E351" s="549"/>
      <c r="F351" s="566"/>
      <c r="G351" s="574"/>
      <c r="H351" s="580"/>
      <c r="I351" s="592"/>
      <c r="J351" s="626"/>
      <c r="K351" s="600" t="str">
        <f t="shared" si="49"/>
        <v/>
      </c>
      <c r="L351" s="600" t="str">
        <f t="shared" si="50"/>
        <v/>
      </c>
      <c r="M351" s="601" t="str">
        <f t="shared" si="51"/>
        <v/>
      </c>
      <c r="N351" s="600" t="str">
        <f t="shared" si="52"/>
        <v/>
      </c>
      <c r="O351" s="600" t="str">
        <f t="shared" si="53"/>
        <v/>
      </c>
      <c r="P351" s="600" t="str">
        <f t="shared" si="54"/>
        <v/>
      </c>
    </row>
    <row r="352" spans="2:16">
      <c r="B352" s="617"/>
      <c r="C352" s="621"/>
      <c r="D352" s="565"/>
      <c r="E352" s="549"/>
      <c r="F352" s="566"/>
      <c r="G352" s="574"/>
      <c r="H352" s="580"/>
      <c r="I352" s="591"/>
      <c r="J352" s="626"/>
      <c r="K352" s="600" t="str">
        <f t="shared" si="49"/>
        <v/>
      </c>
      <c r="L352" s="600" t="str">
        <f t="shared" si="50"/>
        <v/>
      </c>
      <c r="M352" s="601" t="str">
        <f t="shared" si="51"/>
        <v/>
      </c>
      <c r="N352" s="600" t="str">
        <f t="shared" si="52"/>
        <v/>
      </c>
      <c r="O352" s="600" t="str">
        <f t="shared" si="53"/>
        <v/>
      </c>
      <c r="P352" s="600" t="str">
        <f t="shared" si="54"/>
        <v/>
      </c>
    </row>
    <row r="353" spans="2:16">
      <c r="B353" s="617"/>
      <c r="C353" s="621"/>
      <c r="D353" s="565"/>
      <c r="E353" s="552"/>
      <c r="F353" s="570"/>
      <c r="G353" s="574"/>
      <c r="H353" s="580"/>
      <c r="I353" s="592"/>
      <c r="J353" s="626"/>
      <c r="K353" s="600" t="str">
        <f t="shared" si="49"/>
        <v/>
      </c>
      <c r="L353" s="600" t="str">
        <f t="shared" si="50"/>
        <v/>
      </c>
      <c r="M353" s="601" t="str">
        <f t="shared" si="51"/>
        <v/>
      </c>
      <c r="N353" s="600" t="str">
        <f t="shared" si="52"/>
        <v/>
      </c>
      <c r="O353" s="600" t="str">
        <f t="shared" si="53"/>
        <v/>
      </c>
      <c r="P353" s="600" t="str">
        <f t="shared" si="54"/>
        <v/>
      </c>
    </row>
    <row r="354" spans="2:16">
      <c r="B354" s="617">
        <v>10000526</v>
      </c>
      <c r="C354" s="621" t="s">
        <v>10</v>
      </c>
      <c r="D354" s="565" t="s">
        <v>118</v>
      </c>
      <c r="E354" s="556" t="s">
        <v>1412</v>
      </c>
      <c r="F354" s="566" t="s">
        <v>275</v>
      </c>
      <c r="G354" s="574"/>
      <c r="H354" s="580">
        <f>530886293.13+219906288.77</f>
        <v>750792581.89999998</v>
      </c>
      <c r="I354" s="592">
        <v>42686</v>
      </c>
      <c r="J354" s="626">
        <f t="shared" ref="J354:J376" ca="1" si="56">DATEDIF(I354,$J$4,"D")</f>
        <v>1734</v>
      </c>
      <c r="K354" s="600" t="str">
        <f t="shared" ca="1" si="49"/>
        <v/>
      </c>
      <c r="L354" s="600" t="str">
        <f t="shared" ca="1" si="50"/>
        <v/>
      </c>
      <c r="M354" s="601" t="str">
        <f t="shared" ca="1" si="51"/>
        <v/>
      </c>
      <c r="N354" s="600" t="str">
        <f t="shared" ca="1" si="52"/>
        <v/>
      </c>
      <c r="O354" s="600" t="str">
        <f t="shared" ca="1" si="53"/>
        <v/>
      </c>
      <c r="P354" s="600">
        <f t="shared" ca="1" si="54"/>
        <v>750792581.89999998</v>
      </c>
    </row>
    <row r="355" spans="2:16">
      <c r="B355" s="617">
        <v>10000526</v>
      </c>
      <c r="C355" s="621" t="s">
        <v>10</v>
      </c>
      <c r="D355" s="565" t="s">
        <v>118</v>
      </c>
      <c r="E355" s="556" t="s">
        <v>609</v>
      </c>
      <c r="F355" s="566" t="s">
        <v>277</v>
      </c>
      <c r="G355" s="574"/>
      <c r="H355" s="580">
        <v>539633045.33000004</v>
      </c>
      <c r="I355" s="591">
        <v>42753</v>
      </c>
      <c r="J355" s="626">
        <f t="shared" ca="1" si="56"/>
        <v>1667</v>
      </c>
      <c r="K355" s="600" t="str">
        <f t="shared" ca="1" si="49"/>
        <v/>
      </c>
      <c r="L355" s="600" t="str">
        <f t="shared" ca="1" si="50"/>
        <v/>
      </c>
      <c r="M355" s="601" t="str">
        <f t="shared" ca="1" si="51"/>
        <v/>
      </c>
      <c r="N355" s="600" t="str">
        <f t="shared" ca="1" si="52"/>
        <v/>
      </c>
      <c r="O355" s="600" t="str">
        <f t="shared" ca="1" si="53"/>
        <v/>
      </c>
      <c r="P355" s="600">
        <f t="shared" ca="1" si="54"/>
        <v>539633045.33000004</v>
      </c>
    </row>
    <row r="356" spans="2:16">
      <c r="B356" s="617">
        <v>10000526</v>
      </c>
      <c r="C356" s="621" t="s">
        <v>10</v>
      </c>
      <c r="D356" s="565" t="s">
        <v>118</v>
      </c>
      <c r="E356" s="556" t="s">
        <v>611</v>
      </c>
      <c r="F356" s="566" t="s">
        <v>279</v>
      </c>
      <c r="G356" s="574"/>
      <c r="H356" s="580">
        <v>434121437.86000001</v>
      </c>
      <c r="I356" s="592">
        <v>42786</v>
      </c>
      <c r="J356" s="626">
        <f t="shared" ca="1" si="56"/>
        <v>1634</v>
      </c>
      <c r="K356" s="600" t="str">
        <f t="shared" ca="1" si="49"/>
        <v/>
      </c>
      <c r="L356" s="600" t="str">
        <f t="shared" ca="1" si="50"/>
        <v/>
      </c>
      <c r="M356" s="601" t="str">
        <f t="shared" ca="1" si="51"/>
        <v/>
      </c>
      <c r="N356" s="600" t="str">
        <f t="shared" ca="1" si="52"/>
        <v/>
      </c>
      <c r="O356" s="600" t="str">
        <f t="shared" ca="1" si="53"/>
        <v/>
      </c>
      <c r="P356" s="600">
        <f t="shared" ca="1" si="54"/>
        <v>434121437.86000001</v>
      </c>
    </row>
    <row r="357" spans="2:16">
      <c r="B357" s="617">
        <v>10000526</v>
      </c>
      <c r="C357" s="621" t="s">
        <v>10</v>
      </c>
      <c r="D357" s="565" t="s">
        <v>118</v>
      </c>
      <c r="E357" s="548" t="s">
        <v>614</v>
      </c>
      <c r="F357" s="566" t="s">
        <v>283</v>
      </c>
      <c r="G357" s="574"/>
      <c r="H357" s="580">
        <v>494945044.81</v>
      </c>
      <c r="I357" s="592">
        <v>42828</v>
      </c>
      <c r="J357" s="626">
        <f t="shared" ca="1" si="56"/>
        <v>1592</v>
      </c>
      <c r="K357" s="600" t="str">
        <f t="shared" ca="1" si="49"/>
        <v/>
      </c>
      <c r="L357" s="600" t="str">
        <f t="shared" ca="1" si="50"/>
        <v/>
      </c>
      <c r="M357" s="601" t="str">
        <f t="shared" ca="1" si="51"/>
        <v/>
      </c>
      <c r="N357" s="600" t="str">
        <f t="shared" ca="1" si="52"/>
        <v/>
      </c>
      <c r="O357" s="600" t="str">
        <f t="shared" ca="1" si="53"/>
        <v/>
      </c>
      <c r="P357" s="600">
        <f t="shared" ca="1" si="54"/>
        <v>494945044.81</v>
      </c>
    </row>
    <row r="358" spans="2:16">
      <c r="B358" s="617">
        <v>10000526</v>
      </c>
      <c r="C358" s="621" t="s">
        <v>10</v>
      </c>
      <c r="D358" s="565" t="s">
        <v>118</v>
      </c>
      <c r="E358" s="548" t="s">
        <v>489</v>
      </c>
      <c r="F358" s="566" t="s">
        <v>84</v>
      </c>
      <c r="G358" s="574"/>
      <c r="H358" s="580">
        <v>495700391.74000001</v>
      </c>
      <c r="I358" s="591">
        <v>42843</v>
      </c>
      <c r="J358" s="626">
        <f t="shared" ca="1" si="56"/>
        <v>1577</v>
      </c>
      <c r="K358" s="600" t="str">
        <f t="shared" ca="1" si="49"/>
        <v/>
      </c>
      <c r="L358" s="600" t="str">
        <f t="shared" ca="1" si="50"/>
        <v/>
      </c>
      <c r="M358" s="601" t="str">
        <f t="shared" ca="1" si="51"/>
        <v/>
      </c>
      <c r="N358" s="600" t="str">
        <f t="shared" ca="1" si="52"/>
        <v/>
      </c>
      <c r="O358" s="600" t="str">
        <f t="shared" ca="1" si="53"/>
        <v/>
      </c>
      <c r="P358" s="600">
        <f t="shared" ca="1" si="54"/>
        <v>495700391.74000001</v>
      </c>
    </row>
    <row r="359" spans="2:16">
      <c r="B359" s="617">
        <v>10000526</v>
      </c>
      <c r="C359" s="621" t="s">
        <v>10</v>
      </c>
      <c r="D359" s="565" t="s">
        <v>118</v>
      </c>
      <c r="E359" s="548" t="s">
        <v>618</v>
      </c>
      <c r="F359" s="566" t="s">
        <v>286</v>
      </c>
      <c r="G359" s="574"/>
      <c r="H359" s="580">
        <v>578320575.14999998</v>
      </c>
      <c r="I359" s="592">
        <v>42873</v>
      </c>
      <c r="J359" s="626">
        <f t="shared" ca="1" si="56"/>
        <v>1547</v>
      </c>
      <c r="K359" s="600" t="str">
        <f t="shared" ca="1" si="49"/>
        <v/>
      </c>
      <c r="L359" s="600" t="str">
        <f t="shared" ca="1" si="50"/>
        <v/>
      </c>
      <c r="M359" s="601" t="str">
        <f t="shared" ca="1" si="51"/>
        <v/>
      </c>
      <c r="N359" s="600" t="str">
        <f t="shared" ca="1" si="52"/>
        <v/>
      </c>
      <c r="O359" s="600" t="str">
        <f t="shared" ca="1" si="53"/>
        <v/>
      </c>
      <c r="P359" s="600">
        <f t="shared" ca="1" si="54"/>
        <v>578320575.14999998</v>
      </c>
    </row>
    <row r="360" spans="2:16">
      <c r="B360" s="617">
        <v>10000526</v>
      </c>
      <c r="C360" s="621" t="s">
        <v>10</v>
      </c>
      <c r="D360" s="565" t="s">
        <v>118</v>
      </c>
      <c r="E360" s="548" t="s">
        <v>560</v>
      </c>
      <c r="F360" s="566" t="s">
        <v>512</v>
      </c>
      <c r="G360" s="574"/>
      <c r="H360" s="580">
        <v>438104981.13</v>
      </c>
      <c r="I360" s="592">
        <v>43014</v>
      </c>
      <c r="J360" s="626">
        <f t="shared" ca="1" si="56"/>
        <v>1406</v>
      </c>
      <c r="K360" s="600" t="str">
        <f t="shared" ca="1" si="49"/>
        <v/>
      </c>
      <c r="L360" s="600" t="str">
        <f t="shared" ca="1" si="50"/>
        <v/>
      </c>
      <c r="M360" s="601" t="str">
        <f t="shared" ca="1" si="51"/>
        <v/>
      </c>
      <c r="N360" s="600" t="str">
        <f t="shared" ca="1" si="52"/>
        <v/>
      </c>
      <c r="O360" s="600" t="str">
        <f t="shared" ca="1" si="53"/>
        <v/>
      </c>
      <c r="P360" s="600">
        <f t="shared" ca="1" si="54"/>
        <v>438104981.13</v>
      </c>
    </row>
    <row r="361" spans="2:16">
      <c r="B361" s="617">
        <v>10000526</v>
      </c>
      <c r="C361" s="621" t="s">
        <v>10</v>
      </c>
      <c r="D361" s="565" t="s">
        <v>118</v>
      </c>
      <c r="E361" s="548" t="s">
        <v>562</v>
      </c>
      <c r="F361" s="566" t="s">
        <v>1730</v>
      </c>
      <c r="G361" s="574"/>
      <c r="H361" s="580">
        <v>408489583.04000002</v>
      </c>
      <c r="I361" s="591">
        <v>42936</v>
      </c>
      <c r="J361" s="626">
        <f t="shared" ca="1" si="56"/>
        <v>1484</v>
      </c>
      <c r="K361" s="600" t="str">
        <f t="shared" ca="1" si="49"/>
        <v/>
      </c>
      <c r="L361" s="600" t="str">
        <f t="shared" ca="1" si="50"/>
        <v/>
      </c>
      <c r="M361" s="601" t="str">
        <f t="shared" ca="1" si="51"/>
        <v/>
      </c>
      <c r="N361" s="600" t="str">
        <f t="shared" ca="1" si="52"/>
        <v/>
      </c>
      <c r="O361" s="600" t="str">
        <f t="shared" ca="1" si="53"/>
        <v/>
      </c>
      <c r="P361" s="600">
        <f t="shared" ca="1" si="54"/>
        <v>408489583.04000002</v>
      </c>
    </row>
    <row r="362" spans="2:16">
      <c r="B362" s="617">
        <v>10000526</v>
      </c>
      <c r="C362" s="621" t="s">
        <v>10</v>
      </c>
      <c r="D362" s="565" t="s">
        <v>118</v>
      </c>
      <c r="E362" s="548" t="s">
        <v>494</v>
      </c>
      <c r="F362" s="566" t="s">
        <v>1732</v>
      </c>
      <c r="G362" s="574"/>
      <c r="H362" s="580">
        <v>451218540.5</v>
      </c>
      <c r="I362" s="592">
        <v>42957</v>
      </c>
      <c r="J362" s="626">
        <f t="shared" ca="1" si="56"/>
        <v>1463</v>
      </c>
      <c r="K362" s="600" t="str">
        <f t="shared" ca="1" si="49"/>
        <v/>
      </c>
      <c r="L362" s="600" t="str">
        <f t="shared" ca="1" si="50"/>
        <v/>
      </c>
      <c r="M362" s="601" t="str">
        <f t="shared" ca="1" si="51"/>
        <v/>
      </c>
      <c r="N362" s="600" t="str">
        <f t="shared" ca="1" si="52"/>
        <v/>
      </c>
      <c r="O362" s="600" t="str">
        <f t="shared" ca="1" si="53"/>
        <v/>
      </c>
      <c r="P362" s="600">
        <f t="shared" ca="1" si="54"/>
        <v>451218540.5</v>
      </c>
    </row>
    <row r="363" spans="2:16">
      <c r="B363" s="617">
        <v>10000526</v>
      </c>
      <c r="C363" s="621" t="s">
        <v>10</v>
      </c>
      <c r="D363" s="565" t="s">
        <v>118</v>
      </c>
      <c r="E363" s="548" t="s">
        <v>497</v>
      </c>
      <c r="F363" s="566" t="s">
        <v>1734</v>
      </c>
      <c r="G363" s="574"/>
      <c r="H363" s="580">
        <v>517105578.12</v>
      </c>
      <c r="I363" s="592">
        <v>42986</v>
      </c>
      <c r="J363" s="626">
        <f t="shared" ca="1" si="56"/>
        <v>1434</v>
      </c>
      <c r="K363" s="600" t="str">
        <f t="shared" ca="1" si="49"/>
        <v/>
      </c>
      <c r="L363" s="600" t="str">
        <f t="shared" ca="1" si="50"/>
        <v/>
      </c>
      <c r="M363" s="601" t="str">
        <f t="shared" ca="1" si="51"/>
        <v/>
      </c>
      <c r="N363" s="600" t="str">
        <f t="shared" ca="1" si="52"/>
        <v/>
      </c>
      <c r="O363" s="600" t="str">
        <f t="shared" ca="1" si="53"/>
        <v/>
      </c>
      <c r="P363" s="600">
        <f t="shared" ca="1" si="54"/>
        <v>517105578.12</v>
      </c>
    </row>
    <row r="364" spans="2:16">
      <c r="B364" s="617">
        <v>10000526</v>
      </c>
      <c r="C364" s="621" t="s">
        <v>10</v>
      </c>
      <c r="D364" s="565" t="s">
        <v>118</v>
      </c>
      <c r="E364" s="548" t="s">
        <v>498</v>
      </c>
      <c r="F364" s="566" t="s">
        <v>1736</v>
      </c>
      <c r="G364" s="574"/>
      <c r="H364" s="580">
        <v>409757523.10000002</v>
      </c>
      <c r="I364" s="591">
        <v>43016</v>
      </c>
      <c r="J364" s="626">
        <f t="shared" ca="1" si="56"/>
        <v>1404</v>
      </c>
      <c r="K364" s="600" t="str">
        <f t="shared" ca="1" si="49"/>
        <v/>
      </c>
      <c r="L364" s="600" t="str">
        <f t="shared" ca="1" si="50"/>
        <v/>
      </c>
      <c r="M364" s="601" t="str">
        <f t="shared" ca="1" si="51"/>
        <v/>
      </c>
      <c r="N364" s="600" t="str">
        <f t="shared" ca="1" si="52"/>
        <v/>
      </c>
      <c r="O364" s="600" t="str">
        <f t="shared" ca="1" si="53"/>
        <v/>
      </c>
      <c r="P364" s="600">
        <f t="shared" ca="1" si="54"/>
        <v>409757523.10000002</v>
      </c>
    </row>
    <row r="365" spans="2:16">
      <c r="B365" s="617">
        <v>10000526</v>
      </c>
      <c r="C365" s="621" t="s">
        <v>10</v>
      </c>
      <c r="D365" s="565" t="s">
        <v>118</v>
      </c>
      <c r="E365" s="548" t="s">
        <v>564</v>
      </c>
      <c r="F365" s="566" t="s">
        <v>1738</v>
      </c>
      <c r="G365" s="574"/>
      <c r="H365" s="580">
        <v>352404757.12</v>
      </c>
      <c r="I365" s="592">
        <v>43049</v>
      </c>
      <c r="J365" s="626">
        <f t="shared" ca="1" si="56"/>
        <v>1371</v>
      </c>
      <c r="K365" s="600" t="str">
        <f t="shared" ca="1" si="49"/>
        <v/>
      </c>
      <c r="L365" s="600" t="str">
        <f t="shared" ca="1" si="50"/>
        <v/>
      </c>
      <c r="M365" s="601" t="str">
        <f t="shared" ca="1" si="51"/>
        <v/>
      </c>
      <c r="N365" s="600" t="str">
        <f t="shared" ca="1" si="52"/>
        <v/>
      </c>
      <c r="O365" s="600" t="str">
        <f t="shared" ca="1" si="53"/>
        <v/>
      </c>
      <c r="P365" s="600">
        <f t="shared" ca="1" si="54"/>
        <v>352404757.12</v>
      </c>
    </row>
    <row r="366" spans="2:16">
      <c r="B366" s="617">
        <v>10000526</v>
      </c>
      <c r="C366" s="621" t="s">
        <v>10</v>
      </c>
      <c r="D366" s="565" t="s">
        <v>118</v>
      </c>
      <c r="E366" s="548" t="s">
        <v>500</v>
      </c>
      <c r="F366" s="566" t="s">
        <v>1739</v>
      </c>
      <c r="G366" s="574"/>
      <c r="H366" s="580">
        <v>365287691.88</v>
      </c>
      <c r="I366" s="592">
        <v>43051</v>
      </c>
      <c r="J366" s="626">
        <f t="shared" ca="1" si="56"/>
        <v>1369</v>
      </c>
      <c r="K366" s="600" t="str">
        <f t="shared" ca="1" si="49"/>
        <v/>
      </c>
      <c r="L366" s="600" t="str">
        <f t="shared" ca="1" si="50"/>
        <v/>
      </c>
      <c r="M366" s="601" t="str">
        <f t="shared" ca="1" si="51"/>
        <v/>
      </c>
      <c r="N366" s="600" t="str">
        <f t="shared" ca="1" si="52"/>
        <v/>
      </c>
      <c r="O366" s="600" t="str">
        <f t="shared" ca="1" si="53"/>
        <v/>
      </c>
      <c r="P366" s="600">
        <f t="shared" ca="1" si="54"/>
        <v>365287691.88</v>
      </c>
    </row>
    <row r="367" spans="2:16">
      <c r="B367" s="617">
        <v>10000526</v>
      </c>
      <c r="C367" s="621" t="s">
        <v>10</v>
      </c>
      <c r="D367" s="565" t="s">
        <v>118</v>
      </c>
      <c r="E367" s="548" t="s">
        <v>501</v>
      </c>
      <c r="F367" s="566" t="s">
        <v>1741</v>
      </c>
      <c r="G367" s="574"/>
      <c r="H367" s="580">
        <v>233634454.33000001</v>
      </c>
      <c r="I367" s="591">
        <v>42867</v>
      </c>
      <c r="J367" s="626">
        <f t="shared" ca="1" si="56"/>
        <v>1553</v>
      </c>
      <c r="K367" s="600" t="str">
        <f t="shared" ref="K367:K430" ca="1" si="57">IF(AND(J367&gt;=16,J367&lt;=30),H367,"")</f>
        <v/>
      </c>
      <c r="L367" s="600" t="str">
        <f t="shared" ref="L367:L430" ca="1" si="58">IF(AND(J367&gt;=31,J367&lt;=60),H367,"")</f>
        <v/>
      </c>
      <c r="M367" s="601" t="str">
        <f t="shared" ref="M367:M430" ca="1" si="59">IF(AND(J367&gt;=61,J367&lt;=90),H367,"")</f>
        <v/>
      </c>
      <c r="N367" s="600" t="str">
        <f t="shared" ref="N367:N430" ca="1" si="60">IF(AND(J367&gt;=91,J367&lt;=180),H367,"")</f>
        <v/>
      </c>
      <c r="O367" s="600" t="str">
        <f t="shared" ref="O367:O430" ca="1" si="61">IF(AND(J367&gt;=181,J367&lt;=360),H367,"")</f>
        <v/>
      </c>
      <c r="P367" s="600">
        <f t="shared" ref="P367:P430" ca="1" si="62">IF(J367&gt;=360,H367,"")</f>
        <v>233634454.33000001</v>
      </c>
    </row>
    <row r="368" spans="2:16">
      <c r="B368" s="617">
        <v>10000526</v>
      </c>
      <c r="C368" s="621" t="s">
        <v>10</v>
      </c>
      <c r="D368" s="565" t="s">
        <v>118</v>
      </c>
      <c r="E368" s="548" t="s">
        <v>504</v>
      </c>
      <c r="F368" s="566" t="s">
        <v>1743</v>
      </c>
      <c r="G368" s="574"/>
      <c r="H368" s="580">
        <v>189995491.61000001</v>
      </c>
      <c r="I368" s="592">
        <v>43375</v>
      </c>
      <c r="J368" s="626">
        <f t="shared" ca="1" si="56"/>
        <v>1045</v>
      </c>
      <c r="K368" s="600" t="str">
        <f t="shared" ca="1" si="57"/>
        <v/>
      </c>
      <c r="L368" s="600" t="str">
        <f t="shared" ca="1" si="58"/>
        <v/>
      </c>
      <c r="M368" s="601" t="str">
        <f t="shared" ca="1" si="59"/>
        <v/>
      </c>
      <c r="N368" s="600" t="str">
        <f t="shared" ca="1" si="60"/>
        <v/>
      </c>
      <c r="O368" s="600" t="str">
        <f t="shared" ca="1" si="61"/>
        <v/>
      </c>
      <c r="P368" s="600">
        <f t="shared" ca="1" si="62"/>
        <v>189995491.61000001</v>
      </c>
    </row>
    <row r="369" spans="2:16">
      <c r="B369" s="617">
        <v>10000526</v>
      </c>
      <c r="C369" s="621" t="s">
        <v>10</v>
      </c>
      <c r="D369" s="565" t="s">
        <v>118</v>
      </c>
      <c r="E369" s="548" t="s">
        <v>506</v>
      </c>
      <c r="F369" s="566" t="s">
        <v>1744</v>
      </c>
      <c r="G369" s="574"/>
      <c r="H369" s="580">
        <v>169239933.69</v>
      </c>
      <c r="I369" s="592">
        <v>43376</v>
      </c>
      <c r="J369" s="626">
        <f t="shared" ca="1" si="56"/>
        <v>1044</v>
      </c>
      <c r="K369" s="600" t="str">
        <f t="shared" ca="1" si="57"/>
        <v/>
      </c>
      <c r="L369" s="600" t="str">
        <f t="shared" ca="1" si="58"/>
        <v/>
      </c>
      <c r="M369" s="601" t="str">
        <f t="shared" ca="1" si="59"/>
        <v/>
      </c>
      <c r="N369" s="600" t="str">
        <f t="shared" ca="1" si="60"/>
        <v/>
      </c>
      <c r="O369" s="600" t="str">
        <f t="shared" ca="1" si="61"/>
        <v/>
      </c>
      <c r="P369" s="600">
        <f t="shared" ca="1" si="62"/>
        <v>169239933.69</v>
      </c>
    </row>
    <row r="370" spans="2:16">
      <c r="B370" s="617">
        <v>10000526</v>
      </c>
      <c r="C370" s="621" t="s">
        <v>10</v>
      </c>
      <c r="D370" s="565" t="s">
        <v>118</v>
      </c>
      <c r="E370" s="548" t="s">
        <v>508</v>
      </c>
      <c r="F370" s="566" t="s">
        <v>1745</v>
      </c>
      <c r="G370" s="574"/>
      <c r="H370" s="580">
        <v>123016423.92797183</v>
      </c>
      <c r="I370" s="591">
        <v>43205</v>
      </c>
      <c r="J370" s="626">
        <f t="shared" ca="1" si="56"/>
        <v>1215</v>
      </c>
      <c r="K370" s="600" t="str">
        <f t="shared" ca="1" si="57"/>
        <v/>
      </c>
      <c r="L370" s="600" t="str">
        <f t="shared" ca="1" si="58"/>
        <v/>
      </c>
      <c r="M370" s="601" t="str">
        <f t="shared" ca="1" si="59"/>
        <v/>
      </c>
      <c r="N370" s="600" t="str">
        <f t="shared" ca="1" si="60"/>
        <v/>
      </c>
      <c r="O370" s="600" t="str">
        <f t="shared" ca="1" si="61"/>
        <v/>
      </c>
      <c r="P370" s="600">
        <f t="shared" ca="1" si="62"/>
        <v>123016423.92797183</v>
      </c>
    </row>
    <row r="371" spans="2:16">
      <c r="B371" s="617">
        <v>10000526</v>
      </c>
      <c r="C371" s="621" t="s">
        <v>10</v>
      </c>
      <c r="D371" s="565" t="s">
        <v>118</v>
      </c>
      <c r="E371" s="548" t="s">
        <v>355</v>
      </c>
      <c r="F371" s="566" t="s">
        <v>1747</v>
      </c>
      <c r="G371" s="574"/>
      <c r="H371" s="580">
        <v>46941837.537423357</v>
      </c>
      <c r="I371" s="592">
        <v>43245</v>
      </c>
      <c r="J371" s="626">
        <f t="shared" ca="1" si="56"/>
        <v>1175</v>
      </c>
      <c r="K371" s="600" t="str">
        <f t="shared" ca="1" si="57"/>
        <v/>
      </c>
      <c r="L371" s="600" t="str">
        <f t="shared" ca="1" si="58"/>
        <v/>
      </c>
      <c r="M371" s="601" t="str">
        <f t="shared" ca="1" si="59"/>
        <v/>
      </c>
      <c r="N371" s="600" t="str">
        <f t="shared" ca="1" si="60"/>
        <v/>
      </c>
      <c r="O371" s="600" t="str">
        <f t="shared" ca="1" si="61"/>
        <v/>
      </c>
      <c r="P371" s="600">
        <f t="shared" ca="1" si="62"/>
        <v>46941837.537423357</v>
      </c>
    </row>
    <row r="372" spans="2:16">
      <c r="B372" s="617">
        <v>10000526</v>
      </c>
      <c r="C372" s="621" t="s">
        <v>10</v>
      </c>
      <c r="D372" s="565" t="s">
        <v>118</v>
      </c>
      <c r="E372" s="549" t="s">
        <v>234</v>
      </c>
      <c r="F372" s="566" t="s">
        <v>1747</v>
      </c>
      <c r="G372" s="574"/>
      <c r="H372" s="580">
        <v>139519354.21000001</v>
      </c>
      <c r="I372" s="592">
        <v>43279</v>
      </c>
      <c r="J372" s="626">
        <f t="shared" ca="1" si="56"/>
        <v>1141</v>
      </c>
      <c r="K372" s="600" t="str">
        <f t="shared" ca="1" si="57"/>
        <v/>
      </c>
      <c r="L372" s="600" t="str">
        <f t="shared" ca="1" si="58"/>
        <v/>
      </c>
      <c r="M372" s="601" t="str">
        <f t="shared" ca="1" si="59"/>
        <v/>
      </c>
      <c r="N372" s="600" t="str">
        <f t="shared" ca="1" si="60"/>
        <v/>
      </c>
      <c r="O372" s="600" t="str">
        <f t="shared" ca="1" si="61"/>
        <v/>
      </c>
      <c r="P372" s="600">
        <f t="shared" ca="1" si="62"/>
        <v>139519354.21000001</v>
      </c>
    </row>
    <row r="373" spans="2:16">
      <c r="B373" s="617">
        <v>10000526</v>
      </c>
      <c r="C373" s="621" t="s">
        <v>10</v>
      </c>
      <c r="D373" s="565" t="s">
        <v>118</v>
      </c>
      <c r="E373" s="547" t="s">
        <v>1748</v>
      </c>
      <c r="F373" s="566" t="s">
        <v>1749</v>
      </c>
      <c r="G373" s="574"/>
      <c r="H373" s="580">
        <v>200223924.76594025</v>
      </c>
      <c r="I373" s="591">
        <v>43297</v>
      </c>
      <c r="J373" s="626">
        <f t="shared" ca="1" si="56"/>
        <v>1123</v>
      </c>
      <c r="K373" s="600" t="str">
        <f t="shared" ca="1" si="57"/>
        <v/>
      </c>
      <c r="L373" s="600" t="str">
        <f t="shared" ca="1" si="58"/>
        <v/>
      </c>
      <c r="M373" s="601" t="str">
        <f t="shared" ca="1" si="59"/>
        <v/>
      </c>
      <c r="N373" s="600" t="str">
        <f t="shared" ca="1" si="60"/>
        <v/>
      </c>
      <c r="O373" s="600" t="str">
        <f t="shared" ca="1" si="61"/>
        <v/>
      </c>
      <c r="P373" s="600">
        <f t="shared" ca="1" si="62"/>
        <v>200223924.76594025</v>
      </c>
    </row>
    <row r="374" spans="2:16">
      <c r="B374" s="617">
        <v>10000526</v>
      </c>
      <c r="C374" s="621" t="s">
        <v>10</v>
      </c>
      <c r="D374" s="565" t="s">
        <v>118</v>
      </c>
      <c r="E374" s="557" t="s">
        <v>238</v>
      </c>
      <c r="F374" s="571" t="s">
        <v>1751</v>
      </c>
      <c r="G374" s="574"/>
      <c r="H374" s="580">
        <v>187003510.5005112</v>
      </c>
      <c r="I374" s="592">
        <v>43340</v>
      </c>
      <c r="J374" s="626">
        <f t="shared" ca="1" si="56"/>
        <v>1080</v>
      </c>
      <c r="K374" s="600" t="str">
        <f t="shared" ca="1" si="57"/>
        <v/>
      </c>
      <c r="L374" s="600" t="str">
        <f t="shared" ca="1" si="58"/>
        <v/>
      </c>
      <c r="M374" s="601" t="str">
        <f t="shared" ca="1" si="59"/>
        <v/>
      </c>
      <c r="N374" s="600" t="str">
        <f t="shared" ca="1" si="60"/>
        <v/>
      </c>
      <c r="O374" s="600" t="str">
        <f t="shared" ca="1" si="61"/>
        <v/>
      </c>
      <c r="P374" s="600">
        <f t="shared" ca="1" si="62"/>
        <v>187003510.5005112</v>
      </c>
    </row>
    <row r="375" spans="2:16">
      <c r="B375" s="617">
        <v>10000526</v>
      </c>
      <c r="C375" s="621" t="s">
        <v>10</v>
      </c>
      <c r="D375" s="565" t="s">
        <v>118</v>
      </c>
      <c r="E375" s="558" t="s">
        <v>240</v>
      </c>
      <c r="F375" s="571" t="s">
        <v>1752</v>
      </c>
      <c r="G375" s="574"/>
      <c r="H375" s="580">
        <v>227155771.73028904</v>
      </c>
      <c r="I375" s="592">
        <v>43371</v>
      </c>
      <c r="J375" s="626">
        <f t="shared" ca="1" si="56"/>
        <v>1049</v>
      </c>
      <c r="K375" s="600" t="str">
        <f t="shared" ca="1" si="57"/>
        <v/>
      </c>
      <c r="L375" s="600" t="str">
        <f t="shared" ca="1" si="58"/>
        <v/>
      </c>
      <c r="M375" s="601" t="str">
        <f t="shared" ca="1" si="59"/>
        <v/>
      </c>
      <c r="N375" s="600" t="str">
        <f t="shared" ca="1" si="60"/>
        <v/>
      </c>
      <c r="O375" s="600" t="str">
        <f t="shared" ca="1" si="61"/>
        <v/>
      </c>
      <c r="P375" s="600">
        <f t="shared" ca="1" si="62"/>
        <v>227155771.73028904</v>
      </c>
    </row>
    <row r="376" spans="2:16">
      <c r="B376" s="617">
        <v>10000526</v>
      </c>
      <c r="C376" s="621" t="s">
        <v>10</v>
      </c>
      <c r="D376" s="565" t="s">
        <v>118</v>
      </c>
      <c r="E376" s="558" t="s">
        <v>1753</v>
      </c>
      <c r="F376" s="571" t="s">
        <v>319</v>
      </c>
      <c r="G376" s="574"/>
      <c r="H376" s="580">
        <v>49704297.329999998</v>
      </c>
      <c r="I376" s="591">
        <v>43380</v>
      </c>
      <c r="J376" s="626">
        <f t="shared" ca="1" si="56"/>
        <v>1040</v>
      </c>
      <c r="K376" s="600" t="str">
        <f t="shared" ca="1" si="57"/>
        <v/>
      </c>
      <c r="L376" s="600" t="str">
        <f t="shared" ca="1" si="58"/>
        <v/>
      </c>
      <c r="M376" s="601" t="str">
        <f t="shared" ca="1" si="59"/>
        <v/>
      </c>
      <c r="N376" s="600" t="str">
        <f t="shared" ca="1" si="60"/>
        <v/>
      </c>
      <c r="O376" s="600" t="str">
        <f t="shared" ca="1" si="61"/>
        <v/>
      </c>
      <c r="P376" s="600">
        <f t="shared" ca="1" si="62"/>
        <v>49704297.329999998</v>
      </c>
    </row>
    <row r="377" spans="2:16">
      <c r="B377" s="617"/>
      <c r="C377" s="621"/>
      <c r="D377" s="565"/>
      <c r="E377" s="552"/>
      <c r="F377" s="570"/>
      <c r="G377" s="574"/>
      <c r="H377" s="580"/>
      <c r="I377" s="592"/>
      <c r="J377" s="626"/>
      <c r="K377" s="600" t="str">
        <f t="shared" si="57"/>
        <v/>
      </c>
      <c r="L377" s="600" t="str">
        <f t="shared" si="58"/>
        <v/>
      </c>
      <c r="M377" s="601" t="str">
        <f t="shared" si="59"/>
        <v/>
      </c>
      <c r="N377" s="600" t="str">
        <f t="shared" si="60"/>
        <v/>
      </c>
      <c r="O377" s="600" t="str">
        <f t="shared" si="61"/>
        <v/>
      </c>
      <c r="P377" s="600" t="str">
        <f t="shared" si="62"/>
        <v/>
      </c>
    </row>
    <row r="378" spans="2:16">
      <c r="B378" s="617"/>
      <c r="C378" s="621"/>
      <c r="D378" s="565"/>
      <c r="E378" s="236"/>
      <c r="F378" s="566"/>
      <c r="G378" s="574"/>
      <c r="H378" s="580"/>
      <c r="I378" s="592"/>
      <c r="J378" s="626"/>
      <c r="K378" s="600" t="str">
        <f t="shared" si="57"/>
        <v/>
      </c>
      <c r="L378" s="600" t="str">
        <f t="shared" si="58"/>
        <v/>
      </c>
      <c r="M378" s="601" t="str">
        <f t="shared" si="59"/>
        <v/>
      </c>
      <c r="N378" s="600" t="str">
        <f t="shared" si="60"/>
        <v/>
      </c>
      <c r="O378" s="600" t="str">
        <f t="shared" si="61"/>
        <v/>
      </c>
      <c r="P378" s="600" t="str">
        <f t="shared" si="62"/>
        <v/>
      </c>
    </row>
    <row r="379" spans="2:16">
      <c r="B379" s="617">
        <v>40000029</v>
      </c>
      <c r="C379" s="621" t="s">
        <v>10</v>
      </c>
      <c r="D379" s="565" t="s">
        <v>126</v>
      </c>
      <c r="E379" s="552" t="s">
        <v>136</v>
      </c>
      <c r="F379" s="566"/>
      <c r="G379" s="574"/>
      <c r="H379" s="580">
        <v>22092485460.899128</v>
      </c>
      <c r="I379" s="591"/>
      <c r="J379" s="626"/>
      <c r="K379" s="600" t="str">
        <f t="shared" si="57"/>
        <v/>
      </c>
      <c r="L379" s="600" t="str">
        <f t="shared" si="58"/>
        <v/>
      </c>
      <c r="M379" s="601" t="str">
        <f t="shared" si="59"/>
        <v/>
      </c>
      <c r="N379" s="600" t="str">
        <f t="shared" si="60"/>
        <v/>
      </c>
      <c r="O379" s="600" t="str">
        <f t="shared" si="61"/>
        <v/>
      </c>
      <c r="P379" s="600" t="str">
        <f t="shared" si="62"/>
        <v/>
      </c>
    </row>
    <row r="380" spans="2:16">
      <c r="B380" s="617">
        <v>40000029</v>
      </c>
      <c r="C380" s="621" t="s">
        <v>10</v>
      </c>
      <c r="D380" s="565" t="s">
        <v>126</v>
      </c>
      <c r="E380" s="552" t="s">
        <v>142</v>
      </c>
      <c r="F380" s="570" t="s">
        <v>1809</v>
      </c>
      <c r="G380" s="574">
        <v>43558</v>
      </c>
      <c r="H380" s="580">
        <v>552072428.89918542</v>
      </c>
      <c r="I380" s="592">
        <v>43802</v>
      </c>
      <c r="J380" s="626">
        <f t="shared" ref="J380:J405" ca="1" si="63">DATEDIF(I380,$J$4,"D")</f>
        <v>618</v>
      </c>
      <c r="K380" s="600" t="str">
        <f t="shared" ca="1" si="57"/>
        <v/>
      </c>
      <c r="L380" s="600" t="str">
        <f t="shared" ca="1" si="58"/>
        <v/>
      </c>
      <c r="M380" s="601" t="str">
        <f t="shared" ca="1" si="59"/>
        <v/>
      </c>
      <c r="N380" s="600" t="str">
        <f t="shared" ca="1" si="60"/>
        <v/>
      </c>
      <c r="O380" s="600" t="str">
        <f t="shared" ca="1" si="61"/>
        <v/>
      </c>
      <c r="P380" s="600">
        <f t="shared" ca="1" si="62"/>
        <v>552072428.89918542</v>
      </c>
    </row>
    <row r="381" spans="2:16">
      <c r="B381" s="617">
        <v>40000029</v>
      </c>
      <c r="C381" s="621" t="s">
        <v>10</v>
      </c>
      <c r="D381" s="565" t="s">
        <v>126</v>
      </c>
      <c r="E381" s="549" t="s">
        <v>145</v>
      </c>
      <c r="F381" s="566" t="s">
        <v>1810</v>
      </c>
      <c r="G381" s="574">
        <v>43649</v>
      </c>
      <c r="H381" s="580">
        <v>519261199.30000001</v>
      </c>
      <c r="I381" s="592">
        <v>43742</v>
      </c>
      <c r="J381" s="626">
        <f t="shared" ca="1" si="63"/>
        <v>678</v>
      </c>
      <c r="K381" s="600" t="str">
        <f t="shared" ca="1" si="57"/>
        <v/>
      </c>
      <c r="L381" s="600" t="str">
        <f t="shared" ca="1" si="58"/>
        <v/>
      </c>
      <c r="M381" s="601" t="str">
        <f t="shared" ca="1" si="59"/>
        <v/>
      </c>
      <c r="N381" s="600" t="str">
        <f t="shared" ca="1" si="60"/>
        <v/>
      </c>
      <c r="O381" s="600" t="str">
        <f t="shared" ca="1" si="61"/>
        <v/>
      </c>
      <c r="P381" s="600">
        <f t="shared" ca="1" si="62"/>
        <v>519261199.30000001</v>
      </c>
    </row>
    <row r="382" spans="2:16">
      <c r="B382" s="617">
        <v>40000029</v>
      </c>
      <c r="C382" s="621" t="s">
        <v>10</v>
      </c>
      <c r="D382" s="565" t="s">
        <v>126</v>
      </c>
      <c r="E382" s="549" t="s">
        <v>148</v>
      </c>
      <c r="F382" s="566" t="s">
        <v>1811</v>
      </c>
      <c r="G382" s="574"/>
      <c r="H382" s="580">
        <v>476515034.25223744</v>
      </c>
      <c r="I382" s="591">
        <v>43577</v>
      </c>
      <c r="J382" s="626">
        <f t="shared" ca="1" si="63"/>
        <v>843</v>
      </c>
      <c r="K382" s="600" t="str">
        <f t="shared" ca="1" si="57"/>
        <v/>
      </c>
      <c r="L382" s="600" t="str">
        <f t="shared" ca="1" si="58"/>
        <v/>
      </c>
      <c r="M382" s="601" t="str">
        <f t="shared" ca="1" si="59"/>
        <v/>
      </c>
      <c r="N382" s="600" t="str">
        <f t="shared" ca="1" si="60"/>
        <v/>
      </c>
      <c r="O382" s="600" t="str">
        <f t="shared" ca="1" si="61"/>
        <v/>
      </c>
      <c r="P382" s="600">
        <f t="shared" ca="1" si="62"/>
        <v>476515034.25223744</v>
      </c>
    </row>
    <row r="383" spans="2:16">
      <c r="B383" s="617">
        <v>40000029</v>
      </c>
      <c r="C383" s="621" t="s">
        <v>10</v>
      </c>
      <c r="D383" s="565" t="s">
        <v>126</v>
      </c>
      <c r="E383" s="552" t="s">
        <v>151</v>
      </c>
      <c r="F383" s="570" t="s">
        <v>1812</v>
      </c>
      <c r="G383" s="574"/>
      <c r="H383" s="580">
        <v>168429923.87549999</v>
      </c>
      <c r="I383" s="592">
        <v>43617</v>
      </c>
      <c r="J383" s="626">
        <f t="shared" ca="1" si="63"/>
        <v>803</v>
      </c>
      <c r="K383" s="600" t="str">
        <f t="shared" ca="1" si="57"/>
        <v/>
      </c>
      <c r="L383" s="600" t="str">
        <f t="shared" ca="1" si="58"/>
        <v/>
      </c>
      <c r="M383" s="601" t="str">
        <f t="shared" ca="1" si="59"/>
        <v/>
      </c>
      <c r="N383" s="600" t="str">
        <f t="shared" ca="1" si="60"/>
        <v/>
      </c>
      <c r="O383" s="600" t="str">
        <f t="shared" ca="1" si="61"/>
        <v/>
      </c>
      <c r="P383" s="600">
        <f t="shared" ca="1" si="62"/>
        <v>168429923.87549999</v>
      </c>
    </row>
    <row r="384" spans="2:16">
      <c r="B384" s="617">
        <v>40000029</v>
      </c>
      <c r="C384" s="621" t="s">
        <v>10</v>
      </c>
      <c r="D384" s="565" t="s">
        <v>126</v>
      </c>
      <c r="E384" s="549" t="s">
        <v>154</v>
      </c>
      <c r="F384" s="566" t="s">
        <v>1813</v>
      </c>
      <c r="G384" s="574"/>
      <c r="H384" s="580">
        <v>301261050.00088644</v>
      </c>
      <c r="I384" s="592">
        <v>43647</v>
      </c>
      <c r="J384" s="626">
        <f t="shared" ca="1" si="63"/>
        <v>773</v>
      </c>
      <c r="K384" s="600" t="str">
        <f t="shared" ca="1" si="57"/>
        <v/>
      </c>
      <c r="L384" s="600" t="str">
        <f t="shared" ca="1" si="58"/>
        <v/>
      </c>
      <c r="M384" s="601" t="str">
        <f t="shared" ca="1" si="59"/>
        <v/>
      </c>
      <c r="N384" s="600" t="str">
        <f t="shared" ca="1" si="60"/>
        <v/>
      </c>
      <c r="O384" s="600" t="str">
        <f t="shared" ca="1" si="61"/>
        <v/>
      </c>
      <c r="P384" s="600">
        <f t="shared" ca="1" si="62"/>
        <v>301261050.00088644</v>
      </c>
    </row>
    <row r="385" spans="2:16">
      <c r="B385" s="617">
        <v>40000029</v>
      </c>
      <c r="C385" s="621" t="s">
        <v>10</v>
      </c>
      <c r="D385" s="565" t="s">
        <v>126</v>
      </c>
      <c r="E385" s="549" t="s">
        <v>158</v>
      </c>
      <c r="F385" s="566" t="s">
        <v>1814</v>
      </c>
      <c r="G385" s="574"/>
      <c r="H385" s="580">
        <v>326514117.18136054</v>
      </c>
      <c r="I385" s="591">
        <v>43678</v>
      </c>
      <c r="J385" s="626">
        <f t="shared" ca="1" si="63"/>
        <v>742</v>
      </c>
      <c r="K385" s="600" t="str">
        <f t="shared" ca="1" si="57"/>
        <v/>
      </c>
      <c r="L385" s="600" t="str">
        <f t="shared" ca="1" si="58"/>
        <v/>
      </c>
      <c r="M385" s="601" t="str">
        <f t="shared" ca="1" si="59"/>
        <v/>
      </c>
      <c r="N385" s="600" t="str">
        <f t="shared" ca="1" si="60"/>
        <v/>
      </c>
      <c r="O385" s="600" t="str">
        <f t="shared" ca="1" si="61"/>
        <v/>
      </c>
      <c r="P385" s="600">
        <f t="shared" ca="1" si="62"/>
        <v>326514117.18136054</v>
      </c>
    </row>
    <row r="386" spans="2:16">
      <c r="B386" s="617">
        <v>40000029</v>
      </c>
      <c r="C386" s="621" t="s">
        <v>10</v>
      </c>
      <c r="D386" s="565" t="s">
        <v>126</v>
      </c>
      <c r="E386" s="552" t="s">
        <v>162</v>
      </c>
      <c r="F386" s="570" t="s">
        <v>1815</v>
      </c>
      <c r="G386" s="574"/>
      <c r="H386" s="580">
        <v>350927924.75193596</v>
      </c>
      <c r="I386" s="592">
        <v>43709</v>
      </c>
      <c r="J386" s="626">
        <f t="shared" ca="1" si="63"/>
        <v>711</v>
      </c>
      <c r="K386" s="600" t="str">
        <f t="shared" ca="1" si="57"/>
        <v/>
      </c>
      <c r="L386" s="600" t="str">
        <f t="shared" ca="1" si="58"/>
        <v/>
      </c>
      <c r="M386" s="601" t="str">
        <f t="shared" ca="1" si="59"/>
        <v/>
      </c>
      <c r="N386" s="600" t="str">
        <f t="shared" ca="1" si="60"/>
        <v/>
      </c>
      <c r="O386" s="600" t="str">
        <f t="shared" ca="1" si="61"/>
        <v/>
      </c>
      <c r="P386" s="600">
        <f t="shared" ca="1" si="62"/>
        <v>350927924.75193596</v>
      </c>
    </row>
    <row r="387" spans="2:16">
      <c r="B387" s="617">
        <v>40000029</v>
      </c>
      <c r="C387" s="621" t="s">
        <v>10</v>
      </c>
      <c r="D387" s="565" t="s">
        <v>126</v>
      </c>
      <c r="E387" s="549" t="s">
        <v>166</v>
      </c>
      <c r="F387" s="566" t="s">
        <v>1816</v>
      </c>
      <c r="G387" s="574"/>
      <c r="H387" s="580">
        <v>262549390.1671305</v>
      </c>
      <c r="I387" s="592">
        <v>43739</v>
      </c>
      <c r="J387" s="626">
        <f t="shared" ca="1" si="63"/>
        <v>681</v>
      </c>
      <c r="K387" s="600" t="str">
        <f t="shared" ca="1" si="57"/>
        <v/>
      </c>
      <c r="L387" s="600" t="str">
        <f t="shared" ca="1" si="58"/>
        <v/>
      </c>
      <c r="M387" s="601" t="str">
        <f t="shared" ca="1" si="59"/>
        <v/>
      </c>
      <c r="N387" s="600" t="str">
        <f t="shared" ca="1" si="60"/>
        <v/>
      </c>
      <c r="O387" s="600" t="str">
        <f t="shared" ca="1" si="61"/>
        <v/>
      </c>
      <c r="P387" s="600">
        <f t="shared" ca="1" si="62"/>
        <v>262549390.1671305</v>
      </c>
    </row>
    <row r="388" spans="2:16">
      <c r="B388" s="617">
        <v>40000029</v>
      </c>
      <c r="C388" s="621" t="s">
        <v>10</v>
      </c>
      <c r="D388" s="565" t="s">
        <v>126</v>
      </c>
      <c r="E388" s="549" t="s">
        <v>170</v>
      </c>
      <c r="F388" s="566" t="s">
        <v>1817</v>
      </c>
      <c r="G388" s="574"/>
      <c r="H388" s="580">
        <v>204093979.07015252</v>
      </c>
      <c r="I388" s="591">
        <v>43770</v>
      </c>
      <c r="J388" s="626">
        <f t="shared" ca="1" si="63"/>
        <v>650</v>
      </c>
      <c r="K388" s="600" t="str">
        <f t="shared" ca="1" si="57"/>
        <v/>
      </c>
      <c r="L388" s="600" t="str">
        <f t="shared" ca="1" si="58"/>
        <v/>
      </c>
      <c r="M388" s="601" t="str">
        <f t="shared" ca="1" si="59"/>
        <v/>
      </c>
      <c r="N388" s="600" t="str">
        <f t="shared" ca="1" si="60"/>
        <v/>
      </c>
      <c r="O388" s="600" t="str">
        <f t="shared" ca="1" si="61"/>
        <v/>
      </c>
      <c r="P388" s="600">
        <f t="shared" ca="1" si="62"/>
        <v>204093979.07015252</v>
      </c>
    </row>
    <row r="389" spans="2:16">
      <c r="B389" s="617">
        <v>40000029</v>
      </c>
      <c r="C389" s="621" t="s">
        <v>10</v>
      </c>
      <c r="D389" s="565" t="s">
        <v>126</v>
      </c>
      <c r="E389" s="552" t="s">
        <v>174</v>
      </c>
      <c r="F389" s="570" t="s">
        <v>1818</v>
      </c>
      <c r="G389" s="574"/>
      <c r="H389" s="580">
        <v>177089229.07308149</v>
      </c>
      <c r="I389" s="592">
        <v>43800</v>
      </c>
      <c r="J389" s="626">
        <f t="shared" ca="1" si="63"/>
        <v>620</v>
      </c>
      <c r="K389" s="600" t="str">
        <f t="shared" ca="1" si="57"/>
        <v/>
      </c>
      <c r="L389" s="600" t="str">
        <f t="shared" ca="1" si="58"/>
        <v/>
      </c>
      <c r="M389" s="601" t="str">
        <f t="shared" ca="1" si="59"/>
        <v/>
      </c>
      <c r="N389" s="600" t="str">
        <f t="shared" ca="1" si="60"/>
        <v/>
      </c>
      <c r="O389" s="600" t="str">
        <f t="shared" ca="1" si="61"/>
        <v/>
      </c>
      <c r="P389" s="600">
        <f t="shared" ca="1" si="62"/>
        <v>177089229.07308149</v>
      </c>
    </row>
    <row r="390" spans="2:16">
      <c r="B390" s="617">
        <v>40000029</v>
      </c>
      <c r="C390" s="621" t="s">
        <v>10</v>
      </c>
      <c r="D390" s="565" t="s">
        <v>126</v>
      </c>
      <c r="E390" s="549" t="s">
        <v>178</v>
      </c>
      <c r="F390" s="566" t="s">
        <v>1819</v>
      </c>
      <c r="G390" s="574"/>
      <c r="H390" s="580">
        <v>207384614.07812396</v>
      </c>
      <c r="I390" s="592">
        <v>43831</v>
      </c>
      <c r="J390" s="626">
        <f t="shared" ca="1" si="63"/>
        <v>589</v>
      </c>
      <c r="K390" s="600" t="str">
        <f t="shared" ca="1" si="57"/>
        <v/>
      </c>
      <c r="L390" s="600" t="str">
        <f t="shared" ca="1" si="58"/>
        <v/>
      </c>
      <c r="M390" s="601" t="str">
        <f t="shared" ca="1" si="59"/>
        <v/>
      </c>
      <c r="N390" s="600" t="str">
        <f t="shared" ca="1" si="60"/>
        <v/>
      </c>
      <c r="O390" s="600" t="str">
        <f t="shared" ca="1" si="61"/>
        <v/>
      </c>
      <c r="P390" s="600">
        <f t="shared" ca="1" si="62"/>
        <v>207384614.07812396</v>
      </c>
    </row>
    <row r="391" spans="2:16">
      <c r="B391" s="617">
        <v>40000029</v>
      </c>
      <c r="C391" s="621" t="s">
        <v>10</v>
      </c>
      <c r="D391" s="565" t="s">
        <v>126</v>
      </c>
      <c r="E391" s="549" t="s">
        <v>181</v>
      </c>
      <c r="F391" s="566" t="s">
        <v>1820</v>
      </c>
      <c r="G391" s="574"/>
      <c r="H391" s="580">
        <v>206489822.46103048</v>
      </c>
      <c r="I391" s="591">
        <v>43832</v>
      </c>
      <c r="J391" s="626">
        <f t="shared" ca="1" si="63"/>
        <v>588</v>
      </c>
      <c r="K391" s="600" t="str">
        <f t="shared" ca="1" si="57"/>
        <v/>
      </c>
      <c r="L391" s="600" t="str">
        <f t="shared" ca="1" si="58"/>
        <v/>
      </c>
      <c r="M391" s="601" t="str">
        <f t="shared" ca="1" si="59"/>
        <v/>
      </c>
      <c r="N391" s="600" t="str">
        <f t="shared" ca="1" si="60"/>
        <v/>
      </c>
      <c r="O391" s="600" t="str">
        <f t="shared" ca="1" si="61"/>
        <v/>
      </c>
      <c r="P391" s="600">
        <f t="shared" ca="1" si="62"/>
        <v>206489822.46103048</v>
      </c>
    </row>
    <row r="392" spans="2:16">
      <c r="B392" s="617">
        <v>40000029</v>
      </c>
      <c r="C392" s="621" t="s">
        <v>10</v>
      </c>
      <c r="D392" s="565" t="s">
        <v>126</v>
      </c>
      <c r="E392" s="552" t="s">
        <v>185</v>
      </c>
      <c r="F392" s="570" t="s">
        <v>1821</v>
      </c>
      <c r="G392" s="574"/>
      <c r="H392" s="580">
        <v>161950852.88539499</v>
      </c>
      <c r="I392" s="592">
        <v>43903</v>
      </c>
      <c r="J392" s="626">
        <f t="shared" ca="1" si="63"/>
        <v>517</v>
      </c>
      <c r="K392" s="600" t="str">
        <f t="shared" ca="1" si="57"/>
        <v/>
      </c>
      <c r="L392" s="600" t="str">
        <f t="shared" ca="1" si="58"/>
        <v/>
      </c>
      <c r="M392" s="601" t="str">
        <f t="shared" ca="1" si="59"/>
        <v/>
      </c>
      <c r="N392" s="600" t="str">
        <f t="shared" ca="1" si="60"/>
        <v/>
      </c>
      <c r="O392" s="600" t="str">
        <f t="shared" ca="1" si="61"/>
        <v/>
      </c>
      <c r="P392" s="600">
        <f t="shared" ca="1" si="62"/>
        <v>161950852.88539499</v>
      </c>
    </row>
    <row r="393" spans="2:16">
      <c r="B393" s="617">
        <v>40000029</v>
      </c>
      <c r="C393" s="621" t="s">
        <v>10</v>
      </c>
      <c r="D393" s="565" t="s">
        <v>126</v>
      </c>
      <c r="E393" s="549" t="s">
        <v>189</v>
      </c>
      <c r="F393" s="566" t="s">
        <v>1822</v>
      </c>
      <c r="G393" s="574"/>
      <c r="H393" s="580">
        <v>161661853.3057726</v>
      </c>
      <c r="I393" s="592">
        <v>43916</v>
      </c>
      <c r="J393" s="626">
        <f t="shared" ca="1" si="63"/>
        <v>504</v>
      </c>
      <c r="K393" s="600" t="str">
        <f t="shared" ca="1" si="57"/>
        <v/>
      </c>
      <c r="L393" s="600" t="str">
        <f t="shared" ca="1" si="58"/>
        <v/>
      </c>
      <c r="M393" s="601" t="str">
        <f t="shared" ca="1" si="59"/>
        <v/>
      </c>
      <c r="N393" s="600" t="str">
        <f t="shared" ca="1" si="60"/>
        <v/>
      </c>
      <c r="O393" s="600" t="str">
        <f t="shared" ca="1" si="61"/>
        <v/>
      </c>
      <c r="P393" s="600">
        <f t="shared" ca="1" si="62"/>
        <v>161661853.3057726</v>
      </c>
    </row>
    <row r="394" spans="2:16">
      <c r="B394" s="617">
        <v>40000029</v>
      </c>
      <c r="C394" s="621" t="s">
        <v>10</v>
      </c>
      <c r="D394" s="565" t="s">
        <v>126</v>
      </c>
      <c r="E394" s="549" t="s">
        <v>191</v>
      </c>
      <c r="F394" s="566" t="s">
        <v>1823</v>
      </c>
      <c r="G394" s="574">
        <v>43986</v>
      </c>
      <c r="H394" s="580">
        <v>242390447.33284733</v>
      </c>
      <c r="I394" s="591">
        <v>43962</v>
      </c>
      <c r="J394" s="626">
        <f t="shared" ca="1" si="63"/>
        <v>458</v>
      </c>
      <c r="K394" s="600" t="str">
        <f t="shared" ca="1" si="57"/>
        <v/>
      </c>
      <c r="L394" s="600" t="str">
        <f t="shared" ca="1" si="58"/>
        <v/>
      </c>
      <c r="M394" s="601" t="str">
        <f t="shared" ca="1" si="59"/>
        <v/>
      </c>
      <c r="N394" s="600" t="str">
        <f t="shared" ca="1" si="60"/>
        <v/>
      </c>
      <c r="O394" s="600" t="str">
        <f t="shared" ca="1" si="61"/>
        <v/>
      </c>
      <c r="P394" s="600">
        <f t="shared" ca="1" si="62"/>
        <v>242390447.33284733</v>
      </c>
    </row>
    <row r="395" spans="2:16">
      <c r="B395" s="617">
        <v>40000029</v>
      </c>
      <c r="C395" s="621" t="s">
        <v>10</v>
      </c>
      <c r="D395" s="565" t="s">
        <v>126</v>
      </c>
      <c r="E395" s="552" t="s">
        <v>195</v>
      </c>
      <c r="F395" s="570" t="s">
        <v>1824</v>
      </c>
      <c r="G395" s="574" t="s">
        <v>197</v>
      </c>
      <c r="H395" s="580">
        <v>178221564.87476817</v>
      </c>
      <c r="I395" s="592">
        <v>44001</v>
      </c>
      <c r="J395" s="626">
        <f t="shared" ca="1" si="63"/>
        <v>419</v>
      </c>
      <c r="K395" s="600" t="str">
        <f t="shared" ca="1" si="57"/>
        <v/>
      </c>
      <c r="L395" s="600" t="str">
        <f t="shared" ca="1" si="58"/>
        <v/>
      </c>
      <c r="M395" s="601" t="str">
        <f t="shared" ca="1" si="59"/>
        <v/>
      </c>
      <c r="N395" s="600" t="str">
        <f t="shared" ca="1" si="60"/>
        <v/>
      </c>
      <c r="O395" s="600" t="str">
        <f t="shared" ca="1" si="61"/>
        <v/>
      </c>
      <c r="P395" s="600">
        <f t="shared" ca="1" si="62"/>
        <v>178221564.87476817</v>
      </c>
    </row>
    <row r="396" spans="2:16">
      <c r="B396" s="617">
        <v>40000029</v>
      </c>
      <c r="C396" s="621" t="s">
        <v>10</v>
      </c>
      <c r="D396" s="565" t="s">
        <v>126</v>
      </c>
      <c r="E396" s="549" t="s">
        <v>199</v>
      </c>
      <c r="F396" s="566" t="s">
        <v>1825</v>
      </c>
      <c r="G396" s="574">
        <v>44049</v>
      </c>
      <c r="H396" s="580">
        <v>187004580.13432726</v>
      </c>
      <c r="I396" s="592">
        <v>44035</v>
      </c>
      <c r="J396" s="626">
        <f t="shared" ca="1" si="63"/>
        <v>385</v>
      </c>
      <c r="K396" s="600" t="str">
        <f t="shared" ca="1" si="57"/>
        <v/>
      </c>
      <c r="L396" s="600" t="str">
        <f t="shared" ca="1" si="58"/>
        <v/>
      </c>
      <c r="M396" s="601" t="str">
        <f t="shared" ca="1" si="59"/>
        <v/>
      </c>
      <c r="N396" s="600" t="str">
        <f t="shared" ca="1" si="60"/>
        <v/>
      </c>
      <c r="O396" s="600" t="str">
        <f t="shared" ca="1" si="61"/>
        <v/>
      </c>
      <c r="P396" s="600">
        <f t="shared" ca="1" si="62"/>
        <v>187004580.13432726</v>
      </c>
    </row>
    <row r="397" spans="2:16">
      <c r="B397" s="617">
        <v>40000029</v>
      </c>
      <c r="C397" s="621" t="s">
        <v>10</v>
      </c>
      <c r="D397" s="565" t="s">
        <v>126</v>
      </c>
      <c r="E397" s="549" t="s">
        <v>201</v>
      </c>
      <c r="F397" s="566" t="s">
        <v>1826</v>
      </c>
      <c r="G397" s="574" t="s">
        <v>449</v>
      </c>
      <c r="H397" s="580">
        <v>225642867.40985948</v>
      </c>
      <c r="I397" s="591">
        <v>44067</v>
      </c>
      <c r="J397" s="626">
        <f t="shared" ca="1" si="63"/>
        <v>353</v>
      </c>
      <c r="K397" s="600" t="str">
        <f t="shared" ca="1" si="57"/>
        <v/>
      </c>
      <c r="L397" s="600" t="str">
        <f t="shared" ca="1" si="58"/>
        <v/>
      </c>
      <c r="M397" s="601" t="str">
        <f t="shared" ca="1" si="59"/>
        <v/>
      </c>
      <c r="N397" s="600" t="str">
        <f t="shared" ca="1" si="60"/>
        <v/>
      </c>
      <c r="O397" s="600">
        <f t="shared" ca="1" si="61"/>
        <v>225642867.40985948</v>
      </c>
      <c r="P397" s="600" t="str">
        <f t="shared" ca="1" si="62"/>
        <v/>
      </c>
    </row>
    <row r="398" spans="2:16">
      <c r="B398" s="617">
        <v>40000029</v>
      </c>
      <c r="C398" s="621" t="s">
        <v>10</v>
      </c>
      <c r="D398" s="565" t="s">
        <v>126</v>
      </c>
      <c r="E398" s="552" t="s">
        <v>203</v>
      </c>
      <c r="F398" s="570" t="s">
        <v>1827</v>
      </c>
      <c r="G398" s="574">
        <v>44112</v>
      </c>
      <c r="H398" s="580">
        <v>248345224.85850483</v>
      </c>
      <c r="I398" s="592">
        <v>44084</v>
      </c>
      <c r="J398" s="626">
        <f t="shared" ca="1" si="63"/>
        <v>336</v>
      </c>
      <c r="K398" s="600" t="str">
        <f t="shared" ca="1" si="57"/>
        <v/>
      </c>
      <c r="L398" s="600" t="str">
        <f t="shared" ca="1" si="58"/>
        <v/>
      </c>
      <c r="M398" s="601" t="str">
        <f t="shared" ca="1" si="59"/>
        <v/>
      </c>
      <c r="N398" s="600" t="str">
        <f t="shared" ca="1" si="60"/>
        <v/>
      </c>
      <c r="O398" s="600">
        <f t="shared" ca="1" si="61"/>
        <v>248345224.85850483</v>
      </c>
      <c r="P398" s="600" t="str">
        <f t="shared" ca="1" si="62"/>
        <v/>
      </c>
    </row>
    <row r="399" spans="2:16">
      <c r="B399" s="617">
        <v>40000029</v>
      </c>
      <c r="C399" s="621" t="s">
        <v>10</v>
      </c>
      <c r="D399" s="565" t="s">
        <v>126</v>
      </c>
      <c r="E399" s="549" t="s">
        <v>207</v>
      </c>
      <c r="F399" s="566" t="s">
        <v>1829</v>
      </c>
      <c r="G399" s="574" t="s">
        <v>209</v>
      </c>
      <c r="H399" s="580">
        <v>228789951.72918457</v>
      </c>
      <c r="I399" s="592">
        <v>44106</v>
      </c>
      <c r="J399" s="626">
        <f t="shared" ca="1" si="63"/>
        <v>314</v>
      </c>
      <c r="K399" s="600" t="str">
        <f t="shared" ca="1" si="57"/>
        <v/>
      </c>
      <c r="L399" s="600" t="str">
        <f t="shared" ca="1" si="58"/>
        <v/>
      </c>
      <c r="M399" s="601" t="str">
        <f t="shared" ca="1" si="59"/>
        <v/>
      </c>
      <c r="N399" s="600" t="str">
        <f t="shared" ca="1" si="60"/>
        <v/>
      </c>
      <c r="O399" s="600">
        <f t="shared" ca="1" si="61"/>
        <v>228789951.72918457</v>
      </c>
      <c r="P399" s="600" t="str">
        <f t="shared" ca="1" si="62"/>
        <v/>
      </c>
    </row>
    <row r="400" spans="2:16">
      <c r="B400" s="617">
        <v>40000029</v>
      </c>
      <c r="C400" s="621" t="s">
        <v>10</v>
      </c>
      <c r="D400" s="565" t="s">
        <v>126</v>
      </c>
      <c r="E400" s="549" t="s">
        <v>212</v>
      </c>
      <c r="F400" s="566" t="s">
        <v>1830</v>
      </c>
      <c r="G400" s="574" t="s">
        <v>736</v>
      </c>
      <c r="H400" s="580">
        <v>270766862.59763616</v>
      </c>
      <c r="I400" s="591">
        <v>44132</v>
      </c>
      <c r="J400" s="626">
        <f t="shared" ca="1" si="63"/>
        <v>288</v>
      </c>
      <c r="K400" s="600" t="str">
        <f t="shared" ca="1" si="57"/>
        <v/>
      </c>
      <c r="L400" s="600" t="str">
        <f t="shared" ca="1" si="58"/>
        <v/>
      </c>
      <c r="M400" s="601" t="str">
        <f t="shared" ca="1" si="59"/>
        <v/>
      </c>
      <c r="N400" s="600" t="str">
        <f t="shared" ca="1" si="60"/>
        <v/>
      </c>
      <c r="O400" s="600">
        <f t="shared" ca="1" si="61"/>
        <v>270766862.59763616</v>
      </c>
      <c r="P400" s="600" t="str">
        <f t="shared" ca="1" si="62"/>
        <v/>
      </c>
    </row>
    <row r="401" spans="2:16">
      <c r="B401" s="617">
        <v>40000029</v>
      </c>
      <c r="C401" s="621" t="s">
        <v>10</v>
      </c>
      <c r="D401" s="565" t="s">
        <v>126</v>
      </c>
      <c r="E401" s="552" t="s">
        <v>214</v>
      </c>
      <c r="F401" s="570" t="s">
        <v>1831</v>
      </c>
      <c r="G401" s="574">
        <v>43962</v>
      </c>
      <c r="H401" s="580">
        <v>243585185.96501634</v>
      </c>
      <c r="I401" s="592">
        <v>44170</v>
      </c>
      <c r="J401" s="626">
        <f t="shared" ca="1" si="63"/>
        <v>250</v>
      </c>
      <c r="K401" s="600" t="str">
        <f t="shared" ca="1" si="57"/>
        <v/>
      </c>
      <c r="L401" s="600" t="str">
        <f t="shared" ca="1" si="58"/>
        <v/>
      </c>
      <c r="M401" s="601" t="str">
        <f t="shared" ca="1" si="59"/>
        <v/>
      </c>
      <c r="N401" s="600" t="str">
        <f t="shared" ca="1" si="60"/>
        <v/>
      </c>
      <c r="O401" s="600">
        <f t="shared" ca="1" si="61"/>
        <v>243585185.96501634</v>
      </c>
      <c r="P401" s="600" t="str">
        <f t="shared" ca="1" si="62"/>
        <v/>
      </c>
    </row>
    <row r="402" spans="2:16">
      <c r="B402" s="617">
        <v>40000029</v>
      </c>
      <c r="C402" s="621" t="s">
        <v>10</v>
      </c>
      <c r="D402" s="565" t="s">
        <v>126</v>
      </c>
      <c r="E402" s="549" t="s">
        <v>218</v>
      </c>
      <c r="F402" s="566" t="s">
        <v>1832</v>
      </c>
      <c r="G402" s="574">
        <v>44024</v>
      </c>
      <c r="H402" s="580">
        <v>320131841.06051099</v>
      </c>
      <c r="I402" s="592">
        <v>44220</v>
      </c>
      <c r="J402" s="626">
        <f t="shared" ca="1" si="63"/>
        <v>200</v>
      </c>
      <c r="K402" s="600" t="str">
        <f t="shared" ca="1" si="57"/>
        <v/>
      </c>
      <c r="L402" s="600" t="str">
        <f t="shared" ca="1" si="58"/>
        <v/>
      </c>
      <c r="M402" s="601" t="str">
        <f t="shared" ca="1" si="59"/>
        <v/>
      </c>
      <c r="N402" s="600" t="str">
        <f t="shared" ca="1" si="60"/>
        <v/>
      </c>
      <c r="O402" s="600">
        <f t="shared" ca="1" si="61"/>
        <v>320131841.06051099</v>
      </c>
      <c r="P402" s="600" t="str">
        <f t="shared" ca="1" si="62"/>
        <v/>
      </c>
    </row>
    <row r="403" spans="2:16">
      <c r="B403" s="617">
        <v>40000029</v>
      </c>
      <c r="C403" s="621" t="s">
        <v>10</v>
      </c>
      <c r="D403" s="565" t="s">
        <v>126</v>
      </c>
      <c r="E403" s="549" t="s">
        <v>219</v>
      </c>
      <c r="F403" s="566" t="s">
        <v>1833</v>
      </c>
      <c r="G403" s="574">
        <v>44409</v>
      </c>
      <c r="H403" s="580">
        <v>248535841.23913005</v>
      </c>
      <c r="I403" s="591">
        <v>44235</v>
      </c>
      <c r="J403" s="626">
        <f t="shared" ca="1" si="63"/>
        <v>185</v>
      </c>
      <c r="K403" s="600" t="str">
        <f t="shared" ca="1" si="57"/>
        <v/>
      </c>
      <c r="L403" s="600" t="str">
        <f t="shared" ca="1" si="58"/>
        <v/>
      </c>
      <c r="M403" s="601" t="str">
        <f t="shared" ca="1" si="59"/>
        <v/>
      </c>
      <c r="N403" s="600" t="str">
        <f t="shared" ca="1" si="60"/>
        <v/>
      </c>
      <c r="O403" s="600">
        <f t="shared" ca="1" si="61"/>
        <v>248535841.23913005</v>
      </c>
      <c r="P403" s="600" t="str">
        <f t="shared" ca="1" si="62"/>
        <v/>
      </c>
    </row>
    <row r="404" spans="2:16">
      <c r="B404" s="617">
        <v>40000029</v>
      </c>
      <c r="C404" s="621" t="s">
        <v>10</v>
      </c>
      <c r="D404" s="565" t="s">
        <v>126</v>
      </c>
      <c r="E404" s="552" t="s">
        <v>221</v>
      </c>
      <c r="F404" s="570" t="s">
        <v>1834</v>
      </c>
      <c r="G404" s="574">
        <v>44441</v>
      </c>
      <c r="H404" s="580">
        <v>313256036.97312671</v>
      </c>
      <c r="I404" s="592">
        <v>44250</v>
      </c>
      <c r="J404" s="626">
        <f t="shared" ca="1" si="63"/>
        <v>170</v>
      </c>
      <c r="K404" s="600" t="str">
        <f t="shared" ca="1" si="57"/>
        <v/>
      </c>
      <c r="L404" s="600" t="str">
        <f t="shared" ca="1" si="58"/>
        <v/>
      </c>
      <c r="M404" s="601" t="str">
        <f t="shared" ca="1" si="59"/>
        <v/>
      </c>
      <c r="N404" s="600">
        <f t="shared" ca="1" si="60"/>
        <v>313256036.97312671</v>
      </c>
      <c r="O404" s="600" t="str">
        <f t="shared" ca="1" si="61"/>
        <v/>
      </c>
      <c r="P404" s="600" t="str">
        <f t="shared" ca="1" si="62"/>
        <v/>
      </c>
    </row>
    <row r="405" spans="2:16">
      <c r="B405" s="617">
        <v>40000029</v>
      </c>
      <c r="C405" s="621" t="s">
        <v>10</v>
      </c>
      <c r="D405" s="565" t="s">
        <v>126</v>
      </c>
      <c r="E405" s="549" t="s">
        <v>222</v>
      </c>
      <c r="F405" s="566" t="s">
        <v>1835</v>
      </c>
      <c r="G405" s="574">
        <v>44319</v>
      </c>
      <c r="H405" s="580">
        <v>265452877.75023654</v>
      </c>
      <c r="I405" s="592">
        <v>44291</v>
      </c>
      <c r="J405" s="626">
        <f t="shared" ca="1" si="63"/>
        <v>129</v>
      </c>
      <c r="K405" s="600" t="str">
        <f t="shared" ca="1" si="57"/>
        <v/>
      </c>
      <c r="L405" s="600" t="str">
        <f t="shared" ca="1" si="58"/>
        <v/>
      </c>
      <c r="M405" s="601" t="str">
        <f t="shared" ca="1" si="59"/>
        <v/>
      </c>
      <c r="N405" s="600">
        <f t="shared" ca="1" si="60"/>
        <v>265452877.75023654</v>
      </c>
      <c r="O405" s="600" t="str">
        <f t="shared" ca="1" si="61"/>
        <v/>
      </c>
      <c r="P405" s="600" t="str">
        <f t="shared" ca="1" si="62"/>
        <v/>
      </c>
    </row>
    <row r="406" spans="2:16">
      <c r="B406" s="617"/>
      <c r="C406" s="621"/>
      <c r="D406" s="565"/>
      <c r="E406" s="549"/>
      <c r="F406" s="566"/>
      <c r="G406" s="574"/>
      <c r="H406" s="580"/>
      <c r="I406" s="591"/>
      <c r="J406" s="626"/>
      <c r="K406" s="600" t="str">
        <f t="shared" si="57"/>
        <v/>
      </c>
      <c r="L406" s="600" t="str">
        <f t="shared" si="58"/>
        <v/>
      </c>
      <c r="M406" s="601" t="str">
        <f t="shared" si="59"/>
        <v/>
      </c>
      <c r="N406" s="600" t="str">
        <f t="shared" si="60"/>
        <v/>
      </c>
      <c r="O406" s="600" t="str">
        <f t="shared" si="61"/>
        <v/>
      </c>
      <c r="P406" s="600" t="str">
        <f t="shared" si="62"/>
        <v/>
      </c>
    </row>
    <row r="407" spans="2:16">
      <c r="B407" s="617"/>
      <c r="C407" s="621"/>
      <c r="D407" s="565"/>
      <c r="E407" s="552"/>
      <c r="F407" s="570"/>
      <c r="G407" s="574"/>
      <c r="H407" s="580"/>
      <c r="I407" s="592"/>
      <c r="J407" s="626"/>
      <c r="K407" s="600" t="str">
        <f t="shared" si="57"/>
        <v/>
      </c>
      <c r="L407" s="600" t="str">
        <f t="shared" si="58"/>
        <v/>
      </c>
      <c r="M407" s="601" t="str">
        <f t="shared" si="59"/>
        <v/>
      </c>
      <c r="N407" s="600" t="str">
        <f t="shared" si="60"/>
        <v/>
      </c>
      <c r="O407" s="600" t="str">
        <f t="shared" si="61"/>
        <v/>
      </c>
      <c r="P407" s="600" t="str">
        <f t="shared" si="62"/>
        <v/>
      </c>
    </row>
    <row r="408" spans="2:16">
      <c r="B408" s="617"/>
      <c r="C408" s="621"/>
      <c r="D408" s="565"/>
      <c r="E408" s="552"/>
      <c r="F408" s="570"/>
      <c r="G408" s="574"/>
      <c r="H408" s="580">
        <v>5698439.7682072818</v>
      </c>
      <c r="I408" s="592"/>
      <c r="J408" s="626"/>
      <c r="K408" s="600" t="str">
        <f t="shared" si="57"/>
        <v/>
      </c>
      <c r="L408" s="600" t="str">
        <f t="shared" si="58"/>
        <v/>
      </c>
      <c r="M408" s="601" t="str">
        <f t="shared" si="59"/>
        <v/>
      </c>
      <c r="N408" s="600" t="str">
        <f t="shared" si="60"/>
        <v/>
      </c>
      <c r="O408" s="600" t="str">
        <f t="shared" si="61"/>
        <v/>
      </c>
      <c r="P408" s="600" t="str">
        <f t="shared" si="62"/>
        <v/>
      </c>
    </row>
    <row r="409" spans="2:16">
      <c r="B409" s="617">
        <v>10009812</v>
      </c>
      <c r="C409" s="621" t="s">
        <v>10</v>
      </c>
      <c r="D409" s="565" t="s">
        <v>121</v>
      </c>
      <c r="E409" s="549" t="s">
        <v>212</v>
      </c>
      <c r="F409" s="566" t="s">
        <v>263</v>
      </c>
      <c r="G409" s="574">
        <v>44084</v>
      </c>
      <c r="H409" s="580">
        <v>53916041.701721244</v>
      </c>
      <c r="I409" s="592">
        <v>44129</v>
      </c>
      <c r="J409" s="626">
        <f t="shared" ref="J409:J414" ca="1" si="64">DATEDIF(I409,$J$4,"D")</f>
        <v>291</v>
      </c>
      <c r="K409" s="600" t="str">
        <f t="shared" ca="1" si="57"/>
        <v/>
      </c>
      <c r="L409" s="600" t="str">
        <f t="shared" ca="1" si="58"/>
        <v/>
      </c>
      <c r="M409" s="601" t="str">
        <f t="shared" ca="1" si="59"/>
        <v/>
      </c>
      <c r="N409" s="600" t="str">
        <f t="shared" ca="1" si="60"/>
        <v/>
      </c>
      <c r="O409" s="600">
        <f t="shared" ca="1" si="61"/>
        <v>53916041.701721244</v>
      </c>
      <c r="P409" s="600" t="str">
        <f t="shared" ca="1" si="62"/>
        <v/>
      </c>
    </row>
    <row r="410" spans="2:16">
      <c r="B410" s="617">
        <v>10009812</v>
      </c>
      <c r="C410" s="621" t="s">
        <v>10</v>
      </c>
      <c r="D410" s="565" t="s">
        <v>121</v>
      </c>
      <c r="E410" s="549" t="s">
        <v>214</v>
      </c>
      <c r="F410" s="566" t="s">
        <v>265</v>
      </c>
      <c r="G410" s="574">
        <v>43962</v>
      </c>
      <c r="H410" s="580">
        <v>45678718.928719997</v>
      </c>
      <c r="I410" s="591">
        <v>44157</v>
      </c>
      <c r="J410" s="626">
        <f t="shared" ca="1" si="64"/>
        <v>263</v>
      </c>
      <c r="K410" s="600" t="str">
        <f t="shared" ca="1" si="57"/>
        <v/>
      </c>
      <c r="L410" s="600" t="str">
        <f t="shared" ca="1" si="58"/>
        <v/>
      </c>
      <c r="M410" s="601" t="str">
        <f t="shared" ca="1" si="59"/>
        <v/>
      </c>
      <c r="N410" s="600" t="str">
        <f t="shared" ca="1" si="60"/>
        <v/>
      </c>
      <c r="O410" s="600">
        <f t="shared" ca="1" si="61"/>
        <v>45678718.928719997</v>
      </c>
      <c r="P410" s="600" t="str">
        <f t="shared" ca="1" si="62"/>
        <v/>
      </c>
    </row>
    <row r="411" spans="2:16">
      <c r="B411" s="617">
        <v>10009812</v>
      </c>
      <c r="C411" s="621" t="s">
        <v>10</v>
      </c>
      <c r="D411" s="565" t="s">
        <v>121</v>
      </c>
      <c r="E411" s="552" t="s">
        <v>218</v>
      </c>
      <c r="F411" s="570" t="s">
        <v>267</v>
      </c>
      <c r="G411" s="574" t="s">
        <v>703</v>
      </c>
      <c r="H411" s="580">
        <v>99273258.709858984</v>
      </c>
      <c r="I411" s="592">
        <v>44208</v>
      </c>
      <c r="J411" s="626">
        <f t="shared" ca="1" si="64"/>
        <v>212</v>
      </c>
      <c r="K411" s="600" t="str">
        <f t="shared" ca="1" si="57"/>
        <v/>
      </c>
      <c r="L411" s="600" t="str">
        <f t="shared" ca="1" si="58"/>
        <v/>
      </c>
      <c r="M411" s="601" t="str">
        <f t="shared" ca="1" si="59"/>
        <v/>
      </c>
      <c r="N411" s="600" t="str">
        <f t="shared" ca="1" si="60"/>
        <v/>
      </c>
      <c r="O411" s="600">
        <f t="shared" ca="1" si="61"/>
        <v>99273258.709858984</v>
      </c>
      <c r="P411" s="600" t="str">
        <f t="shared" ca="1" si="62"/>
        <v/>
      </c>
    </row>
    <row r="412" spans="2:16">
      <c r="B412" s="617">
        <v>10009812</v>
      </c>
      <c r="C412" s="621" t="s">
        <v>10</v>
      </c>
      <c r="D412" s="565" t="s">
        <v>121</v>
      </c>
      <c r="E412" s="549" t="s">
        <v>219</v>
      </c>
      <c r="F412" s="566" t="s">
        <v>268</v>
      </c>
      <c r="G412" s="574">
        <v>44409</v>
      </c>
      <c r="H412" s="580">
        <v>46754567.015064746</v>
      </c>
      <c r="I412" s="592">
        <v>44219</v>
      </c>
      <c r="J412" s="626">
        <f t="shared" ca="1" si="64"/>
        <v>201</v>
      </c>
      <c r="K412" s="600" t="str">
        <f t="shared" ca="1" si="57"/>
        <v/>
      </c>
      <c r="L412" s="600" t="str">
        <f t="shared" ca="1" si="58"/>
        <v/>
      </c>
      <c r="M412" s="601" t="str">
        <f t="shared" ca="1" si="59"/>
        <v/>
      </c>
      <c r="N412" s="600" t="str">
        <f t="shared" ca="1" si="60"/>
        <v/>
      </c>
      <c r="O412" s="600">
        <f t="shared" ca="1" si="61"/>
        <v>46754567.015064746</v>
      </c>
      <c r="P412" s="600" t="str">
        <f t="shared" ca="1" si="62"/>
        <v/>
      </c>
    </row>
    <row r="413" spans="2:16">
      <c r="B413" s="617">
        <v>10009812</v>
      </c>
      <c r="C413" s="621" t="s">
        <v>10</v>
      </c>
      <c r="D413" s="565" t="s">
        <v>121</v>
      </c>
      <c r="E413" s="549" t="s">
        <v>221</v>
      </c>
      <c r="F413" s="566" t="s">
        <v>122</v>
      </c>
      <c r="G413" s="574">
        <v>44441</v>
      </c>
      <c r="H413" s="580">
        <v>86716445.586309001</v>
      </c>
      <c r="I413" s="591">
        <v>44289</v>
      </c>
      <c r="J413" s="626">
        <f t="shared" ca="1" si="64"/>
        <v>131</v>
      </c>
      <c r="K413" s="600" t="str">
        <f t="shared" ca="1" si="57"/>
        <v/>
      </c>
      <c r="L413" s="600" t="str">
        <f t="shared" ca="1" si="58"/>
        <v/>
      </c>
      <c r="M413" s="601" t="str">
        <f t="shared" ca="1" si="59"/>
        <v/>
      </c>
      <c r="N413" s="600">
        <f t="shared" ca="1" si="60"/>
        <v>86716445.586309001</v>
      </c>
      <c r="O413" s="600" t="str">
        <f t="shared" ca="1" si="61"/>
        <v/>
      </c>
      <c r="P413" s="600" t="str">
        <f t="shared" ca="1" si="62"/>
        <v/>
      </c>
    </row>
    <row r="414" spans="2:16">
      <c r="B414" s="617">
        <v>10009812</v>
      </c>
      <c r="C414" s="621" t="s">
        <v>10</v>
      </c>
      <c r="D414" s="565" t="s">
        <v>121</v>
      </c>
      <c r="E414" s="552" t="s">
        <v>222</v>
      </c>
      <c r="F414" s="570" t="s">
        <v>271</v>
      </c>
      <c r="G414" s="574">
        <v>44319</v>
      </c>
      <c r="H414" s="580">
        <v>155878471.77331275</v>
      </c>
      <c r="I414" s="592">
        <v>44306</v>
      </c>
      <c r="J414" s="626">
        <f t="shared" ca="1" si="64"/>
        <v>114</v>
      </c>
      <c r="K414" s="600" t="str">
        <f t="shared" ca="1" si="57"/>
        <v/>
      </c>
      <c r="L414" s="600" t="str">
        <f t="shared" ca="1" si="58"/>
        <v/>
      </c>
      <c r="M414" s="601" t="str">
        <f t="shared" ca="1" si="59"/>
        <v/>
      </c>
      <c r="N414" s="600">
        <f t="shared" ca="1" si="60"/>
        <v>155878471.77331275</v>
      </c>
      <c r="O414" s="600" t="str">
        <f t="shared" ca="1" si="61"/>
        <v/>
      </c>
      <c r="P414" s="600" t="str">
        <f t="shared" ca="1" si="62"/>
        <v/>
      </c>
    </row>
    <row r="415" spans="2:16">
      <c r="B415" s="617"/>
      <c r="C415" s="621"/>
      <c r="D415" s="565"/>
      <c r="E415" s="549"/>
      <c r="F415" s="566"/>
      <c r="G415" s="574"/>
      <c r="H415" s="580"/>
      <c r="I415" s="592"/>
      <c r="J415" s="626"/>
      <c r="K415" s="600" t="str">
        <f t="shared" si="57"/>
        <v/>
      </c>
      <c r="L415" s="600" t="str">
        <f t="shared" si="58"/>
        <v/>
      </c>
      <c r="M415" s="601" t="str">
        <f t="shared" si="59"/>
        <v/>
      </c>
      <c r="N415" s="600" t="str">
        <f t="shared" si="60"/>
        <v/>
      </c>
      <c r="O415" s="600" t="str">
        <f t="shared" si="61"/>
        <v/>
      </c>
      <c r="P415" s="600" t="str">
        <f t="shared" si="62"/>
        <v/>
      </c>
    </row>
    <row r="416" spans="2:16">
      <c r="B416" s="617"/>
      <c r="C416" s="621"/>
      <c r="D416" s="565"/>
      <c r="E416" s="549"/>
      <c r="F416" s="566"/>
      <c r="G416" s="574"/>
      <c r="H416" s="580"/>
      <c r="I416" s="591"/>
      <c r="J416" s="626"/>
      <c r="K416" s="600" t="str">
        <f t="shared" si="57"/>
        <v/>
      </c>
      <c r="L416" s="600" t="str">
        <f t="shared" si="58"/>
        <v/>
      </c>
      <c r="M416" s="601" t="str">
        <f t="shared" si="59"/>
        <v/>
      </c>
      <c r="N416" s="600" t="str">
        <f t="shared" si="60"/>
        <v/>
      </c>
      <c r="O416" s="600" t="str">
        <f t="shared" si="61"/>
        <v/>
      </c>
      <c r="P416" s="600" t="str">
        <f t="shared" si="62"/>
        <v/>
      </c>
    </row>
    <row r="417" spans="2:16">
      <c r="B417" s="617"/>
      <c r="C417" s="621"/>
      <c r="D417" s="565"/>
      <c r="E417" s="552"/>
      <c r="F417" s="570"/>
      <c r="G417" s="574"/>
      <c r="H417" s="580"/>
      <c r="I417" s="592"/>
      <c r="J417" s="626"/>
      <c r="K417" s="600" t="str">
        <f t="shared" si="57"/>
        <v/>
      </c>
      <c r="L417" s="600" t="str">
        <f t="shared" si="58"/>
        <v/>
      </c>
      <c r="M417" s="601" t="str">
        <f t="shared" si="59"/>
        <v/>
      </c>
      <c r="N417" s="600" t="str">
        <f t="shared" si="60"/>
        <v/>
      </c>
      <c r="O417" s="600" t="str">
        <f t="shared" si="61"/>
        <v/>
      </c>
      <c r="P417" s="600" t="str">
        <f t="shared" si="62"/>
        <v/>
      </c>
    </row>
    <row r="418" spans="2:16">
      <c r="B418" s="617">
        <v>10015117</v>
      </c>
      <c r="C418" s="621" t="s">
        <v>10</v>
      </c>
      <c r="D418" s="565" t="s">
        <v>123</v>
      </c>
      <c r="E418" s="549" t="s">
        <v>212</v>
      </c>
      <c r="F418" s="566" t="s">
        <v>1589</v>
      </c>
      <c r="G418" s="574">
        <v>43842</v>
      </c>
      <c r="H418" s="580">
        <v>20967105.789999999</v>
      </c>
      <c r="I418" s="592">
        <v>43831</v>
      </c>
      <c r="J418" s="626">
        <f t="shared" ref="J418:J423" ca="1" si="65">DATEDIF(I418,$J$4,"D")</f>
        <v>589</v>
      </c>
      <c r="K418" s="600" t="str">
        <f t="shared" ca="1" si="57"/>
        <v/>
      </c>
      <c r="L418" s="600" t="str">
        <f t="shared" ca="1" si="58"/>
        <v/>
      </c>
      <c r="M418" s="601" t="str">
        <f t="shared" ca="1" si="59"/>
        <v/>
      </c>
      <c r="N418" s="600" t="str">
        <f t="shared" ca="1" si="60"/>
        <v/>
      </c>
      <c r="O418" s="600" t="str">
        <f t="shared" ca="1" si="61"/>
        <v/>
      </c>
      <c r="P418" s="600">
        <f t="shared" ca="1" si="62"/>
        <v>20967105.789999999</v>
      </c>
    </row>
    <row r="419" spans="2:16">
      <c r="B419" s="617">
        <v>10015117</v>
      </c>
      <c r="C419" s="621" t="s">
        <v>10</v>
      </c>
      <c r="D419" s="565" t="s">
        <v>123</v>
      </c>
      <c r="E419" s="549" t="s">
        <v>214</v>
      </c>
      <c r="F419" s="566" t="s">
        <v>1839</v>
      </c>
      <c r="G419" s="574">
        <v>43842</v>
      </c>
      <c r="H419" s="580">
        <v>85665466.530000001</v>
      </c>
      <c r="I419" s="591">
        <v>43831</v>
      </c>
      <c r="J419" s="626">
        <f t="shared" ca="1" si="65"/>
        <v>589</v>
      </c>
      <c r="K419" s="600" t="str">
        <f t="shared" ca="1" si="57"/>
        <v/>
      </c>
      <c r="L419" s="600" t="str">
        <f t="shared" ca="1" si="58"/>
        <v/>
      </c>
      <c r="M419" s="601" t="str">
        <f t="shared" ca="1" si="59"/>
        <v/>
      </c>
      <c r="N419" s="600" t="str">
        <f t="shared" ca="1" si="60"/>
        <v/>
      </c>
      <c r="O419" s="600" t="str">
        <f t="shared" ca="1" si="61"/>
        <v/>
      </c>
      <c r="P419" s="600">
        <f t="shared" ca="1" si="62"/>
        <v>85665466.530000001</v>
      </c>
    </row>
    <row r="420" spans="2:16">
      <c r="B420" s="617">
        <v>10015117</v>
      </c>
      <c r="C420" s="621" t="s">
        <v>10</v>
      </c>
      <c r="D420" s="565" t="s">
        <v>123</v>
      </c>
      <c r="E420" s="552" t="s">
        <v>218</v>
      </c>
      <c r="F420" s="570" t="s">
        <v>1840</v>
      </c>
      <c r="G420" s="574">
        <v>44024</v>
      </c>
      <c r="H420" s="580">
        <v>338411100.32999998</v>
      </c>
      <c r="I420" s="592">
        <v>44378</v>
      </c>
      <c r="J420" s="626">
        <f t="shared" ca="1" si="65"/>
        <v>42</v>
      </c>
      <c r="K420" s="600" t="str">
        <f t="shared" ca="1" si="57"/>
        <v/>
      </c>
      <c r="L420" s="600">
        <f t="shared" ca="1" si="58"/>
        <v>338411100.32999998</v>
      </c>
      <c r="M420" s="601" t="str">
        <f t="shared" ca="1" si="59"/>
        <v/>
      </c>
      <c r="N420" s="600" t="str">
        <f t="shared" ca="1" si="60"/>
        <v/>
      </c>
      <c r="O420" s="600" t="str">
        <f t="shared" ca="1" si="61"/>
        <v/>
      </c>
      <c r="P420" s="600" t="str">
        <f t="shared" ca="1" si="62"/>
        <v/>
      </c>
    </row>
    <row r="421" spans="2:16">
      <c r="B421" s="617">
        <v>10015117</v>
      </c>
      <c r="C421" s="621" t="s">
        <v>10</v>
      </c>
      <c r="D421" s="565" t="s">
        <v>123</v>
      </c>
      <c r="E421" s="549" t="s">
        <v>219</v>
      </c>
      <c r="F421" s="566" t="s">
        <v>1841</v>
      </c>
      <c r="G421" s="574">
        <v>44409</v>
      </c>
      <c r="H421" s="580">
        <v>214459781.14014301</v>
      </c>
      <c r="I421" s="592">
        <v>44235</v>
      </c>
      <c r="J421" s="626">
        <f t="shared" ca="1" si="65"/>
        <v>185</v>
      </c>
      <c r="K421" s="600" t="str">
        <f t="shared" ca="1" si="57"/>
        <v/>
      </c>
      <c r="L421" s="600" t="str">
        <f t="shared" ca="1" si="58"/>
        <v/>
      </c>
      <c r="M421" s="601" t="str">
        <f t="shared" ca="1" si="59"/>
        <v/>
      </c>
      <c r="N421" s="600" t="str">
        <f t="shared" ca="1" si="60"/>
        <v/>
      </c>
      <c r="O421" s="600">
        <f t="shared" ca="1" si="61"/>
        <v>214459781.14014301</v>
      </c>
      <c r="P421" s="600" t="str">
        <f t="shared" ca="1" si="62"/>
        <v/>
      </c>
    </row>
    <row r="422" spans="2:16">
      <c r="B422" s="617">
        <v>10015117</v>
      </c>
      <c r="C422" s="621" t="s">
        <v>10</v>
      </c>
      <c r="D422" s="565" t="s">
        <v>123</v>
      </c>
      <c r="E422" s="549" t="s">
        <v>221</v>
      </c>
      <c r="F422" s="566" t="s">
        <v>124</v>
      </c>
      <c r="G422" s="574" t="s">
        <v>81</v>
      </c>
      <c r="H422" s="580">
        <v>563003668.07780695</v>
      </c>
      <c r="I422" s="591">
        <v>44271</v>
      </c>
      <c r="J422" s="626">
        <f t="shared" ca="1" si="65"/>
        <v>149</v>
      </c>
      <c r="K422" s="600" t="str">
        <f t="shared" ca="1" si="57"/>
        <v/>
      </c>
      <c r="L422" s="600" t="str">
        <f t="shared" ca="1" si="58"/>
        <v/>
      </c>
      <c r="M422" s="601" t="str">
        <f t="shared" ca="1" si="59"/>
        <v/>
      </c>
      <c r="N422" s="600">
        <f t="shared" ca="1" si="60"/>
        <v>563003668.07780695</v>
      </c>
      <c r="O422" s="600" t="str">
        <f t="shared" ca="1" si="61"/>
        <v/>
      </c>
      <c r="P422" s="600" t="str">
        <f t="shared" ca="1" si="62"/>
        <v/>
      </c>
    </row>
    <row r="423" spans="2:16">
      <c r="B423" s="617">
        <v>10015117</v>
      </c>
      <c r="C423" s="621" t="s">
        <v>10</v>
      </c>
      <c r="D423" s="565" t="s">
        <v>123</v>
      </c>
      <c r="E423" s="552" t="s">
        <v>222</v>
      </c>
      <c r="F423" s="570" t="s">
        <v>155</v>
      </c>
      <c r="G423" s="574">
        <v>44472</v>
      </c>
      <c r="H423" s="580">
        <v>442405393.66638744</v>
      </c>
      <c r="I423" s="592">
        <v>44280</v>
      </c>
      <c r="J423" s="626">
        <f t="shared" ca="1" si="65"/>
        <v>140</v>
      </c>
      <c r="K423" s="600" t="str">
        <f t="shared" ca="1" si="57"/>
        <v/>
      </c>
      <c r="L423" s="600" t="str">
        <f t="shared" ca="1" si="58"/>
        <v/>
      </c>
      <c r="M423" s="601" t="str">
        <f t="shared" ca="1" si="59"/>
        <v/>
      </c>
      <c r="N423" s="600">
        <f t="shared" ca="1" si="60"/>
        <v>442405393.66638744</v>
      </c>
      <c r="O423" s="600" t="str">
        <f t="shared" ca="1" si="61"/>
        <v/>
      </c>
      <c r="P423" s="600" t="str">
        <f t="shared" ca="1" si="62"/>
        <v/>
      </c>
    </row>
    <row r="424" spans="2:16">
      <c r="B424" s="617"/>
      <c r="C424" s="621"/>
      <c r="D424" s="565"/>
      <c r="E424" s="549"/>
      <c r="F424" s="566"/>
      <c r="G424" s="574"/>
      <c r="H424" s="580"/>
      <c r="I424" s="592"/>
      <c r="J424" s="626"/>
      <c r="K424" s="600" t="str">
        <f t="shared" si="57"/>
        <v/>
      </c>
      <c r="L424" s="600" t="str">
        <f t="shared" si="58"/>
        <v/>
      </c>
      <c r="M424" s="601" t="str">
        <f t="shared" si="59"/>
        <v/>
      </c>
      <c r="N424" s="600" t="str">
        <f t="shared" si="60"/>
        <v/>
      </c>
      <c r="O424" s="600" t="str">
        <f t="shared" si="61"/>
        <v/>
      </c>
      <c r="P424" s="600" t="str">
        <f t="shared" si="62"/>
        <v/>
      </c>
    </row>
    <row r="425" spans="2:16">
      <c r="B425" s="617"/>
      <c r="C425" s="621"/>
      <c r="D425" s="565"/>
      <c r="E425" s="549"/>
      <c r="F425" s="566"/>
      <c r="G425" s="574"/>
      <c r="H425" s="580"/>
      <c r="I425" s="591"/>
      <c r="J425" s="626"/>
      <c r="K425" s="600" t="str">
        <f t="shared" si="57"/>
        <v/>
      </c>
      <c r="L425" s="600" t="str">
        <f t="shared" si="58"/>
        <v/>
      </c>
      <c r="M425" s="601" t="str">
        <f t="shared" si="59"/>
        <v/>
      </c>
      <c r="N425" s="600" t="str">
        <f t="shared" si="60"/>
        <v/>
      </c>
      <c r="O425" s="600" t="str">
        <f t="shared" si="61"/>
        <v/>
      </c>
      <c r="P425" s="600" t="str">
        <f t="shared" si="62"/>
        <v/>
      </c>
    </row>
    <row r="426" spans="2:16">
      <c r="B426" s="617"/>
      <c r="C426" s="621"/>
      <c r="D426" s="565"/>
      <c r="E426" s="552"/>
      <c r="F426" s="570"/>
      <c r="G426" s="574"/>
      <c r="H426" s="580"/>
      <c r="I426" s="592"/>
      <c r="J426" s="626"/>
      <c r="K426" s="600" t="str">
        <f t="shared" si="57"/>
        <v/>
      </c>
      <c r="L426" s="600" t="str">
        <f t="shared" si="58"/>
        <v/>
      </c>
      <c r="M426" s="601" t="str">
        <f t="shared" si="59"/>
        <v/>
      </c>
      <c r="N426" s="600" t="str">
        <f t="shared" si="60"/>
        <v/>
      </c>
      <c r="O426" s="600" t="str">
        <f t="shared" si="61"/>
        <v/>
      </c>
      <c r="P426" s="600" t="str">
        <f t="shared" si="62"/>
        <v/>
      </c>
    </row>
    <row r="427" spans="2:16">
      <c r="B427" s="617">
        <v>10000256</v>
      </c>
      <c r="C427" s="621" t="s">
        <v>10</v>
      </c>
      <c r="D427" s="565" t="s">
        <v>18</v>
      </c>
      <c r="E427" s="549" t="s">
        <v>1845</v>
      </c>
      <c r="F427" s="566"/>
      <c r="G427" s="574"/>
      <c r="H427" s="580">
        <v>6116577724.9899998</v>
      </c>
      <c r="I427" s="592" t="s">
        <v>1846</v>
      </c>
      <c r="J427" s="626">
        <f ca="1">DATEDIF(I427,$J$4,"D")</f>
        <v>2445</v>
      </c>
      <c r="K427" s="600" t="str">
        <f t="shared" ca="1" si="57"/>
        <v/>
      </c>
      <c r="L427" s="600" t="str">
        <f t="shared" ca="1" si="58"/>
        <v/>
      </c>
      <c r="M427" s="601" t="str">
        <f t="shared" ca="1" si="59"/>
        <v/>
      </c>
      <c r="N427" s="600" t="str">
        <f t="shared" ca="1" si="60"/>
        <v/>
      </c>
      <c r="O427" s="600" t="str">
        <f t="shared" ca="1" si="61"/>
        <v/>
      </c>
      <c r="P427" s="600">
        <f t="shared" ca="1" si="62"/>
        <v>6116577724.9899998</v>
      </c>
    </row>
    <row r="428" spans="2:16">
      <c r="B428" s="617"/>
      <c r="C428" s="621"/>
      <c r="D428" s="565"/>
      <c r="E428" s="549"/>
      <c r="F428" s="566"/>
      <c r="G428" s="574"/>
      <c r="H428" s="580"/>
      <c r="I428" s="591"/>
      <c r="J428" s="626"/>
      <c r="K428" s="600" t="str">
        <f t="shared" si="57"/>
        <v/>
      </c>
      <c r="L428" s="600" t="str">
        <f t="shared" si="58"/>
        <v/>
      </c>
      <c r="M428" s="601" t="str">
        <f t="shared" si="59"/>
        <v/>
      </c>
      <c r="N428" s="600" t="str">
        <f t="shared" si="60"/>
        <v/>
      </c>
      <c r="O428" s="600" t="str">
        <f t="shared" si="61"/>
        <v/>
      </c>
      <c r="P428" s="600" t="str">
        <f t="shared" si="62"/>
        <v/>
      </c>
    </row>
    <row r="429" spans="2:16">
      <c r="B429" s="617"/>
      <c r="C429" s="621"/>
      <c r="D429" s="565"/>
      <c r="E429" s="552"/>
      <c r="F429" s="570"/>
      <c r="G429" s="574"/>
      <c r="H429" s="580"/>
      <c r="I429" s="592"/>
      <c r="J429" s="626"/>
      <c r="K429" s="600" t="str">
        <f t="shared" si="57"/>
        <v/>
      </c>
      <c r="L429" s="600" t="str">
        <f t="shared" si="58"/>
        <v/>
      </c>
      <c r="M429" s="601" t="str">
        <f t="shared" si="59"/>
        <v/>
      </c>
      <c r="N429" s="600" t="str">
        <f t="shared" si="60"/>
        <v/>
      </c>
      <c r="O429" s="600" t="str">
        <f t="shared" si="61"/>
        <v/>
      </c>
      <c r="P429" s="600" t="str">
        <f t="shared" si="62"/>
        <v/>
      </c>
    </row>
    <row r="430" spans="2:16">
      <c r="B430" s="617"/>
      <c r="C430" s="621"/>
      <c r="D430" s="565"/>
      <c r="E430" s="549"/>
      <c r="F430" s="566"/>
      <c r="G430" s="574"/>
      <c r="H430" s="580"/>
      <c r="I430" s="592"/>
      <c r="J430" s="626"/>
      <c r="K430" s="600" t="str">
        <f t="shared" si="57"/>
        <v/>
      </c>
      <c r="L430" s="600" t="str">
        <f t="shared" si="58"/>
        <v/>
      </c>
      <c r="M430" s="601" t="str">
        <f t="shared" si="59"/>
        <v/>
      </c>
      <c r="N430" s="600" t="str">
        <f t="shared" si="60"/>
        <v/>
      </c>
      <c r="O430" s="600" t="str">
        <f t="shared" si="61"/>
        <v/>
      </c>
      <c r="P430" s="600" t="str">
        <f t="shared" si="62"/>
        <v/>
      </c>
    </row>
    <row r="431" spans="2:16">
      <c r="B431" s="617"/>
      <c r="C431" s="621"/>
      <c r="D431" s="565"/>
      <c r="E431" s="549"/>
      <c r="F431" s="566"/>
      <c r="G431" s="574"/>
      <c r="H431" s="580"/>
      <c r="I431" s="592"/>
      <c r="J431" s="626"/>
      <c r="K431" s="600" t="str">
        <f t="shared" ref="K431:K494" si="66">IF(AND(J431&gt;=16,J431&lt;=30),H431,"")</f>
        <v/>
      </c>
      <c r="L431" s="600" t="str">
        <f t="shared" ref="L431:L494" si="67">IF(AND(J431&gt;=31,J431&lt;=60),H431,"")</f>
        <v/>
      </c>
      <c r="M431" s="601" t="str">
        <f t="shared" ref="M431:M494" si="68">IF(AND(J431&gt;=61,J431&lt;=90),H431,"")</f>
        <v/>
      </c>
      <c r="N431" s="600" t="str">
        <f t="shared" ref="N431:N494" si="69">IF(AND(J431&gt;=91,J431&lt;=180),H431,"")</f>
        <v/>
      </c>
      <c r="O431" s="600" t="str">
        <f t="shared" ref="O431:O494" si="70">IF(AND(J431&gt;=181,J431&lt;=360),H431,"")</f>
        <v/>
      </c>
      <c r="P431" s="600" t="str">
        <f t="shared" ref="P431:P494" si="71">IF(J431&gt;=360,H431,"")</f>
        <v/>
      </c>
    </row>
    <row r="432" spans="2:16">
      <c r="B432" s="617"/>
      <c r="C432" s="621"/>
      <c r="D432" s="565"/>
      <c r="E432" s="549" t="s">
        <v>136</v>
      </c>
      <c r="F432" s="566"/>
      <c r="G432" s="574"/>
      <c r="H432" s="580">
        <v>284910763.03999996</v>
      </c>
      <c r="I432" s="591"/>
      <c r="J432" s="626"/>
      <c r="K432" s="600" t="str">
        <f t="shared" si="66"/>
        <v/>
      </c>
      <c r="L432" s="600" t="str">
        <f t="shared" si="67"/>
        <v/>
      </c>
      <c r="M432" s="601" t="str">
        <f t="shared" si="68"/>
        <v/>
      </c>
      <c r="N432" s="600" t="str">
        <f t="shared" si="69"/>
        <v/>
      </c>
      <c r="O432" s="600" t="str">
        <f t="shared" si="70"/>
        <v/>
      </c>
      <c r="P432" s="600" t="str">
        <f t="shared" si="71"/>
        <v/>
      </c>
    </row>
    <row r="433" spans="2:16">
      <c r="B433" s="617">
        <v>10000555</v>
      </c>
      <c r="C433" s="621" t="s">
        <v>10</v>
      </c>
      <c r="D433" s="565" t="s">
        <v>11</v>
      </c>
      <c r="E433" s="552" t="s">
        <v>1276</v>
      </c>
      <c r="F433" s="570" t="s">
        <v>71</v>
      </c>
      <c r="G433" s="574"/>
      <c r="H433" s="580">
        <v>51950518.93</v>
      </c>
      <c r="I433" s="592">
        <v>41806</v>
      </c>
      <c r="J433" s="626">
        <f t="shared" ref="J433:J442" ca="1" si="72">DATEDIF(I433,$J$4,"D")</f>
        <v>2614</v>
      </c>
      <c r="K433" s="600" t="str">
        <f t="shared" ca="1" si="66"/>
        <v/>
      </c>
      <c r="L433" s="600" t="str">
        <f t="shared" ca="1" si="67"/>
        <v/>
      </c>
      <c r="M433" s="601" t="str">
        <f t="shared" ca="1" si="68"/>
        <v/>
      </c>
      <c r="N433" s="600" t="str">
        <f t="shared" ca="1" si="69"/>
        <v/>
      </c>
      <c r="O433" s="600" t="str">
        <f t="shared" ca="1" si="70"/>
        <v/>
      </c>
      <c r="P433" s="600">
        <f t="shared" ca="1" si="71"/>
        <v>51950518.93</v>
      </c>
    </row>
    <row r="434" spans="2:16">
      <c r="B434" s="617">
        <v>10000555</v>
      </c>
      <c r="C434" s="621" t="s">
        <v>10</v>
      </c>
      <c r="D434" s="565" t="s">
        <v>11</v>
      </c>
      <c r="E434" s="549" t="s">
        <v>1282</v>
      </c>
      <c r="F434" s="566" t="s">
        <v>223</v>
      </c>
      <c r="G434" s="574"/>
      <c r="H434" s="580">
        <v>48383430.670000002</v>
      </c>
      <c r="I434" s="592">
        <v>41866</v>
      </c>
      <c r="J434" s="626">
        <f t="shared" ca="1" si="72"/>
        <v>2554</v>
      </c>
      <c r="K434" s="600" t="str">
        <f t="shared" ca="1" si="66"/>
        <v/>
      </c>
      <c r="L434" s="600" t="str">
        <f t="shared" ca="1" si="67"/>
        <v/>
      </c>
      <c r="M434" s="601" t="str">
        <f t="shared" ca="1" si="68"/>
        <v/>
      </c>
      <c r="N434" s="600" t="str">
        <f t="shared" ca="1" si="69"/>
        <v/>
      </c>
      <c r="O434" s="600" t="str">
        <f t="shared" ca="1" si="70"/>
        <v/>
      </c>
      <c r="P434" s="600">
        <f t="shared" ca="1" si="71"/>
        <v>48383430.670000002</v>
      </c>
    </row>
    <row r="435" spans="2:16">
      <c r="B435" s="617">
        <v>10000555</v>
      </c>
      <c r="C435" s="621" t="s">
        <v>10</v>
      </c>
      <c r="D435" s="565" t="s">
        <v>11</v>
      </c>
      <c r="E435" s="549" t="s">
        <v>1285</v>
      </c>
      <c r="F435" s="566" t="s">
        <v>367</v>
      </c>
      <c r="G435" s="574"/>
      <c r="H435" s="580">
        <v>42924554.740000002</v>
      </c>
      <c r="I435" s="591">
        <v>41876</v>
      </c>
      <c r="J435" s="626">
        <f t="shared" ca="1" si="72"/>
        <v>2544</v>
      </c>
      <c r="K435" s="600" t="str">
        <f t="shared" ca="1" si="66"/>
        <v/>
      </c>
      <c r="L435" s="600" t="str">
        <f t="shared" ca="1" si="67"/>
        <v/>
      </c>
      <c r="M435" s="601" t="str">
        <f t="shared" ca="1" si="68"/>
        <v/>
      </c>
      <c r="N435" s="600" t="str">
        <f t="shared" ca="1" si="69"/>
        <v/>
      </c>
      <c r="O435" s="600" t="str">
        <f t="shared" ca="1" si="70"/>
        <v/>
      </c>
      <c r="P435" s="600">
        <f t="shared" ca="1" si="71"/>
        <v>42924554.740000002</v>
      </c>
    </row>
    <row r="436" spans="2:16">
      <c r="B436" s="617">
        <v>10000555</v>
      </c>
      <c r="C436" s="621" t="s">
        <v>10</v>
      </c>
      <c r="D436" s="565" t="s">
        <v>11</v>
      </c>
      <c r="E436" s="552" t="s">
        <v>1287</v>
      </c>
      <c r="F436" s="570" t="s">
        <v>368</v>
      </c>
      <c r="G436" s="574"/>
      <c r="H436" s="580">
        <v>78149301.769999996</v>
      </c>
      <c r="I436" s="592">
        <v>41923</v>
      </c>
      <c r="J436" s="626">
        <f t="shared" ca="1" si="72"/>
        <v>2497</v>
      </c>
      <c r="K436" s="600" t="str">
        <f t="shared" ca="1" si="66"/>
        <v/>
      </c>
      <c r="L436" s="600" t="str">
        <f t="shared" ca="1" si="67"/>
        <v/>
      </c>
      <c r="M436" s="601" t="str">
        <f t="shared" ca="1" si="68"/>
        <v/>
      </c>
      <c r="N436" s="600" t="str">
        <f t="shared" ca="1" si="69"/>
        <v/>
      </c>
      <c r="O436" s="600" t="str">
        <f t="shared" ca="1" si="70"/>
        <v/>
      </c>
      <c r="P436" s="600">
        <f t="shared" ca="1" si="71"/>
        <v>78149301.769999996</v>
      </c>
    </row>
    <row r="437" spans="2:16">
      <c r="B437" s="617">
        <v>10000555</v>
      </c>
      <c r="C437" s="621" t="s">
        <v>10</v>
      </c>
      <c r="D437" s="565" t="s">
        <v>11</v>
      </c>
      <c r="E437" s="549" t="s">
        <v>1557</v>
      </c>
      <c r="F437" s="566" t="s">
        <v>370</v>
      </c>
      <c r="G437" s="574"/>
      <c r="H437" s="580">
        <v>104110475.72</v>
      </c>
      <c r="I437" s="592">
        <v>41962</v>
      </c>
      <c r="J437" s="626">
        <f t="shared" ca="1" si="72"/>
        <v>2458</v>
      </c>
      <c r="K437" s="600" t="str">
        <f t="shared" ca="1" si="66"/>
        <v/>
      </c>
      <c r="L437" s="600" t="str">
        <f t="shared" ca="1" si="67"/>
        <v/>
      </c>
      <c r="M437" s="601" t="str">
        <f t="shared" ca="1" si="68"/>
        <v/>
      </c>
      <c r="N437" s="600" t="str">
        <f t="shared" ca="1" si="69"/>
        <v/>
      </c>
      <c r="O437" s="600" t="str">
        <f t="shared" ca="1" si="70"/>
        <v/>
      </c>
      <c r="P437" s="600">
        <f t="shared" ca="1" si="71"/>
        <v>104110475.72</v>
      </c>
    </row>
    <row r="438" spans="2:16">
      <c r="B438" s="617">
        <v>10000555</v>
      </c>
      <c r="C438" s="621" t="s">
        <v>10</v>
      </c>
      <c r="D438" s="565" t="s">
        <v>11</v>
      </c>
      <c r="E438" s="549" t="s">
        <v>1559</v>
      </c>
      <c r="F438" s="566" t="s">
        <v>371</v>
      </c>
      <c r="G438" s="574"/>
      <c r="H438" s="580">
        <v>66861014.93</v>
      </c>
      <c r="I438" s="591">
        <v>41987</v>
      </c>
      <c r="J438" s="626">
        <f t="shared" ca="1" si="72"/>
        <v>2433</v>
      </c>
      <c r="K438" s="600" t="str">
        <f t="shared" ca="1" si="66"/>
        <v/>
      </c>
      <c r="L438" s="600" t="str">
        <f t="shared" ca="1" si="67"/>
        <v/>
      </c>
      <c r="M438" s="601" t="str">
        <f t="shared" ca="1" si="68"/>
        <v/>
      </c>
      <c r="N438" s="600" t="str">
        <f t="shared" ca="1" si="69"/>
        <v/>
      </c>
      <c r="O438" s="600" t="str">
        <f t="shared" ca="1" si="70"/>
        <v/>
      </c>
      <c r="P438" s="600">
        <f t="shared" ca="1" si="71"/>
        <v>66861014.93</v>
      </c>
    </row>
    <row r="439" spans="2:16">
      <c r="B439" s="617">
        <v>10000555</v>
      </c>
      <c r="C439" s="621" t="s">
        <v>10</v>
      </c>
      <c r="D439" s="565" t="s">
        <v>11</v>
      </c>
      <c r="E439" s="552" t="s">
        <v>1858</v>
      </c>
      <c r="F439" s="570" t="s">
        <v>372</v>
      </c>
      <c r="G439" s="574"/>
      <c r="H439" s="580">
        <v>95536887.25</v>
      </c>
      <c r="I439" s="592">
        <v>42016</v>
      </c>
      <c r="J439" s="626">
        <f t="shared" ca="1" si="72"/>
        <v>2404</v>
      </c>
      <c r="K439" s="600" t="str">
        <f t="shared" ca="1" si="66"/>
        <v/>
      </c>
      <c r="L439" s="600" t="str">
        <f t="shared" ca="1" si="67"/>
        <v/>
      </c>
      <c r="M439" s="601" t="str">
        <f t="shared" ca="1" si="68"/>
        <v/>
      </c>
      <c r="N439" s="600" t="str">
        <f t="shared" ca="1" si="69"/>
        <v/>
      </c>
      <c r="O439" s="600" t="str">
        <f t="shared" ca="1" si="70"/>
        <v/>
      </c>
      <c r="P439" s="600">
        <f t="shared" ca="1" si="71"/>
        <v>95536887.25</v>
      </c>
    </row>
    <row r="440" spans="2:16">
      <c r="B440" s="617">
        <v>10000555</v>
      </c>
      <c r="C440" s="621" t="s">
        <v>10</v>
      </c>
      <c r="D440" s="565" t="s">
        <v>11</v>
      </c>
      <c r="E440" s="549" t="s">
        <v>1860</v>
      </c>
      <c r="F440" s="566" t="s">
        <v>373</v>
      </c>
      <c r="G440" s="574"/>
      <c r="H440" s="580">
        <v>36328448.289999999</v>
      </c>
      <c r="I440" s="592">
        <v>42049</v>
      </c>
      <c r="J440" s="626">
        <f t="shared" ca="1" si="72"/>
        <v>2371</v>
      </c>
      <c r="K440" s="600" t="str">
        <f t="shared" ca="1" si="66"/>
        <v/>
      </c>
      <c r="L440" s="600" t="str">
        <f t="shared" ca="1" si="67"/>
        <v/>
      </c>
      <c r="M440" s="601" t="str">
        <f t="shared" ca="1" si="68"/>
        <v/>
      </c>
      <c r="N440" s="600" t="str">
        <f t="shared" ca="1" si="69"/>
        <v/>
      </c>
      <c r="O440" s="600" t="str">
        <f t="shared" ca="1" si="70"/>
        <v/>
      </c>
      <c r="P440" s="600">
        <f t="shared" ca="1" si="71"/>
        <v>36328448.289999999</v>
      </c>
    </row>
    <row r="441" spans="2:16">
      <c r="B441" s="617">
        <v>10000555</v>
      </c>
      <c r="C441" s="621" t="s">
        <v>10</v>
      </c>
      <c r="D441" s="565" t="s">
        <v>11</v>
      </c>
      <c r="E441" s="549" t="s">
        <v>1862</v>
      </c>
      <c r="F441" s="566" t="s">
        <v>92</v>
      </c>
      <c r="G441" s="574"/>
      <c r="H441" s="580">
        <v>25191902.559999999</v>
      </c>
      <c r="I441" s="591">
        <v>42077</v>
      </c>
      <c r="J441" s="626">
        <f t="shared" ca="1" si="72"/>
        <v>2343</v>
      </c>
      <c r="K441" s="600" t="str">
        <f t="shared" ca="1" si="66"/>
        <v/>
      </c>
      <c r="L441" s="600" t="str">
        <f t="shared" ca="1" si="67"/>
        <v/>
      </c>
      <c r="M441" s="601" t="str">
        <f t="shared" ca="1" si="68"/>
        <v/>
      </c>
      <c r="N441" s="600" t="str">
        <f t="shared" ca="1" si="69"/>
        <v/>
      </c>
      <c r="O441" s="600" t="str">
        <f t="shared" ca="1" si="70"/>
        <v/>
      </c>
      <c r="P441" s="600">
        <f t="shared" ca="1" si="71"/>
        <v>25191902.559999999</v>
      </c>
    </row>
    <row r="442" spans="2:16">
      <c r="B442" s="617">
        <v>10000555</v>
      </c>
      <c r="C442" s="621" t="s">
        <v>10</v>
      </c>
      <c r="D442" s="565" t="s">
        <v>11</v>
      </c>
      <c r="E442" s="552" t="s">
        <v>1864</v>
      </c>
      <c r="F442" s="570" t="s">
        <v>63</v>
      </c>
      <c r="G442" s="574"/>
      <c r="H442" s="580">
        <v>3268816.52</v>
      </c>
      <c r="I442" s="592">
        <v>42225</v>
      </c>
      <c r="J442" s="626">
        <f t="shared" ca="1" si="72"/>
        <v>2195</v>
      </c>
      <c r="K442" s="600" t="str">
        <f t="shared" ca="1" si="66"/>
        <v/>
      </c>
      <c r="L442" s="600" t="str">
        <f t="shared" ca="1" si="67"/>
        <v/>
      </c>
      <c r="M442" s="601" t="str">
        <f t="shared" ca="1" si="68"/>
        <v/>
      </c>
      <c r="N442" s="600" t="str">
        <f t="shared" ca="1" si="69"/>
        <v/>
      </c>
      <c r="O442" s="600" t="str">
        <f t="shared" ca="1" si="70"/>
        <v/>
      </c>
      <c r="P442" s="600">
        <f t="shared" ca="1" si="71"/>
        <v>3268816.52</v>
      </c>
    </row>
    <row r="443" spans="2:16">
      <c r="B443" s="617"/>
      <c r="C443" s="621"/>
      <c r="D443" s="565"/>
      <c r="E443" s="549"/>
      <c r="F443" s="566"/>
      <c r="G443" s="574"/>
      <c r="H443" s="580"/>
      <c r="I443" s="592"/>
      <c r="J443" s="626"/>
      <c r="K443" s="600" t="str">
        <f t="shared" si="66"/>
        <v/>
      </c>
      <c r="L443" s="600" t="str">
        <f t="shared" si="67"/>
        <v/>
      </c>
      <c r="M443" s="601" t="str">
        <f t="shared" si="68"/>
        <v/>
      </c>
      <c r="N443" s="600" t="str">
        <f t="shared" si="69"/>
        <v/>
      </c>
      <c r="O443" s="600" t="str">
        <f t="shared" si="70"/>
        <v/>
      </c>
      <c r="P443" s="600" t="str">
        <f t="shared" si="71"/>
        <v/>
      </c>
    </row>
    <row r="444" spans="2:16">
      <c r="B444" s="617"/>
      <c r="C444" s="621"/>
      <c r="D444" s="565"/>
      <c r="E444" s="549"/>
      <c r="F444" s="566"/>
      <c r="G444" s="574"/>
      <c r="H444" s="580"/>
      <c r="I444" s="591"/>
      <c r="J444" s="626"/>
      <c r="K444" s="600" t="str">
        <f t="shared" si="66"/>
        <v/>
      </c>
      <c r="L444" s="600" t="str">
        <f t="shared" si="67"/>
        <v/>
      </c>
      <c r="M444" s="601" t="str">
        <f t="shared" si="68"/>
        <v/>
      </c>
      <c r="N444" s="600" t="str">
        <f t="shared" si="69"/>
        <v/>
      </c>
      <c r="O444" s="600" t="str">
        <f t="shared" si="70"/>
        <v/>
      </c>
      <c r="P444" s="600" t="str">
        <f t="shared" si="71"/>
        <v/>
      </c>
    </row>
    <row r="445" spans="2:16">
      <c r="B445" s="617"/>
      <c r="C445" s="621"/>
      <c r="D445" s="565"/>
      <c r="E445" s="552"/>
      <c r="F445" s="570"/>
      <c r="G445" s="574"/>
      <c r="H445" s="580"/>
      <c r="I445" s="592"/>
      <c r="J445" s="626"/>
      <c r="K445" s="600" t="str">
        <f t="shared" si="66"/>
        <v/>
      </c>
      <c r="L445" s="600" t="str">
        <f t="shared" si="67"/>
        <v/>
      </c>
      <c r="M445" s="601" t="str">
        <f t="shared" si="68"/>
        <v/>
      </c>
      <c r="N445" s="600" t="str">
        <f t="shared" si="69"/>
        <v/>
      </c>
      <c r="O445" s="600" t="str">
        <f t="shared" si="70"/>
        <v/>
      </c>
      <c r="P445" s="600" t="str">
        <f t="shared" si="71"/>
        <v/>
      </c>
    </row>
    <row r="446" spans="2:16">
      <c r="B446" s="617">
        <v>10000557</v>
      </c>
      <c r="C446" s="621" t="s">
        <v>10</v>
      </c>
      <c r="D446" s="565" t="s">
        <v>12</v>
      </c>
      <c r="E446" s="549" t="s">
        <v>494</v>
      </c>
      <c r="F446" s="566" t="s">
        <v>1921</v>
      </c>
      <c r="G446" s="574"/>
      <c r="H446" s="580">
        <v>3620725370.3800001</v>
      </c>
      <c r="I446" s="592">
        <v>42963</v>
      </c>
      <c r="J446" s="626">
        <f t="shared" ref="J446:J457" ca="1" si="73">DATEDIF(I446,$J$4,"D")</f>
        <v>1457</v>
      </c>
      <c r="K446" s="600" t="str">
        <f t="shared" ca="1" si="66"/>
        <v/>
      </c>
      <c r="L446" s="600" t="str">
        <f t="shared" ca="1" si="67"/>
        <v/>
      </c>
      <c r="M446" s="601" t="str">
        <f t="shared" ca="1" si="68"/>
        <v/>
      </c>
      <c r="N446" s="600" t="str">
        <f t="shared" ca="1" si="69"/>
        <v/>
      </c>
      <c r="O446" s="600" t="str">
        <f t="shared" ca="1" si="70"/>
        <v/>
      </c>
      <c r="P446" s="600">
        <f t="shared" ca="1" si="71"/>
        <v>3620725370.3800001</v>
      </c>
    </row>
    <row r="447" spans="2:16">
      <c r="B447" s="617">
        <v>10000557</v>
      </c>
      <c r="C447" s="621" t="s">
        <v>10</v>
      </c>
      <c r="D447" s="565" t="s">
        <v>12</v>
      </c>
      <c r="E447" s="549" t="s">
        <v>497</v>
      </c>
      <c r="F447" s="566" t="s">
        <v>1922</v>
      </c>
      <c r="G447" s="574"/>
      <c r="H447" s="580">
        <v>3535421568</v>
      </c>
      <c r="I447" s="591">
        <v>42994</v>
      </c>
      <c r="J447" s="626">
        <f t="shared" ca="1" si="73"/>
        <v>1426</v>
      </c>
      <c r="K447" s="600" t="str">
        <f t="shared" ca="1" si="66"/>
        <v/>
      </c>
      <c r="L447" s="600" t="str">
        <f t="shared" ca="1" si="67"/>
        <v/>
      </c>
      <c r="M447" s="601" t="str">
        <f t="shared" ca="1" si="68"/>
        <v/>
      </c>
      <c r="N447" s="600" t="str">
        <f t="shared" ca="1" si="69"/>
        <v/>
      </c>
      <c r="O447" s="600" t="str">
        <f t="shared" ca="1" si="70"/>
        <v/>
      </c>
      <c r="P447" s="600">
        <f t="shared" ca="1" si="71"/>
        <v>3535421568</v>
      </c>
    </row>
    <row r="448" spans="2:16">
      <c r="B448" s="617">
        <v>10000557</v>
      </c>
      <c r="C448" s="621" t="s">
        <v>10</v>
      </c>
      <c r="D448" s="565" t="s">
        <v>12</v>
      </c>
      <c r="E448" s="552" t="s">
        <v>498</v>
      </c>
      <c r="F448" s="570" t="s">
        <v>1923</v>
      </c>
      <c r="G448" s="574"/>
      <c r="H448" s="580">
        <f>4246397820-2023659016.61</f>
        <v>2222738803.3900003</v>
      </c>
      <c r="I448" s="592">
        <v>43008</v>
      </c>
      <c r="J448" s="626">
        <f t="shared" ca="1" si="73"/>
        <v>1412</v>
      </c>
      <c r="K448" s="600" t="str">
        <f t="shared" ca="1" si="66"/>
        <v/>
      </c>
      <c r="L448" s="600" t="str">
        <f t="shared" ca="1" si="67"/>
        <v/>
      </c>
      <c r="M448" s="601" t="str">
        <f t="shared" ca="1" si="68"/>
        <v/>
      </c>
      <c r="N448" s="600" t="str">
        <f t="shared" ca="1" si="69"/>
        <v/>
      </c>
      <c r="O448" s="600" t="str">
        <f t="shared" ca="1" si="70"/>
        <v/>
      </c>
      <c r="P448" s="600">
        <f t="shared" ca="1" si="71"/>
        <v>2222738803.3900003</v>
      </c>
    </row>
    <row r="449" spans="2:16">
      <c r="B449" s="617">
        <v>10000557</v>
      </c>
      <c r="C449" s="621" t="s">
        <v>10</v>
      </c>
      <c r="D449" s="565" t="s">
        <v>12</v>
      </c>
      <c r="E449" s="549" t="s">
        <v>564</v>
      </c>
      <c r="F449" s="566" t="s">
        <v>1924</v>
      </c>
      <c r="G449" s="574"/>
      <c r="H449" s="580">
        <v>2688944930.52</v>
      </c>
      <c r="I449" s="592">
        <v>43013</v>
      </c>
      <c r="J449" s="626">
        <f t="shared" ca="1" si="73"/>
        <v>1407</v>
      </c>
      <c r="K449" s="600" t="str">
        <f t="shared" ca="1" si="66"/>
        <v/>
      </c>
      <c r="L449" s="600" t="str">
        <f t="shared" ca="1" si="67"/>
        <v/>
      </c>
      <c r="M449" s="601" t="str">
        <f t="shared" ca="1" si="68"/>
        <v/>
      </c>
      <c r="N449" s="600" t="str">
        <f t="shared" ca="1" si="69"/>
        <v/>
      </c>
      <c r="O449" s="600" t="str">
        <f t="shared" ca="1" si="70"/>
        <v/>
      </c>
      <c r="P449" s="600">
        <f t="shared" ca="1" si="71"/>
        <v>2688944930.52</v>
      </c>
    </row>
    <row r="450" spans="2:16">
      <c r="B450" s="617">
        <v>10000557</v>
      </c>
      <c r="C450" s="621" t="s">
        <v>10</v>
      </c>
      <c r="D450" s="565" t="s">
        <v>12</v>
      </c>
      <c r="E450" s="549" t="s">
        <v>500</v>
      </c>
      <c r="F450" s="566" t="s">
        <v>1925</v>
      </c>
      <c r="G450" s="574"/>
      <c r="H450" s="580">
        <v>2957189829.9899998</v>
      </c>
      <c r="I450" s="591">
        <v>43044</v>
      </c>
      <c r="J450" s="626">
        <f t="shared" ca="1" si="73"/>
        <v>1376</v>
      </c>
      <c r="K450" s="600" t="str">
        <f t="shared" ca="1" si="66"/>
        <v/>
      </c>
      <c r="L450" s="600" t="str">
        <f t="shared" ca="1" si="67"/>
        <v/>
      </c>
      <c r="M450" s="601" t="str">
        <f t="shared" ca="1" si="68"/>
        <v/>
      </c>
      <c r="N450" s="600" t="str">
        <f t="shared" ca="1" si="69"/>
        <v/>
      </c>
      <c r="O450" s="600" t="str">
        <f t="shared" ca="1" si="70"/>
        <v/>
      </c>
      <c r="P450" s="600">
        <f t="shared" ca="1" si="71"/>
        <v>2957189829.9899998</v>
      </c>
    </row>
    <row r="451" spans="2:16">
      <c r="B451" s="617">
        <v>10000557</v>
      </c>
      <c r="C451" s="621" t="s">
        <v>10</v>
      </c>
      <c r="D451" s="565" t="s">
        <v>12</v>
      </c>
      <c r="E451" s="552" t="s">
        <v>501</v>
      </c>
      <c r="F451" s="570" t="s">
        <v>1926</v>
      </c>
      <c r="G451" s="574"/>
      <c r="H451" s="580">
        <v>3337450832.0999999</v>
      </c>
      <c r="I451" s="592">
        <v>43115</v>
      </c>
      <c r="J451" s="626">
        <f t="shared" ca="1" si="73"/>
        <v>1305</v>
      </c>
      <c r="K451" s="600" t="str">
        <f t="shared" ca="1" si="66"/>
        <v/>
      </c>
      <c r="L451" s="600" t="str">
        <f t="shared" ca="1" si="67"/>
        <v/>
      </c>
      <c r="M451" s="601" t="str">
        <f t="shared" ca="1" si="68"/>
        <v/>
      </c>
      <c r="N451" s="600" t="str">
        <f t="shared" ca="1" si="69"/>
        <v/>
      </c>
      <c r="O451" s="600" t="str">
        <f t="shared" ca="1" si="70"/>
        <v/>
      </c>
      <c r="P451" s="600">
        <f t="shared" ca="1" si="71"/>
        <v>3337450832.0999999</v>
      </c>
    </row>
    <row r="452" spans="2:16">
      <c r="B452" s="617">
        <v>10000557</v>
      </c>
      <c r="C452" s="621" t="s">
        <v>10</v>
      </c>
      <c r="D452" s="565" t="s">
        <v>12</v>
      </c>
      <c r="E452" s="549" t="s">
        <v>504</v>
      </c>
      <c r="F452" s="566" t="s">
        <v>1927</v>
      </c>
      <c r="G452" s="574"/>
      <c r="H452" s="580">
        <v>5062387312.6199999</v>
      </c>
      <c r="I452" s="592">
        <v>43375</v>
      </c>
      <c r="J452" s="626">
        <f t="shared" ca="1" si="73"/>
        <v>1045</v>
      </c>
      <c r="K452" s="600" t="str">
        <f t="shared" ca="1" si="66"/>
        <v/>
      </c>
      <c r="L452" s="600" t="str">
        <f t="shared" ca="1" si="67"/>
        <v/>
      </c>
      <c r="M452" s="601" t="str">
        <f t="shared" ca="1" si="68"/>
        <v/>
      </c>
      <c r="N452" s="600" t="str">
        <f t="shared" ca="1" si="69"/>
        <v/>
      </c>
      <c r="O452" s="600" t="str">
        <f t="shared" ca="1" si="70"/>
        <v/>
      </c>
      <c r="P452" s="600">
        <f t="shared" ca="1" si="71"/>
        <v>5062387312.6199999</v>
      </c>
    </row>
    <row r="453" spans="2:16">
      <c r="B453" s="617">
        <v>10000557</v>
      </c>
      <c r="C453" s="621" t="s">
        <v>10</v>
      </c>
      <c r="D453" s="565" t="s">
        <v>12</v>
      </c>
      <c r="E453" s="549" t="s">
        <v>506</v>
      </c>
      <c r="F453" s="566" t="s">
        <v>1928</v>
      </c>
      <c r="G453" s="574"/>
      <c r="H453" s="580">
        <v>3383130348.23</v>
      </c>
      <c r="I453" s="591">
        <v>43187</v>
      </c>
      <c r="J453" s="626">
        <f t="shared" ca="1" si="73"/>
        <v>1233</v>
      </c>
      <c r="K453" s="600" t="str">
        <f t="shared" ca="1" si="66"/>
        <v/>
      </c>
      <c r="L453" s="600" t="str">
        <f t="shared" ca="1" si="67"/>
        <v/>
      </c>
      <c r="M453" s="601" t="str">
        <f t="shared" ca="1" si="68"/>
        <v/>
      </c>
      <c r="N453" s="600" t="str">
        <f t="shared" ca="1" si="69"/>
        <v/>
      </c>
      <c r="O453" s="600" t="str">
        <f t="shared" ca="1" si="70"/>
        <v/>
      </c>
      <c r="P453" s="600">
        <f t="shared" ca="1" si="71"/>
        <v>3383130348.23</v>
      </c>
    </row>
    <row r="454" spans="2:16">
      <c r="B454" s="617">
        <v>10000557</v>
      </c>
      <c r="C454" s="621" t="s">
        <v>10</v>
      </c>
      <c r="D454" s="565" t="s">
        <v>12</v>
      </c>
      <c r="E454" s="552" t="s">
        <v>508</v>
      </c>
      <c r="F454" s="570" t="s">
        <v>1929</v>
      </c>
      <c r="G454" s="574"/>
      <c r="H454" s="580">
        <v>4105167974.77</v>
      </c>
      <c r="I454" s="592">
        <v>43205</v>
      </c>
      <c r="J454" s="626">
        <f t="shared" ca="1" si="73"/>
        <v>1215</v>
      </c>
      <c r="K454" s="600" t="str">
        <f t="shared" ca="1" si="66"/>
        <v/>
      </c>
      <c r="L454" s="600" t="str">
        <f t="shared" ca="1" si="67"/>
        <v/>
      </c>
      <c r="M454" s="601" t="str">
        <f t="shared" ca="1" si="68"/>
        <v/>
      </c>
      <c r="N454" s="600" t="str">
        <f t="shared" ca="1" si="69"/>
        <v/>
      </c>
      <c r="O454" s="600" t="str">
        <f t="shared" ca="1" si="70"/>
        <v/>
      </c>
      <c r="P454" s="600">
        <f t="shared" ca="1" si="71"/>
        <v>4105167974.77</v>
      </c>
    </row>
    <row r="455" spans="2:16">
      <c r="B455" s="617">
        <v>10000557</v>
      </c>
      <c r="C455" s="621" t="s">
        <v>10</v>
      </c>
      <c r="D455" s="565" t="s">
        <v>12</v>
      </c>
      <c r="E455" s="549" t="s">
        <v>355</v>
      </c>
      <c r="F455" s="566" t="s">
        <v>1930</v>
      </c>
      <c r="G455" s="574"/>
      <c r="H455" s="580">
        <v>4600751666.9735985</v>
      </c>
      <c r="I455" s="592">
        <v>43250</v>
      </c>
      <c r="J455" s="626">
        <f t="shared" ca="1" si="73"/>
        <v>1170</v>
      </c>
      <c r="K455" s="600" t="str">
        <f t="shared" ca="1" si="66"/>
        <v/>
      </c>
      <c r="L455" s="600" t="str">
        <f t="shared" ca="1" si="67"/>
        <v/>
      </c>
      <c r="M455" s="601" t="str">
        <f t="shared" ca="1" si="68"/>
        <v/>
      </c>
      <c r="N455" s="600" t="str">
        <f t="shared" ca="1" si="69"/>
        <v/>
      </c>
      <c r="O455" s="600" t="str">
        <f t="shared" ca="1" si="70"/>
        <v/>
      </c>
      <c r="P455" s="600">
        <f t="shared" ca="1" si="71"/>
        <v>4600751666.9735985</v>
      </c>
    </row>
    <row r="456" spans="2:16">
      <c r="B456" s="617">
        <v>10000557</v>
      </c>
      <c r="C456" s="621" t="s">
        <v>10</v>
      </c>
      <c r="D456" s="565" t="s">
        <v>12</v>
      </c>
      <c r="E456" s="549" t="s">
        <v>234</v>
      </c>
      <c r="F456" s="566" t="s">
        <v>1932</v>
      </c>
      <c r="G456" s="574"/>
      <c r="H456" s="580">
        <v>4504762423.1599617</v>
      </c>
      <c r="I456" s="591">
        <v>43271</v>
      </c>
      <c r="J456" s="626">
        <f t="shared" ca="1" si="73"/>
        <v>1149</v>
      </c>
      <c r="K456" s="600" t="str">
        <f t="shared" ca="1" si="66"/>
        <v/>
      </c>
      <c r="L456" s="600" t="str">
        <f t="shared" ca="1" si="67"/>
        <v/>
      </c>
      <c r="M456" s="601" t="str">
        <f t="shared" ca="1" si="68"/>
        <v/>
      </c>
      <c r="N456" s="600" t="str">
        <f t="shared" ca="1" si="69"/>
        <v/>
      </c>
      <c r="O456" s="600" t="str">
        <f t="shared" ca="1" si="70"/>
        <v/>
      </c>
      <c r="P456" s="600">
        <f t="shared" ca="1" si="71"/>
        <v>4504762423.1599617</v>
      </c>
    </row>
    <row r="457" spans="2:16">
      <c r="B457" s="617">
        <v>10000557</v>
      </c>
      <c r="C457" s="621" t="s">
        <v>10</v>
      </c>
      <c r="D457" s="565" t="s">
        <v>12</v>
      </c>
      <c r="E457" s="552" t="s">
        <v>1748</v>
      </c>
      <c r="F457" s="570" t="s">
        <v>1933</v>
      </c>
      <c r="G457" s="574"/>
      <c r="H457" s="580">
        <v>4297088629.879962</v>
      </c>
      <c r="I457" s="592">
        <v>43306</v>
      </c>
      <c r="J457" s="626">
        <f t="shared" ca="1" si="73"/>
        <v>1114</v>
      </c>
      <c r="K457" s="600" t="str">
        <f t="shared" ca="1" si="66"/>
        <v/>
      </c>
      <c r="L457" s="600" t="str">
        <f t="shared" ca="1" si="67"/>
        <v/>
      </c>
      <c r="M457" s="601" t="str">
        <f t="shared" ca="1" si="68"/>
        <v/>
      </c>
      <c r="N457" s="600" t="str">
        <f t="shared" ca="1" si="69"/>
        <v/>
      </c>
      <c r="O457" s="600" t="str">
        <f t="shared" ca="1" si="70"/>
        <v/>
      </c>
      <c r="P457" s="600">
        <f t="shared" ca="1" si="71"/>
        <v>4297088629.879962</v>
      </c>
    </row>
    <row r="458" spans="2:16">
      <c r="B458" s="617"/>
      <c r="C458" s="621"/>
      <c r="D458" s="565"/>
      <c r="E458" s="549"/>
      <c r="F458" s="566"/>
      <c r="G458" s="574"/>
      <c r="H458" s="580"/>
      <c r="I458" s="592"/>
      <c r="J458" s="626"/>
      <c r="K458" s="600" t="str">
        <f t="shared" si="66"/>
        <v/>
      </c>
      <c r="L458" s="600" t="str">
        <f t="shared" si="67"/>
        <v/>
      </c>
      <c r="M458" s="601" t="str">
        <f t="shared" si="68"/>
        <v/>
      </c>
      <c r="N458" s="600" t="str">
        <f t="shared" si="69"/>
        <v/>
      </c>
      <c r="O458" s="600" t="str">
        <f t="shared" si="70"/>
        <v/>
      </c>
      <c r="P458" s="600" t="str">
        <f t="shared" si="71"/>
        <v/>
      </c>
    </row>
    <row r="459" spans="2:16">
      <c r="B459" s="617"/>
      <c r="C459" s="621"/>
      <c r="D459" s="565"/>
      <c r="E459" s="549"/>
      <c r="F459" s="566"/>
      <c r="G459" s="574"/>
      <c r="H459" s="580"/>
      <c r="I459" s="591"/>
      <c r="J459" s="626"/>
      <c r="K459" s="600" t="str">
        <f t="shared" si="66"/>
        <v/>
      </c>
      <c r="L459" s="600" t="str">
        <f t="shared" si="67"/>
        <v/>
      </c>
      <c r="M459" s="601" t="str">
        <f t="shared" si="68"/>
        <v/>
      </c>
      <c r="N459" s="600" t="str">
        <f t="shared" si="69"/>
        <v/>
      </c>
      <c r="O459" s="600" t="str">
        <f t="shared" si="70"/>
        <v/>
      </c>
      <c r="P459" s="600" t="str">
        <f t="shared" si="71"/>
        <v/>
      </c>
    </row>
    <row r="460" spans="2:16">
      <c r="B460" s="617">
        <v>10000558</v>
      </c>
      <c r="C460" s="621" t="s">
        <v>10</v>
      </c>
      <c r="D460" s="565" t="s">
        <v>13</v>
      </c>
      <c r="E460" s="552" t="s">
        <v>1412</v>
      </c>
      <c r="F460" s="570" t="s">
        <v>44</v>
      </c>
      <c r="G460" s="574"/>
      <c r="H460" s="580">
        <v>1007107884.6799999</v>
      </c>
      <c r="I460" s="592">
        <v>42655</v>
      </c>
      <c r="J460" s="626">
        <f t="shared" ref="J460:J467" ca="1" si="74">DATEDIF(I460,$J$4,"D")</f>
        <v>1765</v>
      </c>
      <c r="K460" s="600" t="str">
        <f t="shared" ca="1" si="66"/>
        <v/>
      </c>
      <c r="L460" s="600" t="str">
        <f t="shared" ca="1" si="67"/>
        <v/>
      </c>
      <c r="M460" s="601" t="str">
        <f t="shared" ca="1" si="68"/>
        <v/>
      </c>
      <c r="N460" s="600" t="str">
        <f t="shared" ca="1" si="69"/>
        <v/>
      </c>
      <c r="O460" s="600" t="str">
        <f t="shared" ca="1" si="70"/>
        <v/>
      </c>
      <c r="P460" s="600">
        <f t="shared" ca="1" si="71"/>
        <v>1007107884.6799999</v>
      </c>
    </row>
    <row r="461" spans="2:16">
      <c r="B461" s="617">
        <v>10000558</v>
      </c>
      <c r="C461" s="621" t="s">
        <v>10</v>
      </c>
      <c r="D461" s="565" t="s">
        <v>13</v>
      </c>
      <c r="E461" s="549" t="s">
        <v>609</v>
      </c>
      <c r="F461" s="566" t="s">
        <v>326</v>
      </c>
      <c r="G461" s="574"/>
      <c r="H461" s="580">
        <f>823779376.73955+102650784.21</f>
        <v>926430160.94955003</v>
      </c>
      <c r="I461" s="592">
        <v>42716</v>
      </c>
      <c r="J461" s="626">
        <f t="shared" ca="1" si="74"/>
        <v>1704</v>
      </c>
      <c r="K461" s="600" t="str">
        <f t="shared" ca="1" si="66"/>
        <v/>
      </c>
      <c r="L461" s="600" t="str">
        <f t="shared" ca="1" si="67"/>
        <v/>
      </c>
      <c r="M461" s="601" t="str">
        <f t="shared" ca="1" si="68"/>
        <v/>
      </c>
      <c r="N461" s="600" t="str">
        <f t="shared" ca="1" si="69"/>
        <v/>
      </c>
      <c r="O461" s="600" t="str">
        <f t="shared" ca="1" si="70"/>
        <v/>
      </c>
      <c r="P461" s="600">
        <f t="shared" ca="1" si="71"/>
        <v>926430160.94955003</v>
      </c>
    </row>
    <row r="462" spans="2:16">
      <c r="B462" s="617">
        <v>10000558</v>
      </c>
      <c r="C462" s="621" t="s">
        <v>10</v>
      </c>
      <c r="D462" s="565" t="s">
        <v>13</v>
      </c>
      <c r="E462" s="549" t="s">
        <v>611</v>
      </c>
      <c r="F462" s="566" t="s">
        <v>328</v>
      </c>
      <c r="G462" s="574"/>
      <c r="H462" s="580">
        <v>895743705.03999996</v>
      </c>
      <c r="I462" s="591">
        <v>42809</v>
      </c>
      <c r="J462" s="626">
        <f t="shared" ca="1" si="74"/>
        <v>1611</v>
      </c>
      <c r="K462" s="600" t="str">
        <f t="shared" ca="1" si="66"/>
        <v/>
      </c>
      <c r="L462" s="600" t="str">
        <f t="shared" ca="1" si="67"/>
        <v/>
      </c>
      <c r="M462" s="601" t="str">
        <f t="shared" ca="1" si="68"/>
        <v/>
      </c>
      <c r="N462" s="600" t="str">
        <f t="shared" ca="1" si="69"/>
        <v/>
      </c>
      <c r="O462" s="600" t="str">
        <f t="shared" ca="1" si="70"/>
        <v/>
      </c>
      <c r="P462" s="600">
        <f t="shared" ca="1" si="71"/>
        <v>895743705.03999996</v>
      </c>
    </row>
    <row r="463" spans="2:16">
      <c r="B463" s="617">
        <v>10000558</v>
      </c>
      <c r="C463" s="621" t="s">
        <v>10</v>
      </c>
      <c r="D463" s="565" t="s">
        <v>13</v>
      </c>
      <c r="E463" s="552" t="s">
        <v>1964</v>
      </c>
      <c r="F463" s="570" t="s">
        <v>330</v>
      </c>
      <c r="G463" s="574"/>
      <c r="H463" s="580">
        <v>1067263760.58</v>
      </c>
      <c r="I463" s="592">
        <v>42797</v>
      </c>
      <c r="J463" s="626">
        <f t="shared" ca="1" si="74"/>
        <v>1623</v>
      </c>
      <c r="K463" s="600" t="str">
        <f t="shared" ca="1" si="66"/>
        <v/>
      </c>
      <c r="L463" s="600" t="str">
        <f t="shared" ca="1" si="67"/>
        <v/>
      </c>
      <c r="M463" s="601" t="str">
        <f t="shared" ca="1" si="68"/>
        <v/>
      </c>
      <c r="N463" s="600" t="str">
        <f t="shared" ca="1" si="69"/>
        <v/>
      </c>
      <c r="O463" s="600" t="str">
        <f t="shared" ca="1" si="70"/>
        <v/>
      </c>
      <c r="P463" s="600">
        <f t="shared" ca="1" si="71"/>
        <v>1067263760.58</v>
      </c>
    </row>
    <row r="464" spans="2:16">
      <c r="B464" s="617">
        <v>10000558</v>
      </c>
      <c r="C464" s="621" t="s">
        <v>10</v>
      </c>
      <c r="D464" s="565" t="s">
        <v>13</v>
      </c>
      <c r="E464" s="549" t="s">
        <v>489</v>
      </c>
      <c r="F464" s="566" t="s">
        <v>332</v>
      </c>
      <c r="G464" s="574"/>
      <c r="H464" s="580">
        <v>1181670085.71</v>
      </c>
      <c r="I464" s="592">
        <v>42842</v>
      </c>
      <c r="J464" s="626">
        <f t="shared" ca="1" si="74"/>
        <v>1578</v>
      </c>
      <c r="K464" s="600" t="str">
        <f t="shared" ca="1" si="66"/>
        <v/>
      </c>
      <c r="L464" s="600" t="str">
        <f t="shared" ca="1" si="67"/>
        <v/>
      </c>
      <c r="M464" s="601" t="str">
        <f t="shared" ca="1" si="68"/>
        <v/>
      </c>
      <c r="N464" s="600" t="str">
        <f t="shared" ca="1" si="69"/>
        <v/>
      </c>
      <c r="O464" s="600" t="str">
        <f t="shared" ca="1" si="70"/>
        <v/>
      </c>
      <c r="P464" s="600">
        <f t="shared" ca="1" si="71"/>
        <v>1181670085.71</v>
      </c>
    </row>
    <row r="465" spans="2:16">
      <c r="B465" s="617">
        <v>10000558</v>
      </c>
      <c r="C465" s="621" t="s">
        <v>10</v>
      </c>
      <c r="D465" s="565" t="s">
        <v>13</v>
      </c>
      <c r="E465" s="549" t="s">
        <v>490</v>
      </c>
      <c r="F465" s="566" t="s">
        <v>333</v>
      </c>
      <c r="G465" s="574"/>
      <c r="H465" s="580">
        <v>1147242985.3</v>
      </c>
      <c r="I465" s="591">
        <v>42873</v>
      </c>
      <c r="J465" s="626">
        <f t="shared" ca="1" si="74"/>
        <v>1547</v>
      </c>
      <c r="K465" s="600" t="str">
        <f t="shared" ca="1" si="66"/>
        <v/>
      </c>
      <c r="L465" s="600" t="str">
        <f t="shared" ca="1" si="67"/>
        <v/>
      </c>
      <c r="M465" s="601" t="str">
        <f t="shared" ca="1" si="68"/>
        <v/>
      </c>
      <c r="N465" s="600" t="str">
        <f t="shared" ca="1" si="69"/>
        <v/>
      </c>
      <c r="O465" s="600" t="str">
        <f t="shared" ca="1" si="70"/>
        <v/>
      </c>
      <c r="P465" s="600">
        <f t="shared" ca="1" si="71"/>
        <v>1147242985.3</v>
      </c>
    </row>
    <row r="466" spans="2:16">
      <c r="B466" s="617">
        <v>10000558</v>
      </c>
      <c r="C466" s="621" t="s">
        <v>10</v>
      </c>
      <c r="D466" s="565" t="s">
        <v>13</v>
      </c>
      <c r="E466" s="552" t="s">
        <v>560</v>
      </c>
      <c r="F466" s="570" t="s">
        <v>1423</v>
      </c>
      <c r="G466" s="574"/>
      <c r="H466" s="580">
        <v>1569732235.48</v>
      </c>
      <c r="I466" s="592">
        <v>43014</v>
      </c>
      <c r="J466" s="626">
        <f t="shared" ca="1" si="74"/>
        <v>1406</v>
      </c>
      <c r="K466" s="600" t="str">
        <f t="shared" ca="1" si="66"/>
        <v/>
      </c>
      <c r="L466" s="600" t="str">
        <f t="shared" ca="1" si="67"/>
        <v/>
      </c>
      <c r="M466" s="601" t="str">
        <f t="shared" ca="1" si="68"/>
        <v/>
      </c>
      <c r="N466" s="600" t="str">
        <f t="shared" ca="1" si="69"/>
        <v/>
      </c>
      <c r="O466" s="600" t="str">
        <f t="shared" ca="1" si="70"/>
        <v/>
      </c>
      <c r="P466" s="600">
        <f t="shared" ca="1" si="71"/>
        <v>1569732235.48</v>
      </c>
    </row>
    <row r="467" spans="2:16">
      <c r="B467" s="617">
        <v>10000558</v>
      </c>
      <c r="C467" s="621" t="s">
        <v>10</v>
      </c>
      <c r="D467" s="565" t="s">
        <v>13</v>
      </c>
      <c r="E467" s="549" t="s">
        <v>562</v>
      </c>
      <c r="F467" s="566" t="s">
        <v>1966</v>
      </c>
      <c r="G467" s="574"/>
      <c r="H467" s="580">
        <v>1749135466.9200001</v>
      </c>
      <c r="I467" s="592">
        <v>42931</v>
      </c>
      <c r="J467" s="626">
        <f t="shared" ca="1" si="74"/>
        <v>1489</v>
      </c>
      <c r="K467" s="600" t="str">
        <f t="shared" ca="1" si="66"/>
        <v/>
      </c>
      <c r="L467" s="600" t="str">
        <f t="shared" ca="1" si="67"/>
        <v/>
      </c>
      <c r="M467" s="601" t="str">
        <f t="shared" ca="1" si="68"/>
        <v/>
      </c>
      <c r="N467" s="600" t="str">
        <f t="shared" ca="1" si="69"/>
        <v/>
      </c>
      <c r="O467" s="600" t="str">
        <f t="shared" ca="1" si="70"/>
        <v/>
      </c>
      <c r="P467" s="600">
        <f t="shared" ca="1" si="71"/>
        <v>1749135466.9200001</v>
      </c>
    </row>
    <row r="468" spans="2:16">
      <c r="B468" s="617"/>
      <c r="C468" s="621"/>
      <c r="D468" s="565"/>
      <c r="E468" s="549"/>
      <c r="F468" s="566"/>
      <c r="G468" s="574"/>
      <c r="H468" s="580"/>
      <c r="I468" s="591"/>
      <c r="J468" s="626"/>
      <c r="K468" s="600" t="str">
        <f t="shared" si="66"/>
        <v/>
      </c>
      <c r="L468" s="600" t="str">
        <f t="shared" si="67"/>
        <v/>
      </c>
      <c r="M468" s="601" t="str">
        <f t="shared" si="68"/>
        <v/>
      </c>
      <c r="N468" s="600" t="str">
        <f t="shared" si="69"/>
        <v/>
      </c>
      <c r="O468" s="600" t="str">
        <f t="shared" si="70"/>
        <v/>
      </c>
      <c r="P468" s="600" t="str">
        <f t="shared" si="71"/>
        <v/>
      </c>
    </row>
    <row r="469" spans="2:16">
      <c r="B469" s="617"/>
      <c r="C469" s="621"/>
      <c r="D469" s="565"/>
      <c r="E469" s="552"/>
      <c r="F469" s="570"/>
      <c r="G469" s="574"/>
      <c r="H469" s="580"/>
      <c r="I469" s="592"/>
      <c r="J469" s="626"/>
      <c r="K469" s="600" t="str">
        <f t="shared" si="66"/>
        <v/>
      </c>
      <c r="L469" s="600" t="str">
        <f t="shared" si="67"/>
        <v/>
      </c>
      <c r="M469" s="601" t="str">
        <f t="shared" si="68"/>
        <v/>
      </c>
      <c r="N469" s="600" t="str">
        <f t="shared" si="69"/>
        <v/>
      </c>
      <c r="O469" s="600" t="str">
        <f t="shared" si="70"/>
        <v/>
      </c>
      <c r="P469" s="600" t="str">
        <f t="shared" si="71"/>
        <v/>
      </c>
    </row>
    <row r="470" spans="2:16">
      <c r="B470" s="617"/>
      <c r="C470" s="621"/>
      <c r="D470" s="565"/>
      <c r="E470" s="549"/>
      <c r="F470" s="566"/>
      <c r="G470" s="574"/>
      <c r="H470" s="580"/>
      <c r="I470" s="592"/>
      <c r="J470" s="626"/>
      <c r="K470" s="600" t="str">
        <f t="shared" si="66"/>
        <v/>
      </c>
      <c r="L470" s="600" t="str">
        <f t="shared" si="67"/>
        <v/>
      </c>
      <c r="M470" s="601" t="str">
        <f t="shared" si="68"/>
        <v/>
      </c>
      <c r="N470" s="600" t="str">
        <f t="shared" si="69"/>
        <v/>
      </c>
      <c r="O470" s="600" t="str">
        <f t="shared" si="70"/>
        <v/>
      </c>
      <c r="P470" s="600" t="str">
        <f t="shared" si="71"/>
        <v/>
      </c>
    </row>
    <row r="471" spans="2:16">
      <c r="B471" s="617">
        <v>10000560</v>
      </c>
      <c r="C471" s="621" t="s">
        <v>10</v>
      </c>
      <c r="D471" s="565" t="s">
        <v>15</v>
      </c>
      <c r="E471" s="549" t="s">
        <v>562</v>
      </c>
      <c r="F471" s="566" t="s">
        <v>1423</v>
      </c>
      <c r="G471" s="574"/>
      <c r="H471" s="580">
        <v>1178765753.4300001</v>
      </c>
      <c r="I471" s="591">
        <v>42931</v>
      </c>
      <c r="J471" s="626">
        <f t="shared" ref="J471:J498" ca="1" si="75">DATEDIF(I471,$J$4,"D")</f>
        <v>1489</v>
      </c>
      <c r="K471" s="600" t="str">
        <f t="shared" ca="1" si="66"/>
        <v/>
      </c>
      <c r="L471" s="600" t="str">
        <f t="shared" ca="1" si="67"/>
        <v/>
      </c>
      <c r="M471" s="601" t="str">
        <f t="shared" ca="1" si="68"/>
        <v/>
      </c>
      <c r="N471" s="600" t="str">
        <f t="shared" ca="1" si="69"/>
        <v/>
      </c>
      <c r="O471" s="600" t="str">
        <f t="shared" ca="1" si="70"/>
        <v/>
      </c>
      <c r="P471" s="600">
        <f t="shared" ca="1" si="71"/>
        <v>1178765753.4300001</v>
      </c>
    </row>
    <row r="472" spans="2:16">
      <c r="B472" s="617">
        <v>10000560</v>
      </c>
      <c r="C472" s="621" t="s">
        <v>10</v>
      </c>
      <c r="D472" s="565" t="s">
        <v>15</v>
      </c>
      <c r="E472" s="552" t="s">
        <v>494</v>
      </c>
      <c r="F472" s="570" t="s">
        <v>1966</v>
      </c>
      <c r="G472" s="574"/>
      <c r="H472" s="580">
        <v>1470125955.97</v>
      </c>
      <c r="I472" s="592">
        <v>42957</v>
      </c>
      <c r="J472" s="626">
        <f t="shared" ca="1" si="75"/>
        <v>1463</v>
      </c>
      <c r="K472" s="600" t="str">
        <f t="shared" ca="1" si="66"/>
        <v/>
      </c>
      <c r="L472" s="600" t="str">
        <f t="shared" ca="1" si="67"/>
        <v/>
      </c>
      <c r="M472" s="601" t="str">
        <f t="shared" ca="1" si="68"/>
        <v/>
      </c>
      <c r="N472" s="600" t="str">
        <f t="shared" ca="1" si="69"/>
        <v/>
      </c>
      <c r="O472" s="600" t="str">
        <f t="shared" ca="1" si="70"/>
        <v/>
      </c>
      <c r="P472" s="600">
        <f t="shared" ca="1" si="71"/>
        <v>1470125955.97</v>
      </c>
    </row>
    <row r="473" spans="2:16">
      <c r="B473" s="617">
        <v>10000560</v>
      </c>
      <c r="C473" s="621" t="s">
        <v>10</v>
      </c>
      <c r="D473" s="565" t="s">
        <v>15</v>
      </c>
      <c r="E473" s="549" t="s">
        <v>497</v>
      </c>
      <c r="F473" s="566" t="s">
        <v>1991</v>
      </c>
      <c r="G473" s="574"/>
      <c r="H473" s="580">
        <v>1077001734.97</v>
      </c>
      <c r="I473" s="592">
        <v>42988</v>
      </c>
      <c r="J473" s="626">
        <f t="shared" ca="1" si="75"/>
        <v>1432</v>
      </c>
      <c r="K473" s="600" t="str">
        <f t="shared" ca="1" si="66"/>
        <v/>
      </c>
      <c r="L473" s="600" t="str">
        <f t="shared" ca="1" si="67"/>
        <v/>
      </c>
      <c r="M473" s="601" t="str">
        <f t="shared" ca="1" si="68"/>
        <v/>
      </c>
      <c r="N473" s="600" t="str">
        <f t="shared" ca="1" si="69"/>
        <v/>
      </c>
      <c r="O473" s="600" t="str">
        <f t="shared" ca="1" si="70"/>
        <v/>
      </c>
      <c r="P473" s="600">
        <f t="shared" ca="1" si="71"/>
        <v>1077001734.97</v>
      </c>
    </row>
    <row r="474" spans="2:16">
      <c r="B474" s="617">
        <v>10000560</v>
      </c>
      <c r="C474" s="621" t="s">
        <v>10</v>
      </c>
      <c r="D474" s="565" t="s">
        <v>15</v>
      </c>
      <c r="E474" s="549" t="s">
        <v>498</v>
      </c>
      <c r="F474" s="566" t="s">
        <v>1992</v>
      </c>
      <c r="G474" s="574"/>
      <c r="H474" s="580">
        <v>852919253</v>
      </c>
      <c r="I474" s="591">
        <v>42988</v>
      </c>
      <c r="J474" s="626">
        <f t="shared" ca="1" si="75"/>
        <v>1432</v>
      </c>
      <c r="K474" s="600" t="str">
        <f t="shared" ca="1" si="66"/>
        <v/>
      </c>
      <c r="L474" s="600" t="str">
        <f t="shared" ca="1" si="67"/>
        <v/>
      </c>
      <c r="M474" s="601" t="str">
        <f t="shared" ca="1" si="68"/>
        <v/>
      </c>
      <c r="N474" s="600" t="str">
        <f t="shared" ca="1" si="69"/>
        <v/>
      </c>
      <c r="O474" s="600" t="str">
        <f t="shared" ca="1" si="70"/>
        <v/>
      </c>
      <c r="P474" s="600">
        <f t="shared" ca="1" si="71"/>
        <v>852919253</v>
      </c>
    </row>
    <row r="475" spans="2:16">
      <c r="B475" s="617">
        <v>10000560</v>
      </c>
      <c r="C475" s="621" t="s">
        <v>10</v>
      </c>
      <c r="D475" s="565" t="s">
        <v>15</v>
      </c>
      <c r="E475" s="552" t="s">
        <v>564</v>
      </c>
      <c r="F475" s="570" t="s">
        <v>1993</v>
      </c>
      <c r="G475" s="574"/>
      <c r="H475" s="580">
        <v>927429248.94000006</v>
      </c>
      <c r="I475" s="592">
        <v>43044</v>
      </c>
      <c r="J475" s="626">
        <f t="shared" ca="1" si="75"/>
        <v>1376</v>
      </c>
      <c r="K475" s="600" t="str">
        <f t="shared" ca="1" si="66"/>
        <v/>
      </c>
      <c r="L475" s="600" t="str">
        <f t="shared" ca="1" si="67"/>
        <v/>
      </c>
      <c r="M475" s="601" t="str">
        <f t="shared" ca="1" si="68"/>
        <v/>
      </c>
      <c r="N475" s="600" t="str">
        <f t="shared" ca="1" si="69"/>
        <v/>
      </c>
      <c r="O475" s="600" t="str">
        <f t="shared" ca="1" si="70"/>
        <v/>
      </c>
      <c r="P475" s="600">
        <f t="shared" ca="1" si="71"/>
        <v>927429248.94000006</v>
      </c>
    </row>
    <row r="476" spans="2:16">
      <c r="B476" s="617">
        <v>10000560</v>
      </c>
      <c r="C476" s="621" t="s">
        <v>10</v>
      </c>
      <c r="D476" s="565" t="s">
        <v>15</v>
      </c>
      <c r="E476" s="549" t="s">
        <v>500</v>
      </c>
      <c r="F476" s="566" t="s">
        <v>1994</v>
      </c>
      <c r="G476" s="574"/>
      <c r="H476" s="580">
        <v>1289929606.95</v>
      </c>
      <c r="I476" s="592">
        <v>43044</v>
      </c>
      <c r="J476" s="626">
        <f t="shared" ca="1" si="75"/>
        <v>1376</v>
      </c>
      <c r="K476" s="600" t="str">
        <f t="shared" ca="1" si="66"/>
        <v/>
      </c>
      <c r="L476" s="600" t="str">
        <f t="shared" ca="1" si="67"/>
        <v/>
      </c>
      <c r="M476" s="601" t="str">
        <f t="shared" ca="1" si="68"/>
        <v/>
      </c>
      <c r="N476" s="600" t="str">
        <f t="shared" ca="1" si="69"/>
        <v/>
      </c>
      <c r="O476" s="600" t="str">
        <f t="shared" ca="1" si="70"/>
        <v/>
      </c>
      <c r="P476" s="600">
        <f t="shared" ca="1" si="71"/>
        <v>1289929606.95</v>
      </c>
    </row>
    <row r="477" spans="2:16">
      <c r="B477" s="617">
        <v>10000560</v>
      </c>
      <c r="C477" s="621" t="s">
        <v>10</v>
      </c>
      <c r="D477" s="565" t="s">
        <v>15</v>
      </c>
      <c r="E477" s="549" t="s">
        <v>501</v>
      </c>
      <c r="F477" s="566" t="s">
        <v>1993</v>
      </c>
      <c r="G477" s="574"/>
      <c r="H477" s="580">
        <v>1326112062.9300001</v>
      </c>
      <c r="I477" s="591">
        <v>43115</v>
      </c>
      <c r="J477" s="626">
        <f t="shared" ca="1" si="75"/>
        <v>1305</v>
      </c>
      <c r="K477" s="600" t="str">
        <f t="shared" ca="1" si="66"/>
        <v/>
      </c>
      <c r="L477" s="600" t="str">
        <f t="shared" ca="1" si="67"/>
        <v/>
      </c>
      <c r="M477" s="601" t="str">
        <f t="shared" ca="1" si="68"/>
        <v/>
      </c>
      <c r="N477" s="600" t="str">
        <f t="shared" ca="1" si="69"/>
        <v/>
      </c>
      <c r="O477" s="600" t="str">
        <f t="shared" ca="1" si="70"/>
        <v/>
      </c>
      <c r="P477" s="600">
        <f t="shared" ca="1" si="71"/>
        <v>1326112062.9300001</v>
      </c>
    </row>
    <row r="478" spans="2:16">
      <c r="B478" s="617">
        <v>10000560</v>
      </c>
      <c r="C478" s="621" t="s">
        <v>10</v>
      </c>
      <c r="D478" s="565" t="s">
        <v>15</v>
      </c>
      <c r="E478" s="552" t="s">
        <v>504</v>
      </c>
      <c r="F478" s="570" t="s">
        <v>1994</v>
      </c>
      <c r="G478" s="574"/>
      <c r="H478" s="580">
        <v>1393707795.25</v>
      </c>
      <c r="I478" s="592">
        <v>43375</v>
      </c>
      <c r="J478" s="626">
        <f t="shared" ca="1" si="75"/>
        <v>1045</v>
      </c>
      <c r="K478" s="600" t="str">
        <f t="shared" ca="1" si="66"/>
        <v/>
      </c>
      <c r="L478" s="600" t="str">
        <f t="shared" ca="1" si="67"/>
        <v/>
      </c>
      <c r="M478" s="601" t="str">
        <f t="shared" ca="1" si="68"/>
        <v/>
      </c>
      <c r="N478" s="600" t="str">
        <f t="shared" ca="1" si="69"/>
        <v/>
      </c>
      <c r="O478" s="600" t="str">
        <f t="shared" ca="1" si="70"/>
        <v/>
      </c>
      <c r="P478" s="600">
        <f t="shared" ca="1" si="71"/>
        <v>1393707795.25</v>
      </c>
    </row>
    <row r="479" spans="2:16">
      <c r="B479" s="617">
        <v>10000560</v>
      </c>
      <c r="C479" s="621" t="s">
        <v>10</v>
      </c>
      <c r="D479" s="565" t="s">
        <v>15</v>
      </c>
      <c r="E479" s="549" t="s">
        <v>506</v>
      </c>
      <c r="F479" s="566" t="s">
        <v>1995</v>
      </c>
      <c r="G479" s="574"/>
      <c r="H479" s="580">
        <v>866707282.60000002</v>
      </c>
      <c r="I479" s="592">
        <v>43174</v>
      </c>
      <c r="J479" s="626">
        <f t="shared" ca="1" si="75"/>
        <v>1246</v>
      </c>
      <c r="K479" s="600" t="str">
        <f t="shared" ca="1" si="66"/>
        <v/>
      </c>
      <c r="L479" s="600" t="str">
        <f t="shared" ca="1" si="67"/>
        <v/>
      </c>
      <c r="M479" s="601" t="str">
        <f t="shared" ca="1" si="68"/>
        <v/>
      </c>
      <c r="N479" s="600" t="str">
        <f t="shared" ca="1" si="69"/>
        <v/>
      </c>
      <c r="O479" s="600" t="str">
        <f t="shared" ca="1" si="70"/>
        <v/>
      </c>
      <c r="P479" s="600">
        <f t="shared" ca="1" si="71"/>
        <v>866707282.60000002</v>
      </c>
    </row>
    <row r="480" spans="2:16">
      <c r="B480" s="617">
        <v>10000560</v>
      </c>
      <c r="C480" s="621" t="s">
        <v>10</v>
      </c>
      <c r="D480" s="565" t="s">
        <v>15</v>
      </c>
      <c r="E480" s="549" t="s">
        <v>508</v>
      </c>
      <c r="F480" s="566" t="s">
        <v>1996</v>
      </c>
      <c r="G480" s="574"/>
      <c r="H480" s="580">
        <v>1065866584.84</v>
      </c>
      <c r="I480" s="591">
        <v>43205</v>
      </c>
      <c r="J480" s="626">
        <f t="shared" ca="1" si="75"/>
        <v>1215</v>
      </c>
      <c r="K480" s="600" t="str">
        <f t="shared" ca="1" si="66"/>
        <v/>
      </c>
      <c r="L480" s="600" t="str">
        <f t="shared" ca="1" si="67"/>
        <v/>
      </c>
      <c r="M480" s="601" t="str">
        <f t="shared" ca="1" si="68"/>
        <v/>
      </c>
      <c r="N480" s="600" t="str">
        <f t="shared" ca="1" si="69"/>
        <v/>
      </c>
      <c r="O480" s="600" t="str">
        <f t="shared" ca="1" si="70"/>
        <v/>
      </c>
      <c r="P480" s="600">
        <f t="shared" ca="1" si="71"/>
        <v>1065866584.84</v>
      </c>
    </row>
    <row r="481" spans="2:16">
      <c r="B481" s="617">
        <v>10000560</v>
      </c>
      <c r="C481" s="621" t="s">
        <v>10</v>
      </c>
      <c r="D481" s="565" t="s">
        <v>15</v>
      </c>
      <c r="E481" s="552" t="s">
        <v>231</v>
      </c>
      <c r="F481" s="570" t="s">
        <v>1997</v>
      </c>
      <c r="G481" s="574"/>
      <c r="H481" s="580">
        <v>1380153199.0210967</v>
      </c>
      <c r="I481" s="592">
        <v>43250</v>
      </c>
      <c r="J481" s="626">
        <f t="shared" ca="1" si="75"/>
        <v>1170</v>
      </c>
      <c r="K481" s="600" t="str">
        <f t="shared" ca="1" si="66"/>
        <v/>
      </c>
      <c r="L481" s="600" t="str">
        <f t="shared" ca="1" si="67"/>
        <v/>
      </c>
      <c r="M481" s="601" t="str">
        <f t="shared" ca="1" si="68"/>
        <v/>
      </c>
      <c r="N481" s="600" t="str">
        <f t="shared" ca="1" si="69"/>
        <v/>
      </c>
      <c r="O481" s="600" t="str">
        <f t="shared" ca="1" si="70"/>
        <v/>
      </c>
      <c r="P481" s="600">
        <f t="shared" ca="1" si="71"/>
        <v>1380153199.0210967</v>
      </c>
    </row>
    <row r="482" spans="2:16">
      <c r="B482" s="617">
        <v>10000560</v>
      </c>
      <c r="C482" s="621" t="s">
        <v>10</v>
      </c>
      <c r="D482" s="565" t="s">
        <v>15</v>
      </c>
      <c r="E482" s="549" t="s">
        <v>234</v>
      </c>
      <c r="F482" s="566" t="s">
        <v>1998</v>
      </c>
      <c r="G482" s="574"/>
      <c r="H482" s="580">
        <v>1446739837.597131</v>
      </c>
      <c r="I482" s="592">
        <v>43273</v>
      </c>
      <c r="J482" s="626">
        <f t="shared" ca="1" si="75"/>
        <v>1147</v>
      </c>
      <c r="K482" s="600" t="str">
        <f t="shared" ca="1" si="66"/>
        <v/>
      </c>
      <c r="L482" s="600" t="str">
        <f t="shared" ca="1" si="67"/>
        <v/>
      </c>
      <c r="M482" s="601" t="str">
        <f t="shared" ca="1" si="68"/>
        <v/>
      </c>
      <c r="N482" s="600" t="str">
        <f t="shared" ca="1" si="69"/>
        <v/>
      </c>
      <c r="O482" s="600" t="str">
        <f t="shared" ca="1" si="70"/>
        <v/>
      </c>
      <c r="P482" s="600">
        <f t="shared" ca="1" si="71"/>
        <v>1446739837.597131</v>
      </c>
    </row>
    <row r="483" spans="2:16">
      <c r="B483" s="617">
        <v>10000560</v>
      </c>
      <c r="C483" s="621" t="s">
        <v>10</v>
      </c>
      <c r="D483" s="565" t="s">
        <v>15</v>
      </c>
      <c r="E483" s="549" t="s">
        <v>416</v>
      </c>
      <c r="F483" s="566" t="s">
        <v>1999</v>
      </c>
      <c r="G483" s="574"/>
      <c r="H483" s="580">
        <v>1152474551.9768879</v>
      </c>
      <c r="I483" s="591">
        <v>43303</v>
      </c>
      <c r="J483" s="626">
        <f t="shared" ca="1" si="75"/>
        <v>1117</v>
      </c>
      <c r="K483" s="600" t="str">
        <f t="shared" ca="1" si="66"/>
        <v/>
      </c>
      <c r="L483" s="600" t="str">
        <f t="shared" ca="1" si="67"/>
        <v/>
      </c>
      <c r="M483" s="601" t="str">
        <f t="shared" ca="1" si="68"/>
        <v/>
      </c>
      <c r="N483" s="600" t="str">
        <f t="shared" ca="1" si="69"/>
        <v/>
      </c>
      <c r="O483" s="600" t="str">
        <f t="shared" ca="1" si="70"/>
        <v/>
      </c>
      <c r="P483" s="600">
        <f t="shared" ca="1" si="71"/>
        <v>1152474551.9768879</v>
      </c>
    </row>
    <row r="484" spans="2:16">
      <c r="B484" s="617">
        <v>10000560</v>
      </c>
      <c r="C484" s="621" t="s">
        <v>10</v>
      </c>
      <c r="D484" s="565" t="s">
        <v>15</v>
      </c>
      <c r="E484" s="552" t="s">
        <v>238</v>
      </c>
      <c r="F484" s="570" t="s">
        <v>746</v>
      </c>
      <c r="G484" s="574"/>
      <c r="H484" s="580">
        <f>317401407.59+887040594.62</f>
        <v>1204442002.21</v>
      </c>
      <c r="I484" s="592">
        <v>43340</v>
      </c>
      <c r="J484" s="626">
        <f t="shared" ca="1" si="75"/>
        <v>1080</v>
      </c>
      <c r="K484" s="600" t="str">
        <f t="shared" ca="1" si="66"/>
        <v/>
      </c>
      <c r="L484" s="600" t="str">
        <f t="shared" ca="1" si="67"/>
        <v/>
      </c>
      <c r="M484" s="601" t="str">
        <f t="shared" ca="1" si="68"/>
        <v/>
      </c>
      <c r="N484" s="600" t="str">
        <f t="shared" ca="1" si="69"/>
        <v/>
      </c>
      <c r="O484" s="600" t="str">
        <f t="shared" ca="1" si="70"/>
        <v/>
      </c>
      <c r="P484" s="600">
        <f t="shared" ca="1" si="71"/>
        <v>1204442002.21</v>
      </c>
    </row>
    <row r="485" spans="2:16">
      <c r="B485" s="617">
        <v>10000560</v>
      </c>
      <c r="C485" s="621" t="s">
        <v>10</v>
      </c>
      <c r="D485" s="565" t="s">
        <v>15</v>
      </c>
      <c r="E485" s="549" t="s">
        <v>517</v>
      </c>
      <c r="F485" s="566" t="s">
        <v>1296</v>
      </c>
      <c r="G485" s="574"/>
      <c r="H485" s="580">
        <v>252081434.67162597</v>
      </c>
      <c r="I485" s="592">
        <v>43371</v>
      </c>
      <c r="J485" s="626">
        <f t="shared" ca="1" si="75"/>
        <v>1049</v>
      </c>
      <c r="K485" s="600" t="str">
        <f t="shared" ca="1" si="66"/>
        <v/>
      </c>
      <c r="L485" s="600" t="str">
        <f t="shared" ca="1" si="67"/>
        <v/>
      </c>
      <c r="M485" s="601" t="str">
        <f t="shared" ca="1" si="68"/>
        <v/>
      </c>
      <c r="N485" s="600" t="str">
        <f t="shared" ca="1" si="69"/>
        <v/>
      </c>
      <c r="O485" s="600" t="str">
        <f t="shared" ca="1" si="70"/>
        <v/>
      </c>
      <c r="P485" s="600">
        <f t="shared" ca="1" si="71"/>
        <v>252081434.67162597</v>
      </c>
    </row>
    <row r="486" spans="2:16">
      <c r="B486" s="617">
        <v>10000560</v>
      </c>
      <c r="C486" s="621" t="s">
        <v>10</v>
      </c>
      <c r="D486" s="565" t="s">
        <v>15</v>
      </c>
      <c r="E486" s="549" t="s">
        <v>243</v>
      </c>
      <c r="F486" s="566" t="s">
        <v>1299</v>
      </c>
      <c r="G486" s="574"/>
      <c r="H486" s="580">
        <v>408304771.33318949</v>
      </c>
      <c r="I486" s="591">
        <v>43401</v>
      </c>
      <c r="J486" s="626">
        <f t="shared" ca="1" si="75"/>
        <v>1019</v>
      </c>
      <c r="K486" s="600" t="str">
        <f t="shared" ca="1" si="66"/>
        <v/>
      </c>
      <c r="L486" s="600" t="str">
        <f t="shared" ca="1" si="67"/>
        <v/>
      </c>
      <c r="M486" s="601" t="str">
        <f t="shared" ca="1" si="68"/>
        <v/>
      </c>
      <c r="N486" s="600" t="str">
        <f t="shared" ca="1" si="69"/>
        <v/>
      </c>
      <c r="O486" s="600" t="str">
        <f t="shared" ca="1" si="70"/>
        <v/>
      </c>
      <c r="P486" s="600">
        <f t="shared" ca="1" si="71"/>
        <v>408304771.33318949</v>
      </c>
    </row>
    <row r="487" spans="2:16">
      <c r="B487" s="617">
        <v>10000560</v>
      </c>
      <c r="C487" s="621" t="s">
        <v>10</v>
      </c>
      <c r="D487" s="565" t="s">
        <v>15</v>
      </c>
      <c r="E487" s="552" t="s">
        <v>246</v>
      </c>
      <c r="F487" s="570" t="s">
        <v>1300</v>
      </c>
      <c r="G487" s="574"/>
      <c r="H487" s="580">
        <v>412433056.45999998</v>
      </c>
      <c r="I487" s="592">
        <v>43432</v>
      </c>
      <c r="J487" s="626">
        <f t="shared" ca="1" si="75"/>
        <v>988</v>
      </c>
      <c r="K487" s="600" t="str">
        <f t="shared" ca="1" si="66"/>
        <v/>
      </c>
      <c r="L487" s="600" t="str">
        <f t="shared" ca="1" si="67"/>
        <v/>
      </c>
      <c r="M487" s="601" t="str">
        <f t="shared" ca="1" si="68"/>
        <v/>
      </c>
      <c r="N487" s="600" t="str">
        <f t="shared" ca="1" si="69"/>
        <v/>
      </c>
      <c r="O487" s="600" t="str">
        <f t="shared" ca="1" si="70"/>
        <v/>
      </c>
      <c r="P487" s="600">
        <f t="shared" ca="1" si="71"/>
        <v>412433056.45999998</v>
      </c>
    </row>
    <row r="488" spans="2:16">
      <c r="B488" s="617">
        <v>10000560</v>
      </c>
      <c r="C488" s="621" t="s">
        <v>10</v>
      </c>
      <c r="D488" s="565" t="s">
        <v>15</v>
      </c>
      <c r="E488" s="549" t="s">
        <v>522</v>
      </c>
      <c r="F488" s="566" t="s">
        <v>1301</v>
      </c>
      <c r="G488" s="574"/>
      <c r="H488" s="580">
        <v>144375245.7180154</v>
      </c>
      <c r="I488" s="592">
        <v>43462</v>
      </c>
      <c r="J488" s="626">
        <f t="shared" ca="1" si="75"/>
        <v>958</v>
      </c>
      <c r="K488" s="600" t="str">
        <f t="shared" ca="1" si="66"/>
        <v/>
      </c>
      <c r="L488" s="600" t="str">
        <f t="shared" ca="1" si="67"/>
        <v/>
      </c>
      <c r="M488" s="601" t="str">
        <f t="shared" ca="1" si="68"/>
        <v/>
      </c>
      <c r="N488" s="600" t="str">
        <f t="shared" ca="1" si="69"/>
        <v/>
      </c>
      <c r="O488" s="600" t="str">
        <f t="shared" ca="1" si="70"/>
        <v/>
      </c>
      <c r="P488" s="600">
        <f t="shared" ca="1" si="71"/>
        <v>144375245.7180154</v>
      </c>
    </row>
    <row r="489" spans="2:16">
      <c r="B489" s="617">
        <v>10000560</v>
      </c>
      <c r="C489" s="621" t="s">
        <v>10</v>
      </c>
      <c r="D489" s="565" t="s">
        <v>15</v>
      </c>
      <c r="E489" s="549" t="s">
        <v>250</v>
      </c>
      <c r="F489" s="566" t="s">
        <v>1113</v>
      </c>
      <c r="G489" s="574"/>
      <c r="H489" s="580">
        <v>84142182.519999996</v>
      </c>
      <c r="I489" s="591">
        <v>43493</v>
      </c>
      <c r="J489" s="626">
        <f t="shared" ca="1" si="75"/>
        <v>927</v>
      </c>
      <c r="K489" s="600" t="str">
        <f t="shared" ca="1" si="66"/>
        <v/>
      </c>
      <c r="L489" s="600" t="str">
        <f t="shared" ca="1" si="67"/>
        <v/>
      </c>
      <c r="M489" s="601" t="str">
        <f t="shared" ca="1" si="68"/>
        <v/>
      </c>
      <c r="N489" s="600" t="str">
        <f t="shared" ca="1" si="69"/>
        <v/>
      </c>
      <c r="O489" s="600" t="str">
        <f t="shared" ca="1" si="70"/>
        <v/>
      </c>
      <c r="P489" s="600">
        <f t="shared" ca="1" si="71"/>
        <v>84142182.519999996</v>
      </c>
    </row>
    <row r="490" spans="2:16">
      <c r="B490" s="617">
        <v>10000560</v>
      </c>
      <c r="C490" s="621" t="s">
        <v>10</v>
      </c>
      <c r="D490" s="565" t="s">
        <v>15</v>
      </c>
      <c r="E490" s="552" t="s">
        <v>139</v>
      </c>
      <c r="F490" s="570" t="s">
        <v>1114</v>
      </c>
      <c r="G490" s="574"/>
      <c r="H490" s="580">
        <v>94939014.530000001</v>
      </c>
      <c r="I490" s="592">
        <v>43524</v>
      </c>
      <c r="J490" s="626">
        <f t="shared" ca="1" si="75"/>
        <v>896</v>
      </c>
      <c r="K490" s="600" t="str">
        <f t="shared" ca="1" si="66"/>
        <v/>
      </c>
      <c r="L490" s="600" t="str">
        <f t="shared" ca="1" si="67"/>
        <v/>
      </c>
      <c r="M490" s="601" t="str">
        <f t="shared" ca="1" si="68"/>
        <v/>
      </c>
      <c r="N490" s="600" t="str">
        <f t="shared" ca="1" si="69"/>
        <v/>
      </c>
      <c r="O490" s="600" t="str">
        <f t="shared" ca="1" si="70"/>
        <v/>
      </c>
      <c r="P490" s="600">
        <f t="shared" ca="1" si="71"/>
        <v>94939014.530000001</v>
      </c>
    </row>
    <row r="491" spans="2:16">
      <c r="B491" s="617">
        <v>10000560</v>
      </c>
      <c r="C491" s="621" t="s">
        <v>10</v>
      </c>
      <c r="D491" s="565" t="s">
        <v>15</v>
      </c>
      <c r="E491" s="549" t="s">
        <v>142</v>
      </c>
      <c r="F491" s="566" t="s">
        <v>2003</v>
      </c>
      <c r="G491" s="574"/>
      <c r="H491" s="580">
        <v>72292478.493127197</v>
      </c>
      <c r="I491" s="592">
        <v>43552</v>
      </c>
      <c r="J491" s="626">
        <f t="shared" ca="1" si="75"/>
        <v>868</v>
      </c>
      <c r="K491" s="600" t="str">
        <f t="shared" ca="1" si="66"/>
        <v/>
      </c>
      <c r="L491" s="600" t="str">
        <f t="shared" ca="1" si="67"/>
        <v/>
      </c>
      <c r="M491" s="601" t="str">
        <f t="shared" ca="1" si="68"/>
        <v/>
      </c>
      <c r="N491" s="600" t="str">
        <f t="shared" ca="1" si="69"/>
        <v/>
      </c>
      <c r="O491" s="600" t="str">
        <f t="shared" ca="1" si="70"/>
        <v/>
      </c>
      <c r="P491" s="600">
        <f t="shared" ca="1" si="71"/>
        <v>72292478.493127197</v>
      </c>
    </row>
    <row r="492" spans="2:16">
      <c r="B492" s="617">
        <v>10000560</v>
      </c>
      <c r="C492" s="621" t="s">
        <v>10</v>
      </c>
      <c r="D492" s="565" t="s">
        <v>15</v>
      </c>
      <c r="E492" s="549" t="s">
        <v>154</v>
      </c>
      <c r="F492" s="566" t="s">
        <v>1116</v>
      </c>
      <c r="G492" s="574"/>
      <c r="H492" s="580">
        <v>239654047.99295402</v>
      </c>
      <c r="I492" s="592">
        <v>43647</v>
      </c>
      <c r="J492" s="626">
        <f t="shared" ca="1" si="75"/>
        <v>773</v>
      </c>
      <c r="K492" s="600" t="str">
        <f t="shared" ca="1" si="66"/>
        <v/>
      </c>
      <c r="L492" s="600" t="str">
        <f t="shared" ca="1" si="67"/>
        <v/>
      </c>
      <c r="M492" s="601" t="str">
        <f t="shared" ca="1" si="68"/>
        <v/>
      </c>
      <c r="N492" s="600" t="str">
        <f t="shared" ca="1" si="69"/>
        <v/>
      </c>
      <c r="O492" s="600" t="str">
        <f t="shared" ca="1" si="70"/>
        <v/>
      </c>
      <c r="P492" s="600">
        <f t="shared" ca="1" si="71"/>
        <v>239654047.99295402</v>
      </c>
    </row>
    <row r="493" spans="2:16">
      <c r="B493" s="617">
        <v>10000560</v>
      </c>
      <c r="C493" s="621" t="s">
        <v>10</v>
      </c>
      <c r="D493" s="565" t="s">
        <v>15</v>
      </c>
      <c r="E493" s="549" t="s">
        <v>158</v>
      </c>
      <c r="F493" s="566" t="s">
        <v>1437</v>
      </c>
      <c r="G493" s="574"/>
      <c r="H493" s="580">
        <v>423464829.49968743</v>
      </c>
      <c r="I493" s="591">
        <v>43678</v>
      </c>
      <c r="J493" s="626">
        <f t="shared" ca="1" si="75"/>
        <v>742</v>
      </c>
      <c r="K493" s="600" t="str">
        <f t="shared" ca="1" si="66"/>
        <v/>
      </c>
      <c r="L493" s="600" t="str">
        <f t="shared" ca="1" si="67"/>
        <v/>
      </c>
      <c r="M493" s="601" t="str">
        <f t="shared" ca="1" si="68"/>
        <v/>
      </c>
      <c r="N493" s="600" t="str">
        <f t="shared" ca="1" si="69"/>
        <v/>
      </c>
      <c r="O493" s="600" t="str">
        <f t="shared" ca="1" si="70"/>
        <v/>
      </c>
      <c r="P493" s="600">
        <f t="shared" ca="1" si="71"/>
        <v>423464829.49968743</v>
      </c>
    </row>
    <row r="494" spans="2:16">
      <c r="B494" s="617">
        <v>10000560</v>
      </c>
      <c r="C494" s="621" t="s">
        <v>10</v>
      </c>
      <c r="D494" s="565" t="s">
        <v>15</v>
      </c>
      <c r="E494" s="552" t="s">
        <v>162</v>
      </c>
      <c r="F494" s="570" t="s">
        <v>1118</v>
      </c>
      <c r="G494" s="574"/>
      <c r="H494" s="580">
        <v>539023843.20805657</v>
      </c>
      <c r="I494" s="592" t="s">
        <v>164</v>
      </c>
      <c r="J494" s="626">
        <f t="shared" ca="1" si="75"/>
        <v>946</v>
      </c>
      <c r="K494" s="600" t="str">
        <f t="shared" ca="1" si="66"/>
        <v/>
      </c>
      <c r="L494" s="600" t="str">
        <f t="shared" ca="1" si="67"/>
        <v/>
      </c>
      <c r="M494" s="601" t="str">
        <f t="shared" ca="1" si="68"/>
        <v/>
      </c>
      <c r="N494" s="600" t="str">
        <f t="shared" ca="1" si="69"/>
        <v/>
      </c>
      <c r="O494" s="600" t="str">
        <f t="shared" ca="1" si="70"/>
        <v/>
      </c>
      <c r="P494" s="600">
        <f t="shared" ca="1" si="71"/>
        <v>539023843.20805657</v>
      </c>
    </row>
    <row r="495" spans="2:16">
      <c r="B495" s="617">
        <v>10000560</v>
      </c>
      <c r="C495" s="621" t="s">
        <v>10</v>
      </c>
      <c r="D495" s="565" t="s">
        <v>15</v>
      </c>
      <c r="E495" s="549" t="s">
        <v>166</v>
      </c>
      <c r="F495" s="566" t="s">
        <v>1119</v>
      </c>
      <c r="G495" s="574"/>
      <c r="H495" s="580">
        <v>427411238.04329997</v>
      </c>
      <c r="I495" s="592">
        <v>43739</v>
      </c>
      <c r="J495" s="626">
        <f t="shared" ca="1" si="75"/>
        <v>681</v>
      </c>
      <c r="K495" s="600" t="str">
        <f t="shared" ref="K495:K558" ca="1" si="76">IF(AND(J495&gt;=16,J495&lt;=30),H495,"")</f>
        <v/>
      </c>
      <c r="L495" s="600" t="str">
        <f t="shared" ref="L495:L558" ca="1" si="77">IF(AND(J495&gt;=31,J495&lt;=60),H495,"")</f>
        <v/>
      </c>
      <c r="M495" s="601" t="str">
        <f t="shared" ref="M495:M558" ca="1" si="78">IF(AND(J495&gt;=61,J495&lt;=90),H495,"")</f>
        <v/>
      </c>
      <c r="N495" s="600" t="str">
        <f t="shared" ref="N495:N558" ca="1" si="79">IF(AND(J495&gt;=91,J495&lt;=180),H495,"")</f>
        <v/>
      </c>
      <c r="O495" s="600" t="str">
        <f t="shared" ref="O495:O558" ca="1" si="80">IF(AND(J495&gt;=181,J495&lt;=360),H495,"")</f>
        <v/>
      </c>
      <c r="P495" s="600">
        <f t="shared" ref="P495:P558" ca="1" si="81">IF(J495&gt;=360,H495,"")</f>
        <v>427411238.04329997</v>
      </c>
    </row>
    <row r="496" spans="2:16">
      <c r="B496" s="617">
        <v>10000560</v>
      </c>
      <c r="C496" s="621" t="s">
        <v>10</v>
      </c>
      <c r="D496" s="565" t="s">
        <v>15</v>
      </c>
      <c r="E496" s="549" t="s">
        <v>170</v>
      </c>
      <c r="F496" s="566" t="s">
        <v>827</v>
      </c>
      <c r="G496" s="574"/>
      <c r="H496" s="580">
        <v>176464623.23280001</v>
      </c>
      <c r="I496" s="591">
        <v>43779</v>
      </c>
      <c r="J496" s="626">
        <f t="shared" ca="1" si="75"/>
        <v>641</v>
      </c>
      <c r="K496" s="600" t="str">
        <f t="shared" ca="1" si="76"/>
        <v/>
      </c>
      <c r="L496" s="600" t="str">
        <f t="shared" ca="1" si="77"/>
        <v/>
      </c>
      <c r="M496" s="601" t="str">
        <f t="shared" ca="1" si="78"/>
        <v/>
      </c>
      <c r="N496" s="600" t="str">
        <f t="shared" ca="1" si="79"/>
        <v/>
      </c>
      <c r="O496" s="600" t="str">
        <f t="shared" ca="1" si="80"/>
        <v/>
      </c>
      <c r="P496" s="600">
        <f t="shared" ca="1" si="81"/>
        <v>176464623.23280001</v>
      </c>
    </row>
    <row r="497" spans="2:16">
      <c r="B497" s="617">
        <v>10000560</v>
      </c>
      <c r="C497" s="621" t="s">
        <v>10</v>
      </c>
      <c r="D497" s="565" t="s">
        <v>15</v>
      </c>
      <c r="E497" s="552" t="s">
        <v>174</v>
      </c>
      <c r="F497" s="570" t="s">
        <v>829</v>
      </c>
      <c r="G497" s="574"/>
      <c r="H497" s="580">
        <v>151415898.25999999</v>
      </c>
      <c r="I497" s="592">
        <v>43814</v>
      </c>
      <c r="J497" s="626">
        <f t="shared" ca="1" si="75"/>
        <v>606</v>
      </c>
      <c r="K497" s="600" t="str">
        <f t="shared" ca="1" si="76"/>
        <v/>
      </c>
      <c r="L497" s="600" t="str">
        <f t="shared" ca="1" si="77"/>
        <v/>
      </c>
      <c r="M497" s="601" t="str">
        <f t="shared" ca="1" si="78"/>
        <v/>
      </c>
      <c r="N497" s="600" t="str">
        <f t="shared" ca="1" si="79"/>
        <v/>
      </c>
      <c r="O497" s="600" t="str">
        <f t="shared" ca="1" si="80"/>
        <v/>
      </c>
      <c r="P497" s="600">
        <f t="shared" ca="1" si="81"/>
        <v>151415898.25999999</v>
      </c>
    </row>
    <row r="498" spans="2:16">
      <c r="B498" s="617">
        <v>10000560</v>
      </c>
      <c r="C498" s="621" t="s">
        <v>10</v>
      </c>
      <c r="D498" s="565" t="s">
        <v>15</v>
      </c>
      <c r="E498" s="549" t="s">
        <v>778</v>
      </c>
      <c r="F498" s="566" t="s">
        <v>830</v>
      </c>
      <c r="G498" s="574"/>
      <c r="H498" s="580">
        <v>109313348.40089999</v>
      </c>
      <c r="I498" s="592" t="s">
        <v>179</v>
      </c>
      <c r="J498" s="626">
        <f t="shared" ca="1" si="75"/>
        <v>589</v>
      </c>
      <c r="K498" s="600" t="str">
        <f t="shared" ca="1" si="76"/>
        <v/>
      </c>
      <c r="L498" s="600" t="str">
        <f t="shared" ca="1" si="77"/>
        <v/>
      </c>
      <c r="M498" s="601" t="str">
        <f t="shared" ca="1" si="78"/>
        <v/>
      </c>
      <c r="N498" s="600" t="str">
        <f t="shared" ca="1" si="79"/>
        <v/>
      </c>
      <c r="O498" s="600" t="str">
        <f t="shared" ca="1" si="80"/>
        <v/>
      </c>
      <c r="P498" s="600">
        <f t="shared" ca="1" si="81"/>
        <v>109313348.40089999</v>
      </c>
    </row>
    <row r="499" spans="2:16">
      <c r="B499" s="617"/>
      <c r="C499" s="621"/>
      <c r="D499" s="565"/>
      <c r="E499" s="549"/>
      <c r="F499" s="566"/>
      <c r="G499" s="574"/>
      <c r="H499" s="580"/>
      <c r="I499" s="591"/>
      <c r="J499" s="626"/>
      <c r="K499" s="600" t="str">
        <f t="shared" si="76"/>
        <v/>
      </c>
      <c r="L499" s="600" t="str">
        <f t="shared" si="77"/>
        <v/>
      </c>
      <c r="M499" s="601" t="str">
        <f t="shared" si="78"/>
        <v/>
      </c>
      <c r="N499" s="600" t="str">
        <f t="shared" si="79"/>
        <v/>
      </c>
      <c r="O499" s="600" t="str">
        <f t="shared" si="80"/>
        <v/>
      </c>
      <c r="P499" s="600" t="str">
        <f t="shared" si="81"/>
        <v/>
      </c>
    </row>
    <row r="500" spans="2:16">
      <c r="B500" s="617"/>
      <c r="C500" s="621"/>
      <c r="D500" s="565"/>
      <c r="E500" s="552"/>
      <c r="F500" s="570"/>
      <c r="G500" s="574"/>
      <c r="H500" s="580"/>
      <c r="I500" s="592"/>
      <c r="J500" s="626"/>
      <c r="K500" s="600" t="str">
        <f t="shared" si="76"/>
        <v/>
      </c>
      <c r="L500" s="600" t="str">
        <f t="shared" si="77"/>
        <v/>
      </c>
      <c r="M500" s="601" t="str">
        <f t="shared" si="78"/>
        <v/>
      </c>
      <c r="N500" s="600" t="str">
        <f t="shared" si="79"/>
        <v/>
      </c>
      <c r="O500" s="600" t="str">
        <f t="shared" si="80"/>
        <v/>
      </c>
      <c r="P500" s="600" t="str">
        <f t="shared" si="81"/>
        <v/>
      </c>
    </row>
    <row r="501" spans="2:16">
      <c r="B501" s="617"/>
      <c r="C501" s="621"/>
      <c r="D501" s="565"/>
      <c r="E501" s="549"/>
      <c r="F501" s="566"/>
      <c r="G501" s="574"/>
      <c r="H501" s="580"/>
      <c r="I501" s="592"/>
      <c r="J501" s="626"/>
      <c r="K501" s="600" t="str">
        <f t="shared" si="76"/>
        <v/>
      </c>
      <c r="L501" s="600" t="str">
        <f t="shared" si="77"/>
        <v/>
      </c>
      <c r="M501" s="601" t="str">
        <f t="shared" si="78"/>
        <v/>
      </c>
      <c r="N501" s="600" t="str">
        <f t="shared" si="79"/>
        <v/>
      </c>
      <c r="O501" s="600" t="str">
        <f t="shared" si="80"/>
        <v/>
      </c>
      <c r="P501" s="600" t="str">
        <f t="shared" si="81"/>
        <v/>
      </c>
    </row>
    <row r="502" spans="2:16">
      <c r="B502" s="617">
        <v>10000559</v>
      </c>
      <c r="C502" s="621" t="s">
        <v>10</v>
      </c>
      <c r="D502" s="565" t="s">
        <v>14</v>
      </c>
      <c r="E502" s="549" t="s">
        <v>494</v>
      </c>
      <c r="F502" s="566" t="s">
        <v>2031</v>
      </c>
      <c r="G502" s="574"/>
      <c r="H502" s="580">
        <v>1543037404.4400001</v>
      </c>
      <c r="I502" s="592">
        <v>42962</v>
      </c>
      <c r="J502" s="626">
        <f t="shared" ref="J502:J529" ca="1" si="82">DATEDIF(I502,$J$4,"D")</f>
        <v>1458</v>
      </c>
      <c r="K502" s="600" t="str">
        <f t="shared" ca="1" si="76"/>
        <v/>
      </c>
      <c r="L502" s="600" t="str">
        <f t="shared" ca="1" si="77"/>
        <v/>
      </c>
      <c r="M502" s="601" t="str">
        <f t="shared" ca="1" si="78"/>
        <v/>
      </c>
      <c r="N502" s="600" t="str">
        <f t="shared" ca="1" si="79"/>
        <v/>
      </c>
      <c r="O502" s="600" t="str">
        <f t="shared" ca="1" si="80"/>
        <v/>
      </c>
      <c r="P502" s="600">
        <f t="shared" ca="1" si="81"/>
        <v>1543037404.4400001</v>
      </c>
    </row>
    <row r="503" spans="2:16">
      <c r="B503" s="617">
        <v>10000559</v>
      </c>
      <c r="C503" s="621" t="s">
        <v>10</v>
      </c>
      <c r="D503" s="565" t="s">
        <v>14</v>
      </c>
      <c r="E503" s="549" t="s">
        <v>497</v>
      </c>
      <c r="F503" s="566" t="s">
        <v>2032</v>
      </c>
      <c r="G503" s="574"/>
      <c r="H503" s="580">
        <v>1087889889.45</v>
      </c>
      <c r="I503" s="591">
        <v>42993</v>
      </c>
      <c r="J503" s="626">
        <f t="shared" ca="1" si="82"/>
        <v>1427</v>
      </c>
      <c r="K503" s="600" t="str">
        <f t="shared" ca="1" si="76"/>
        <v/>
      </c>
      <c r="L503" s="600" t="str">
        <f t="shared" ca="1" si="77"/>
        <v/>
      </c>
      <c r="M503" s="601" t="str">
        <f t="shared" ca="1" si="78"/>
        <v/>
      </c>
      <c r="N503" s="600" t="str">
        <f t="shared" ca="1" si="79"/>
        <v/>
      </c>
      <c r="O503" s="600" t="str">
        <f t="shared" ca="1" si="80"/>
        <v/>
      </c>
      <c r="P503" s="600">
        <f t="shared" ca="1" si="81"/>
        <v>1087889889.45</v>
      </c>
    </row>
    <row r="504" spans="2:16">
      <c r="B504" s="617">
        <v>10000559</v>
      </c>
      <c r="C504" s="621" t="s">
        <v>10</v>
      </c>
      <c r="D504" s="565" t="s">
        <v>14</v>
      </c>
      <c r="E504" s="552" t="s">
        <v>498</v>
      </c>
      <c r="F504" s="570" t="s">
        <v>2033</v>
      </c>
      <c r="G504" s="574"/>
      <c r="H504" s="580">
        <v>996948675.65999997</v>
      </c>
      <c r="I504" s="592">
        <v>42865</v>
      </c>
      <c r="J504" s="626">
        <f t="shared" ca="1" si="82"/>
        <v>1555</v>
      </c>
      <c r="K504" s="600" t="str">
        <f t="shared" ca="1" si="76"/>
        <v/>
      </c>
      <c r="L504" s="600" t="str">
        <f t="shared" ca="1" si="77"/>
        <v/>
      </c>
      <c r="M504" s="601" t="str">
        <f t="shared" ca="1" si="78"/>
        <v/>
      </c>
      <c r="N504" s="600" t="str">
        <f t="shared" ca="1" si="79"/>
        <v/>
      </c>
      <c r="O504" s="600" t="str">
        <f t="shared" ca="1" si="80"/>
        <v/>
      </c>
      <c r="P504" s="600">
        <f t="shared" ca="1" si="81"/>
        <v>996948675.65999997</v>
      </c>
    </row>
    <row r="505" spans="2:16">
      <c r="B505" s="617">
        <v>10000559</v>
      </c>
      <c r="C505" s="621" t="s">
        <v>10</v>
      </c>
      <c r="D505" s="565" t="s">
        <v>14</v>
      </c>
      <c r="E505" s="549" t="s">
        <v>564</v>
      </c>
      <c r="F505" s="566" t="s">
        <v>2034</v>
      </c>
      <c r="G505" s="574"/>
      <c r="H505" s="580">
        <v>1088243302.1300001</v>
      </c>
      <c r="I505" s="592">
        <v>43044</v>
      </c>
      <c r="J505" s="626">
        <f t="shared" ca="1" si="82"/>
        <v>1376</v>
      </c>
      <c r="K505" s="600" t="str">
        <f t="shared" ca="1" si="76"/>
        <v/>
      </c>
      <c r="L505" s="600" t="str">
        <f t="shared" ca="1" si="77"/>
        <v/>
      </c>
      <c r="M505" s="601" t="str">
        <f t="shared" ca="1" si="78"/>
        <v/>
      </c>
      <c r="N505" s="600" t="str">
        <f t="shared" ca="1" si="79"/>
        <v/>
      </c>
      <c r="O505" s="600" t="str">
        <f t="shared" ca="1" si="80"/>
        <v/>
      </c>
      <c r="P505" s="600">
        <f t="shared" ca="1" si="81"/>
        <v>1088243302.1300001</v>
      </c>
    </row>
    <row r="506" spans="2:16">
      <c r="B506" s="617">
        <v>10000559</v>
      </c>
      <c r="C506" s="621" t="s">
        <v>10</v>
      </c>
      <c r="D506" s="565" t="s">
        <v>14</v>
      </c>
      <c r="E506" s="549" t="s">
        <v>500</v>
      </c>
      <c r="F506" s="566" t="s">
        <v>2035</v>
      </c>
      <c r="G506" s="574"/>
      <c r="H506" s="580">
        <v>1265270582.0999999</v>
      </c>
      <c r="I506" s="591">
        <v>43044</v>
      </c>
      <c r="J506" s="626">
        <f t="shared" ca="1" si="82"/>
        <v>1376</v>
      </c>
      <c r="K506" s="600" t="str">
        <f t="shared" ca="1" si="76"/>
        <v/>
      </c>
      <c r="L506" s="600" t="str">
        <f t="shared" ca="1" si="77"/>
        <v/>
      </c>
      <c r="M506" s="601" t="str">
        <f t="shared" ca="1" si="78"/>
        <v/>
      </c>
      <c r="N506" s="600" t="str">
        <f t="shared" ca="1" si="79"/>
        <v/>
      </c>
      <c r="O506" s="600" t="str">
        <f t="shared" ca="1" si="80"/>
        <v/>
      </c>
      <c r="P506" s="600">
        <f t="shared" ca="1" si="81"/>
        <v>1265270582.0999999</v>
      </c>
    </row>
    <row r="507" spans="2:16">
      <c r="B507" s="617">
        <v>10000559</v>
      </c>
      <c r="C507" s="621" t="s">
        <v>10</v>
      </c>
      <c r="D507" s="565" t="s">
        <v>14</v>
      </c>
      <c r="E507" s="552" t="s">
        <v>501</v>
      </c>
      <c r="F507" s="570" t="s">
        <v>2036</v>
      </c>
      <c r="G507" s="574"/>
      <c r="H507" s="580">
        <v>1294973385.72</v>
      </c>
      <c r="I507" s="592">
        <v>43115</v>
      </c>
      <c r="J507" s="626">
        <f t="shared" ca="1" si="82"/>
        <v>1305</v>
      </c>
      <c r="K507" s="600" t="str">
        <f t="shared" ca="1" si="76"/>
        <v/>
      </c>
      <c r="L507" s="600" t="str">
        <f t="shared" ca="1" si="77"/>
        <v/>
      </c>
      <c r="M507" s="601" t="str">
        <f t="shared" ca="1" si="78"/>
        <v/>
      </c>
      <c r="N507" s="600" t="str">
        <f t="shared" ca="1" si="79"/>
        <v/>
      </c>
      <c r="O507" s="600" t="str">
        <f t="shared" ca="1" si="80"/>
        <v/>
      </c>
      <c r="P507" s="600">
        <f t="shared" ca="1" si="81"/>
        <v>1294973385.72</v>
      </c>
    </row>
    <row r="508" spans="2:16">
      <c r="B508" s="617">
        <v>10000559</v>
      </c>
      <c r="C508" s="621" t="s">
        <v>10</v>
      </c>
      <c r="D508" s="565" t="s">
        <v>14</v>
      </c>
      <c r="E508" s="549" t="s">
        <v>504</v>
      </c>
      <c r="F508" s="566" t="s">
        <v>2037</v>
      </c>
      <c r="G508" s="574"/>
      <c r="H508" s="580">
        <v>1322196546.0899999</v>
      </c>
      <c r="I508" s="592">
        <v>43375</v>
      </c>
      <c r="J508" s="626">
        <f t="shared" ca="1" si="82"/>
        <v>1045</v>
      </c>
      <c r="K508" s="600" t="str">
        <f t="shared" ca="1" si="76"/>
        <v/>
      </c>
      <c r="L508" s="600" t="str">
        <f t="shared" ca="1" si="77"/>
        <v/>
      </c>
      <c r="M508" s="601" t="str">
        <f t="shared" ca="1" si="78"/>
        <v/>
      </c>
      <c r="N508" s="600" t="str">
        <f t="shared" ca="1" si="79"/>
        <v/>
      </c>
      <c r="O508" s="600" t="str">
        <f t="shared" ca="1" si="80"/>
        <v/>
      </c>
      <c r="P508" s="600">
        <f t="shared" ca="1" si="81"/>
        <v>1322196546.0899999</v>
      </c>
    </row>
    <row r="509" spans="2:16">
      <c r="B509" s="617">
        <v>10000559</v>
      </c>
      <c r="C509" s="621" t="s">
        <v>10</v>
      </c>
      <c r="D509" s="565" t="s">
        <v>14</v>
      </c>
      <c r="E509" s="549" t="s">
        <v>506</v>
      </c>
      <c r="F509" s="566" t="s">
        <v>2038</v>
      </c>
      <c r="G509" s="574"/>
      <c r="H509" s="580">
        <v>991046347.83000004</v>
      </c>
      <c r="I509" s="591">
        <v>43187</v>
      </c>
      <c r="J509" s="626">
        <f t="shared" ca="1" si="82"/>
        <v>1233</v>
      </c>
      <c r="K509" s="600" t="str">
        <f t="shared" ca="1" si="76"/>
        <v/>
      </c>
      <c r="L509" s="600" t="str">
        <f t="shared" ca="1" si="77"/>
        <v/>
      </c>
      <c r="M509" s="601" t="str">
        <f t="shared" ca="1" si="78"/>
        <v/>
      </c>
      <c r="N509" s="600" t="str">
        <f t="shared" ca="1" si="79"/>
        <v/>
      </c>
      <c r="O509" s="600" t="str">
        <f t="shared" ca="1" si="80"/>
        <v/>
      </c>
      <c r="P509" s="600">
        <f t="shared" ca="1" si="81"/>
        <v>991046347.83000004</v>
      </c>
    </row>
    <row r="510" spans="2:16">
      <c r="B510" s="617">
        <v>10000559</v>
      </c>
      <c r="C510" s="621" t="s">
        <v>10</v>
      </c>
      <c r="D510" s="565" t="s">
        <v>14</v>
      </c>
      <c r="E510" s="552" t="s">
        <v>508</v>
      </c>
      <c r="F510" s="570" t="s">
        <v>2039</v>
      </c>
      <c r="G510" s="574"/>
      <c r="H510" s="580">
        <v>1177687003.5</v>
      </c>
      <c r="I510" s="592">
        <v>43205</v>
      </c>
      <c r="J510" s="626">
        <f t="shared" ca="1" si="82"/>
        <v>1215</v>
      </c>
      <c r="K510" s="600" t="str">
        <f t="shared" ca="1" si="76"/>
        <v/>
      </c>
      <c r="L510" s="600" t="str">
        <f t="shared" ca="1" si="77"/>
        <v/>
      </c>
      <c r="M510" s="601" t="str">
        <f t="shared" ca="1" si="78"/>
        <v/>
      </c>
      <c r="N510" s="600" t="str">
        <f t="shared" ca="1" si="79"/>
        <v/>
      </c>
      <c r="O510" s="600" t="str">
        <f t="shared" ca="1" si="80"/>
        <v/>
      </c>
      <c r="P510" s="600">
        <f t="shared" ca="1" si="81"/>
        <v>1177687003.5</v>
      </c>
    </row>
    <row r="511" spans="2:16">
      <c r="B511" s="617">
        <v>10000559</v>
      </c>
      <c r="C511" s="621" t="s">
        <v>10</v>
      </c>
      <c r="D511" s="565" t="s">
        <v>14</v>
      </c>
      <c r="E511" s="549" t="s">
        <v>231</v>
      </c>
      <c r="F511" s="566" t="s">
        <v>2040</v>
      </c>
      <c r="G511" s="574"/>
      <c r="H511" s="580">
        <v>1096123199.5350001</v>
      </c>
      <c r="I511" s="592">
        <v>43250</v>
      </c>
      <c r="J511" s="626">
        <f t="shared" ca="1" si="82"/>
        <v>1170</v>
      </c>
      <c r="K511" s="600" t="str">
        <f t="shared" ca="1" si="76"/>
        <v/>
      </c>
      <c r="L511" s="600" t="str">
        <f t="shared" ca="1" si="77"/>
        <v/>
      </c>
      <c r="M511" s="601" t="str">
        <f t="shared" ca="1" si="78"/>
        <v/>
      </c>
      <c r="N511" s="600" t="str">
        <f t="shared" ca="1" si="79"/>
        <v/>
      </c>
      <c r="O511" s="600" t="str">
        <f t="shared" ca="1" si="80"/>
        <v/>
      </c>
      <c r="P511" s="600">
        <f t="shared" ca="1" si="81"/>
        <v>1096123199.5350001</v>
      </c>
    </row>
    <row r="512" spans="2:16">
      <c r="B512" s="617">
        <v>10000559</v>
      </c>
      <c r="C512" s="621" t="s">
        <v>10</v>
      </c>
      <c r="D512" s="565" t="s">
        <v>14</v>
      </c>
      <c r="E512" s="549" t="s">
        <v>234</v>
      </c>
      <c r="F512" s="566" t="s">
        <v>2041</v>
      </c>
      <c r="G512" s="574"/>
      <c r="H512" s="580">
        <v>1216184501.0700002</v>
      </c>
      <c r="I512" s="592">
        <v>43273</v>
      </c>
      <c r="J512" s="626">
        <f t="shared" ca="1" si="82"/>
        <v>1147</v>
      </c>
      <c r="K512" s="600" t="str">
        <f t="shared" ca="1" si="76"/>
        <v/>
      </c>
      <c r="L512" s="600" t="str">
        <f t="shared" ca="1" si="77"/>
        <v/>
      </c>
      <c r="M512" s="601" t="str">
        <f t="shared" ca="1" si="78"/>
        <v/>
      </c>
      <c r="N512" s="600" t="str">
        <f t="shared" ca="1" si="79"/>
        <v/>
      </c>
      <c r="O512" s="600" t="str">
        <f t="shared" ca="1" si="80"/>
        <v/>
      </c>
      <c r="P512" s="600">
        <f t="shared" ca="1" si="81"/>
        <v>1216184501.0700002</v>
      </c>
    </row>
    <row r="513" spans="2:16">
      <c r="B513" s="617">
        <v>10000559</v>
      </c>
      <c r="C513" s="621" t="s">
        <v>10</v>
      </c>
      <c r="D513" s="565" t="s">
        <v>14</v>
      </c>
      <c r="E513" s="549" t="s">
        <v>416</v>
      </c>
      <c r="F513" s="566" t="s">
        <v>1423</v>
      </c>
      <c r="G513" s="574"/>
      <c r="H513" s="580">
        <v>1129765171.1010001</v>
      </c>
      <c r="I513" s="591">
        <v>43303</v>
      </c>
      <c r="J513" s="626">
        <f t="shared" ca="1" si="82"/>
        <v>1117</v>
      </c>
      <c r="K513" s="600" t="str">
        <f t="shared" ca="1" si="76"/>
        <v/>
      </c>
      <c r="L513" s="600" t="str">
        <f t="shared" ca="1" si="77"/>
        <v/>
      </c>
      <c r="M513" s="601" t="str">
        <f t="shared" ca="1" si="78"/>
        <v/>
      </c>
      <c r="N513" s="600" t="str">
        <f t="shared" ca="1" si="79"/>
        <v/>
      </c>
      <c r="O513" s="600" t="str">
        <f t="shared" ca="1" si="80"/>
        <v/>
      </c>
      <c r="P513" s="600">
        <f t="shared" ca="1" si="81"/>
        <v>1129765171.1010001</v>
      </c>
    </row>
    <row r="514" spans="2:16">
      <c r="B514" s="617">
        <v>10000559</v>
      </c>
      <c r="C514" s="621" t="s">
        <v>10</v>
      </c>
      <c r="D514" s="565" t="s">
        <v>14</v>
      </c>
      <c r="E514" s="552" t="s">
        <v>238</v>
      </c>
      <c r="F514" s="570" t="s">
        <v>1966</v>
      </c>
      <c r="G514" s="574"/>
      <c r="H514" s="580">
        <v>277139635.1636489</v>
      </c>
      <c r="I514" s="592">
        <v>43303</v>
      </c>
      <c r="J514" s="626">
        <f t="shared" ca="1" si="82"/>
        <v>1117</v>
      </c>
      <c r="K514" s="600" t="str">
        <f t="shared" ca="1" si="76"/>
        <v/>
      </c>
      <c r="L514" s="600" t="str">
        <f t="shared" ca="1" si="77"/>
        <v/>
      </c>
      <c r="M514" s="601" t="str">
        <f t="shared" ca="1" si="78"/>
        <v/>
      </c>
      <c r="N514" s="600" t="str">
        <f t="shared" ca="1" si="79"/>
        <v/>
      </c>
      <c r="O514" s="600" t="str">
        <f t="shared" ca="1" si="80"/>
        <v/>
      </c>
      <c r="P514" s="600">
        <f t="shared" ca="1" si="81"/>
        <v>277139635.1636489</v>
      </c>
    </row>
    <row r="515" spans="2:16">
      <c r="B515" s="617">
        <v>10000559</v>
      </c>
      <c r="C515" s="621" t="s">
        <v>10</v>
      </c>
      <c r="D515" s="565" t="s">
        <v>14</v>
      </c>
      <c r="E515" s="549" t="s">
        <v>517</v>
      </c>
      <c r="F515" s="566" t="s">
        <v>2042</v>
      </c>
      <c r="G515" s="574"/>
      <c r="H515" s="580">
        <v>163140638.25162598</v>
      </c>
      <c r="I515" s="592">
        <v>43365</v>
      </c>
      <c r="J515" s="626">
        <f t="shared" ca="1" si="82"/>
        <v>1055</v>
      </c>
      <c r="K515" s="600" t="str">
        <f t="shared" ca="1" si="76"/>
        <v/>
      </c>
      <c r="L515" s="600" t="str">
        <f t="shared" ca="1" si="77"/>
        <v/>
      </c>
      <c r="M515" s="601" t="str">
        <f t="shared" ca="1" si="78"/>
        <v/>
      </c>
      <c r="N515" s="600" t="str">
        <f t="shared" ca="1" si="79"/>
        <v/>
      </c>
      <c r="O515" s="600" t="str">
        <f t="shared" ca="1" si="80"/>
        <v/>
      </c>
      <c r="P515" s="600">
        <f t="shared" ca="1" si="81"/>
        <v>163140638.25162598</v>
      </c>
    </row>
    <row r="516" spans="2:16">
      <c r="B516" s="617">
        <v>10000559</v>
      </c>
      <c r="C516" s="621" t="s">
        <v>10</v>
      </c>
      <c r="D516" s="565" t="s">
        <v>14</v>
      </c>
      <c r="E516" s="549" t="s">
        <v>243</v>
      </c>
      <c r="F516" s="566" t="s">
        <v>1992</v>
      </c>
      <c r="G516" s="574"/>
      <c r="H516" s="580">
        <v>336504253.45999998</v>
      </c>
      <c r="I516" s="591">
        <v>43395</v>
      </c>
      <c r="J516" s="626">
        <f t="shared" ca="1" si="82"/>
        <v>1025</v>
      </c>
      <c r="K516" s="600" t="str">
        <f t="shared" ca="1" si="76"/>
        <v/>
      </c>
      <c r="L516" s="600" t="str">
        <f t="shared" ca="1" si="77"/>
        <v/>
      </c>
      <c r="M516" s="601" t="str">
        <f t="shared" ca="1" si="78"/>
        <v/>
      </c>
      <c r="N516" s="600" t="str">
        <f t="shared" ca="1" si="79"/>
        <v/>
      </c>
      <c r="O516" s="600" t="str">
        <f t="shared" ca="1" si="80"/>
        <v/>
      </c>
      <c r="P516" s="600">
        <f t="shared" ca="1" si="81"/>
        <v>336504253.45999998</v>
      </c>
    </row>
    <row r="517" spans="2:16">
      <c r="B517" s="617">
        <v>10000559</v>
      </c>
      <c r="C517" s="621" t="s">
        <v>10</v>
      </c>
      <c r="D517" s="565" t="s">
        <v>14</v>
      </c>
      <c r="E517" s="552" t="s">
        <v>246</v>
      </c>
      <c r="F517" s="570" t="s">
        <v>2044</v>
      </c>
      <c r="G517" s="574"/>
      <c r="H517" s="580">
        <v>302037760.55000001</v>
      </c>
      <c r="I517" s="592">
        <v>43426</v>
      </c>
      <c r="J517" s="626">
        <f t="shared" ca="1" si="82"/>
        <v>994</v>
      </c>
      <c r="K517" s="600" t="str">
        <f t="shared" ca="1" si="76"/>
        <v/>
      </c>
      <c r="L517" s="600" t="str">
        <f t="shared" ca="1" si="77"/>
        <v/>
      </c>
      <c r="M517" s="601" t="str">
        <f t="shared" ca="1" si="78"/>
        <v/>
      </c>
      <c r="N517" s="600" t="str">
        <f t="shared" ca="1" si="79"/>
        <v/>
      </c>
      <c r="O517" s="600" t="str">
        <f t="shared" ca="1" si="80"/>
        <v/>
      </c>
      <c r="P517" s="600">
        <f t="shared" ca="1" si="81"/>
        <v>302037760.55000001</v>
      </c>
    </row>
    <row r="518" spans="2:16">
      <c r="B518" s="617">
        <v>10000559</v>
      </c>
      <c r="C518" s="621" t="s">
        <v>10</v>
      </c>
      <c r="D518" s="565" t="s">
        <v>14</v>
      </c>
      <c r="E518" s="549" t="s">
        <v>522</v>
      </c>
      <c r="F518" s="566" t="s">
        <v>1993</v>
      </c>
      <c r="G518" s="574"/>
      <c r="H518" s="580">
        <v>276057096.74094033</v>
      </c>
      <c r="I518" s="592">
        <v>43456</v>
      </c>
      <c r="J518" s="626">
        <f t="shared" ca="1" si="82"/>
        <v>964</v>
      </c>
      <c r="K518" s="600" t="str">
        <f t="shared" ca="1" si="76"/>
        <v/>
      </c>
      <c r="L518" s="600" t="str">
        <f t="shared" ca="1" si="77"/>
        <v/>
      </c>
      <c r="M518" s="601" t="str">
        <f t="shared" ca="1" si="78"/>
        <v/>
      </c>
      <c r="N518" s="600" t="str">
        <f t="shared" ca="1" si="79"/>
        <v/>
      </c>
      <c r="O518" s="600" t="str">
        <f t="shared" ca="1" si="80"/>
        <v/>
      </c>
      <c r="P518" s="600">
        <f t="shared" ca="1" si="81"/>
        <v>276057096.74094033</v>
      </c>
    </row>
    <row r="519" spans="2:16">
      <c r="B519" s="617">
        <v>10000559</v>
      </c>
      <c r="C519" s="621" t="s">
        <v>10</v>
      </c>
      <c r="D519" s="565" t="s">
        <v>14</v>
      </c>
      <c r="E519" s="549" t="s">
        <v>250</v>
      </c>
      <c r="F519" s="566" t="s">
        <v>344</v>
      </c>
      <c r="G519" s="574"/>
      <c r="H519" s="580">
        <v>29506253.32</v>
      </c>
      <c r="I519" s="591">
        <v>43485</v>
      </c>
      <c r="J519" s="626">
        <f t="shared" ca="1" si="82"/>
        <v>935</v>
      </c>
      <c r="K519" s="600" t="str">
        <f t="shared" ca="1" si="76"/>
        <v/>
      </c>
      <c r="L519" s="600" t="str">
        <f t="shared" ca="1" si="77"/>
        <v/>
      </c>
      <c r="M519" s="601" t="str">
        <f t="shared" ca="1" si="78"/>
        <v/>
      </c>
      <c r="N519" s="600" t="str">
        <f t="shared" ca="1" si="79"/>
        <v/>
      </c>
      <c r="O519" s="600" t="str">
        <f t="shared" ca="1" si="80"/>
        <v/>
      </c>
      <c r="P519" s="600">
        <f t="shared" ca="1" si="81"/>
        <v>29506253.32</v>
      </c>
    </row>
    <row r="520" spans="2:16">
      <c r="B520" s="617">
        <v>10000559</v>
      </c>
      <c r="C520" s="621" t="s">
        <v>10</v>
      </c>
      <c r="D520" s="565" t="s">
        <v>14</v>
      </c>
      <c r="E520" s="552" t="s">
        <v>139</v>
      </c>
      <c r="F520" s="570" t="s">
        <v>345</v>
      </c>
      <c r="G520" s="574"/>
      <c r="H520" s="580">
        <v>105926591.8</v>
      </c>
      <c r="I520" s="592">
        <v>43516</v>
      </c>
      <c r="J520" s="626">
        <f t="shared" ca="1" si="82"/>
        <v>904</v>
      </c>
      <c r="K520" s="600" t="str">
        <f t="shared" ca="1" si="76"/>
        <v/>
      </c>
      <c r="L520" s="600" t="str">
        <f t="shared" ca="1" si="77"/>
        <v/>
      </c>
      <c r="M520" s="601" t="str">
        <f t="shared" ca="1" si="78"/>
        <v/>
      </c>
      <c r="N520" s="600" t="str">
        <f t="shared" ca="1" si="79"/>
        <v/>
      </c>
      <c r="O520" s="600" t="str">
        <f t="shared" ca="1" si="80"/>
        <v/>
      </c>
      <c r="P520" s="600">
        <f t="shared" ca="1" si="81"/>
        <v>105926591.8</v>
      </c>
    </row>
    <row r="521" spans="2:16">
      <c r="B521" s="617">
        <v>10000559</v>
      </c>
      <c r="C521" s="621" t="s">
        <v>10</v>
      </c>
      <c r="D521" s="565" t="s">
        <v>14</v>
      </c>
      <c r="E521" s="549" t="s">
        <v>142</v>
      </c>
      <c r="F521" s="566" t="s">
        <v>2045</v>
      </c>
      <c r="G521" s="574"/>
      <c r="H521" s="580">
        <v>463305406.62823498</v>
      </c>
      <c r="I521" s="592">
        <v>43539</v>
      </c>
      <c r="J521" s="626">
        <f t="shared" ca="1" si="82"/>
        <v>881</v>
      </c>
      <c r="K521" s="600" t="str">
        <f t="shared" ca="1" si="76"/>
        <v/>
      </c>
      <c r="L521" s="600" t="str">
        <f t="shared" ca="1" si="77"/>
        <v/>
      </c>
      <c r="M521" s="601" t="str">
        <f t="shared" ca="1" si="78"/>
        <v/>
      </c>
      <c r="N521" s="600" t="str">
        <f t="shared" ca="1" si="79"/>
        <v/>
      </c>
      <c r="O521" s="600" t="str">
        <f t="shared" ca="1" si="80"/>
        <v/>
      </c>
      <c r="P521" s="600">
        <f t="shared" ca="1" si="81"/>
        <v>463305406.62823498</v>
      </c>
    </row>
    <row r="522" spans="2:16">
      <c r="B522" s="617">
        <v>10000559</v>
      </c>
      <c r="C522" s="621" t="s">
        <v>10</v>
      </c>
      <c r="D522" s="565" t="s">
        <v>14</v>
      </c>
      <c r="E522" s="549" t="s">
        <v>154</v>
      </c>
      <c r="F522" s="566" t="s">
        <v>347</v>
      </c>
      <c r="G522" s="574"/>
      <c r="H522" s="580">
        <v>263292329.45819998</v>
      </c>
      <c r="I522" s="592">
        <v>43647</v>
      </c>
      <c r="J522" s="626">
        <f t="shared" ca="1" si="82"/>
        <v>773</v>
      </c>
      <c r="K522" s="600" t="str">
        <f t="shared" ca="1" si="76"/>
        <v/>
      </c>
      <c r="L522" s="600" t="str">
        <f t="shared" ca="1" si="77"/>
        <v/>
      </c>
      <c r="M522" s="601" t="str">
        <f t="shared" ca="1" si="78"/>
        <v/>
      </c>
      <c r="N522" s="600" t="str">
        <f t="shared" ca="1" si="79"/>
        <v/>
      </c>
      <c r="O522" s="600" t="str">
        <f t="shared" ca="1" si="80"/>
        <v/>
      </c>
      <c r="P522" s="600">
        <f t="shared" ca="1" si="81"/>
        <v>263292329.45819998</v>
      </c>
    </row>
    <row r="523" spans="2:16">
      <c r="B523" s="617">
        <v>10000559</v>
      </c>
      <c r="C523" s="621" t="s">
        <v>10</v>
      </c>
      <c r="D523" s="565" t="s">
        <v>14</v>
      </c>
      <c r="E523" s="549" t="s">
        <v>158</v>
      </c>
      <c r="F523" s="566" t="s">
        <v>350</v>
      </c>
      <c r="G523" s="574"/>
      <c r="H523" s="580">
        <v>580616766.56025004</v>
      </c>
      <c r="I523" s="591">
        <v>43678</v>
      </c>
      <c r="J523" s="626">
        <f t="shared" ca="1" si="82"/>
        <v>742</v>
      </c>
      <c r="K523" s="600" t="str">
        <f t="shared" ca="1" si="76"/>
        <v/>
      </c>
      <c r="L523" s="600" t="str">
        <f t="shared" ca="1" si="77"/>
        <v/>
      </c>
      <c r="M523" s="601" t="str">
        <f t="shared" ca="1" si="78"/>
        <v/>
      </c>
      <c r="N523" s="600" t="str">
        <f t="shared" ca="1" si="79"/>
        <v/>
      </c>
      <c r="O523" s="600" t="str">
        <f t="shared" ca="1" si="80"/>
        <v/>
      </c>
      <c r="P523" s="600">
        <f t="shared" ca="1" si="81"/>
        <v>580616766.56025004</v>
      </c>
    </row>
    <row r="524" spans="2:16">
      <c r="B524" s="617">
        <v>10000559</v>
      </c>
      <c r="C524" s="621" t="s">
        <v>10</v>
      </c>
      <c r="D524" s="565" t="s">
        <v>14</v>
      </c>
      <c r="E524" s="552" t="s">
        <v>162</v>
      </c>
      <c r="F524" s="570" t="s">
        <v>1106</v>
      </c>
      <c r="G524" s="574"/>
      <c r="H524" s="580">
        <v>806810841.79150343</v>
      </c>
      <c r="I524" s="592">
        <v>43709</v>
      </c>
      <c r="J524" s="626">
        <f t="shared" ca="1" si="82"/>
        <v>711</v>
      </c>
      <c r="K524" s="600" t="str">
        <f t="shared" ca="1" si="76"/>
        <v/>
      </c>
      <c r="L524" s="600" t="str">
        <f t="shared" ca="1" si="77"/>
        <v/>
      </c>
      <c r="M524" s="601" t="str">
        <f t="shared" ca="1" si="78"/>
        <v/>
      </c>
      <c r="N524" s="600" t="str">
        <f t="shared" ca="1" si="79"/>
        <v/>
      </c>
      <c r="O524" s="600" t="str">
        <f t="shared" ca="1" si="80"/>
        <v/>
      </c>
      <c r="P524" s="600">
        <f t="shared" ca="1" si="81"/>
        <v>806810841.79150343</v>
      </c>
    </row>
    <row r="525" spans="2:16">
      <c r="B525" s="617">
        <v>10000559</v>
      </c>
      <c r="C525" s="621" t="s">
        <v>10</v>
      </c>
      <c r="D525" s="565" t="s">
        <v>14</v>
      </c>
      <c r="E525" s="549" t="s">
        <v>166</v>
      </c>
      <c r="F525" s="566" t="s">
        <v>1107</v>
      </c>
      <c r="G525" s="574"/>
      <c r="H525" s="580">
        <v>828995553.74580002</v>
      </c>
      <c r="I525" s="592">
        <v>43739</v>
      </c>
      <c r="J525" s="626">
        <f t="shared" ca="1" si="82"/>
        <v>681</v>
      </c>
      <c r="K525" s="600" t="str">
        <f t="shared" ca="1" si="76"/>
        <v/>
      </c>
      <c r="L525" s="600" t="str">
        <f t="shared" ca="1" si="77"/>
        <v/>
      </c>
      <c r="M525" s="601" t="str">
        <f t="shared" ca="1" si="78"/>
        <v/>
      </c>
      <c r="N525" s="600" t="str">
        <f t="shared" ca="1" si="79"/>
        <v/>
      </c>
      <c r="O525" s="600" t="str">
        <f t="shared" ca="1" si="80"/>
        <v/>
      </c>
      <c r="P525" s="600">
        <f t="shared" ca="1" si="81"/>
        <v>828995553.74580002</v>
      </c>
    </row>
    <row r="526" spans="2:16">
      <c r="B526" s="617">
        <v>10000559</v>
      </c>
      <c r="C526" s="621" t="s">
        <v>10</v>
      </c>
      <c r="D526" s="565" t="s">
        <v>14</v>
      </c>
      <c r="E526" s="549" t="s">
        <v>170</v>
      </c>
      <c r="F526" s="566" t="s">
        <v>1108</v>
      </c>
      <c r="G526" s="574"/>
      <c r="H526" s="580">
        <v>77092559.562899992</v>
      </c>
      <c r="I526" s="591">
        <v>43779</v>
      </c>
      <c r="J526" s="626">
        <f t="shared" ca="1" si="82"/>
        <v>641</v>
      </c>
      <c r="K526" s="600" t="str">
        <f t="shared" ca="1" si="76"/>
        <v/>
      </c>
      <c r="L526" s="600" t="str">
        <f t="shared" ca="1" si="77"/>
        <v/>
      </c>
      <c r="M526" s="601" t="str">
        <f t="shared" ca="1" si="78"/>
        <v/>
      </c>
      <c r="N526" s="600" t="str">
        <f t="shared" ca="1" si="79"/>
        <v/>
      </c>
      <c r="O526" s="600" t="str">
        <f t="shared" ca="1" si="80"/>
        <v/>
      </c>
      <c r="P526" s="600">
        <f t="shared" ca="1" si="81"/>
        <v>77092559.562899992</v>
      </c>
    </row>
    <row r="527" spans="2:16">
      <c r="B527" s="617">
        <v>10000559</v>
      </c>
      <c r="C527" s="621" t="s">
        <v>10</v>
      </c>
      <c r="D527" s="565" t="s">
        <v>14</v>
      </c>
      <c r="E527" s="552" t="s">
        <v>174</v>
      </c>
      <c r="F527" s="570" t="s">
        <v>1109</v>
      </c>
      <c r="G527" s="574"/>
      <c r="H527" s="580">
        <v>332924733.57999998</v>
      </c>
      <c r="I527" s="592">
        <v>43814</v>
      </c>
      <c r="J527" s="626">
        <f t="shared" ca="1" si="82"/>
        <v>606</v>
      </c>
      <c r="K527" s="600" t="str">
        <f t="shared" ca="1" si="76"/>
        <v/>
      </c>
      <c r="L527" s="600" t="str">
        <f t="shared" ca="1" si="77"/>
        <v/>
      </c>
      <c r="M527" s="601" t="str">
        <f t="shared" ca="1" si="78"/>
        <v/>
      </c>
      <c r="N527" s="600" t="str">
        <f t="shared" ca="1" si="79"/>
        <v/>
      </c>
      <c r="O527" s="600" t="str">
        <f t="shared" ca="1" si="80"/>
        <v/>
      </c>
      <c r="P527" s="600">
        <f t="shared" ca="1" si="81"/>
        <v>332924733.57999998</v>
      </c>
    </row>
    <row r="528" spans="2:16">
      <c r="B528" s="617">
        <v>10000559</v>
      </c>
      <c r="C528" s="621" t="s">
        <v>10</v>
      </c>
      <c r="D528" s="565" t="s">
        <v>14</v>
      </c>
      <c r="E528" s="549" t="s">
        <v>778</v>
      </c>
      <c r="F528" s="566" t="s">
        <v>1110</v>
      </c>
      <c r="G528" s="574"/>
      <c r="H528" s="580">
        <v>335059721.67150003</v>
      </c>
      <c r="I528" s="592">
        <v>43831</v>
      </c>
      <c r="J528" s="626">
        <f t="shared" ca="1" si="82"/>
        <v>589</v>
      </c>
      <c r="K528" s="600" t="str">
        <f t="shared" ca="1" si="76"/>
        <v/>
      </c>
      <c r="L528" s="600" t="str">
        <f t="shared" ca="1" si="77"/>
        <v/>
      </c>
      <c r="M528" s="601" t="str">
        <f t="shared" ca="1" si="78"/>
        <v/>
      </c>
      <c r="N528" s="600" t="str">
        <f t="shared" ca="1" si="79"/>
        <v/>
      </c>
      <c r="O528" s="600" t="str">
        <f t="shared" ca="1" si="80"/>
        <v/>
      </c>
      <c r="P528" s="600">
        <f t="shared" ca="1" si="81"/>
        <v>335059721.67150003</v>
      </c>
    </row>
    <row r="529" spans="2:16">
      <c r="B529" s="617">
        <v>10000559</v>
      </c>
      <c r="C529" s="621" t="s">
        <v>10</v>
      </c>
      <c r="D529" s="565" t="s">
        <v>14</v>
      </c>
      <c r="E529" s="549" t="s">
        <v>1566</v>
      </c>
      <c r="F529" s="566" t="s">
        <v>1111</v>
      </c>
      <c r="G529" s="574"/>
      <c r="H529" s="580">
        <v>155558848.57376853</v>
      </c>
      <c r="I529" s="591" t="s">
        <v>780</v>
      </c>
      <c r="J529" s="626">
        <f t="shared" ca="1" si="82"/>
        <v>557</v>
      </c>
      <c r="K529" s="600" t="str">
        <f t="shared" ca="1" si="76"/>
        <v/>
      </c>
      <c r="L529" s="600" t="str">
        <f t="shared" ca="1" si="77"/>
        <v/>
      </c>
      <c r="M529" s="601" t="str">
        <f t="shared" ca="1" si="78"/>
        <v/>
      </c>
      <c r="N529" s="600" t="str">
        <f t="shared" ca="1" si="79"/>
        <v/>
      </c>
      <c r="O529" s="600" t="str">
        <f t="shared" ca="1" si="80"/>
        <v/>
      </c>
      <c r="P529" s="600">
        <f t="shared" ca="1" si="81"/>
        <v>155558848.57376853</v>
      </c>
    </row>
    <row r="530" spans="2:16">
      <c r="B530" s="617"/>
      <c r="C530" s="621"/>
      <c r="D530" s="565"/>
      <c r="E530" s="552"/>
      <c r="F530" s="570"/>
      <c r="G530" s="574"/>
      <c r="H530" s="580"/>
      <c r="I530" s="592"/>
      <c r="J530" s="626"/>
      <c r="K530" s="600" t="str">
        <f t="shared" si="76"/>
        <v/>
      </c>
      <c r="L530" s="600" t="str">
        <f t="shared" si="77"/>
        <v/>
      </c>
      <c r="M530" s="601" t="str">
        <f t="shared" si="78"/>
        <v/>
      </c>
      <c r="N530" s="600" t="str">
        <f t="shared" si="79"/>
        <v/>
      </c>
      <c r="O530" s="600" t="str">
        <f t="shared" si="80"/>
        <v/>
      </c>
      <c r="P530" s="600" t="str">
        <f t="shared" si="81"/>
        <v/>
      </c>
    </row>
    <row r="531" spans="2:16">
      <c r="B531" s="617">
        <v>10000561</v>
      </c>
      <c r="C531" s="621" t="s">
        <v>10</v>
      </c>
      <c r="D531" s="565" t="s">
        <v>16</v>
      </c>
      <c r="E531" s="549" t="s">
        <v>404</v>
      </c>
      <c r="F531" s="566" t="s">
        <v>528</v>
      </c>
      <c r="G531" s="574"/>
      <c r="H531" s="580">
        <v>139461014.91</v>
      </c>
      <c r="I531" s="592">
        <v>42573</v>
      </c>
      <c r="J531" s="626">
        <f t="shared" ref="J531:J560" ca="1" si="83">DATEDIF(I531,$J$4,"D")</f>
        <v>1847</v>
      </c>
      <c r="K531" s="600" t="str">
        <f t="shared" ca="1" si="76"/>
        <v/>
      </c>
      <c r="L531" s="600" t="str">
        <f t="shared" ca="1" si="77"/>
        <v/>
      </c>
      <c r="M531" s="601" t="str">
        <f t="shared" ca="1" si="78"/>
        <v/>
      </c>
      <c r="N531" s="600" t="str">
        <f t="shared" ca="1" si="79"/>
        <v/>
      </c>
      <c r="O531" s="600" t="str">
        <f t="shared" ca="1" si="80"/>
        <v/>
      </c>
      <c r="P531" s="600">
        <f t="shared" ca="1" si="81"/>
        <v>139461014.91</v>
      </c>
    </row>
    <row r="532" spans="2:16">
      <c r="B532" s="617">
        <v>10000561</v>
      </c>
      <c r="C532" s="621" t="s">
        <v>10</v>
      </c>
      <c r="D532" s="565" t="s">
        <v>16</v>
      </c>
      <c r="E532" s="549" t="s">
        <v>406</v>
      </c>
      <c r="F532" s="566" t="s">
        <v>35</v>
      </c>
      <c r="G532" s="574"/>
      <c r="H532" s="580">
        <v>373543787.22000003</v>
      </c>
      <c r="I532" s="592">
        <v>42604</v>
      </c>
      <c r="J532" s="626">
        <f t="shared" ca="1" si="83"/>
        <v>1816</v>
      </c>
      <c r="K532" s="600" t="str">
        <f t="shared" ca="1" si="76"/>
        <v/>
      </c>
      <c r="L532" s="600" t="str">
        <f t="shared" ca="1" si="77"/>
        <v/>
      </c>
      <c r="M532" s="601" t="str">
        <f t="shared" ca="1" si="78"/>
        <v/>
      </c>
      <c r="N532" s="600" t="str">
        <f t="shared" ca="1" si="79"/>
        <v/>
      </c>
      <c r="O532" s="600" t="str">
        <f t="shared" ca="1" si="80"/>
        <v/>
      </c>
      <c r="P532" s="600">
        <f t="shared" ca="1" si="81"/>
        <v>373543787.22000003</v>
      </c>
    </row>
    <row r="533" spans="2:16">
      <c r="B533" s="617">
        <v>10000561</v>
      </c>
      <c r="C533" s="621" t="s">
        <v>10</v>
      </c>
      <c r="D533" s="565" t="s">
        <v>16</v>
      </c>
      <c r="E533" s="549" t="s">
        <v>409</v>
      </c>
      <c r="F533" s="566" t="s">
        <v>530</v>
      </c>
      <c r="G533" s="574"/>
      <c r="H533" s="580">
        <v>614317611.39999998</v>
      </c>
      <c r="I533" s="591">
        <v>42635</v>
      </c>
      <c r="J533" s="626">
        <f t="shared" ca="1" si="83"/>
        <v>1785</v>
      </c>
      <c r="K533" s="600" t="str">
        <f t="shared" ca="1" si="76"/>
        <v/>
      </c>
      <c r="L533" s="600" t="str">
        <f t="shared" ca="1" si="77"/>
        <v/>
      </c>
      <c r="M533" s="601" t="str">
        <f t="shared" ca="1" si="78"/>
        <v/>
      </c>
      <c r="N533" s="600" t="str">
        <f t="shared" ca="1" si="79"/>
        <v/>
      </c>
      <c r="O533" s="600" t="str">
        <f t="shared" ca="1" si="80"/>
        <v/>
      </c>
      <c r="P533" s="600">
        <f t="shared" ca="1" si="81"/>
        <v>614317611.39999998</v>
      </c>
    </row>
    <row r="534" spans="2:16">
      <c r="B534" s="617">
        <v>10000561</v>
      </c>
      <c r="C534" s="621" t="s">
        <v>10</v>
      </c>
      <c r="D534" s="565" t="s">
        <v>16</v>
      </c>
      <c r="E534" s="552" t="s">
        <v>411</v>
      </c>
      <c r="F534" s="570" t="s">
        <v>532</v>
      </c>
      <c r="G534" s="574"/>
      <c r="H534" s="580">
        <v>654012439.92999995</v>
      </c>
      <c r="I534" s="592">
        <v>42661</v>
      </c>
      <c r="J534" s="626">
        <f t="shared" ca="1" si="83"/>
        <v>1759</v>
      </c>
      <c r="K534" s="600" t="str">
        <f t="shared" ca="1" si="76"/>
        <v/>
      </c>
      <c r="L534" s="600" t="str">
        <f t="shared" ca="1" si="77"/>
        <v/>
      </c>
      <c r="M534" s="601" t="str">
        <f t="shared" ca="1" si="78"/>
        <v/>
      </c>
      <c r="N534" s="600" t="str">
        <f t="shared" ca="1" si="79"/>
        <v/>
      </c>
      <c r="O534" s="600" t="str">
        <f t="shared" ca="1" si="80"/>
        <v/>
      </c>
      <c r="P534" s="600">
        <f t="shared" ca="1" si="81"/>
        <v>654012439.92999995</v>
      </c>
    </row>
    <row r="535" spans="2:16">
      <c r="B535" s="617">
        <v>10000561</v>
      </c>
      <c r="C535" s="621" t="s">
        <v>10</v>
      </c>
      <c r="D535" s="565" t="s">
        <v>16</v>
      </c>
      <c r="E535" s="549" t="s">
        <v>414</v>
      </c>
      <c r="F535" s="566" t="s">
        <v>534</v>
      </c>
      <c r="G535" s="574"/>
      <c r="H535" s="580">
        <v>454761426.95999998</v>
      </c>
      <c r="I535" s="592">
        <v>42690</v>
      </c>
      <c r="J535" s="626">
        <f t="shared" ca="1" si="83"/>
        <v>1730</v>
      </c>
      <c r="K535" s="600" t="str">
        <f t="shared" ca="1" si="76"/>
        <v/>
      </c>
      <c r="L535" s="600" t="str">
        <f t="shared" ca="1" si="77"/>
        <v/>
      </c>
      <c r="M535" s="601" t="str">
        <f t="shared" ca="1" si="78"/>
        <v/>
      </c>
      <c r="N535" s="600" t="str">
        <f t="shared" ca="1" si="79"/>
        <v/>
      </c>
      <c r="O535" s="600" t="str">
        <f t="shared" ca="1" si="80"/>
        <v/>
      </c>
      <c r="P535" s="600">
        <f t="shared" ca="1" si="81"/>
        <v>454761426.95999998</v>
      </c>
    </row>
    <row r="536" spans="2:16">
      <c r="B536" s="617">
        <v>10000561</v>
      </c>
      <c r="C536" s="621" t="s">
        <v>10</v>
      </c>
      <c r="D536" s="565" t="s">
        <v>16</v>
      </c>
      <c r="E536" s="549" t="s">
        <v>1412</v>
      </c>
      <c r="F536" s="566" t="s">
        <v>535</v>
      </c>
      <c r="G536" s="574"/>
      <c r="H536" s="580">
        <v>608397260.96000004</v>
      </c>
      <c r="I536" s="591">
        <v>42718</v>
      </c>
      <c r="J536" s="626">
        <f t="shared" ca="1" si="83"/>
        <v>1702</v>
      </c>
      <c r="K536" s="600" t="str">
        <f t="shared" ca="1" si="76"/>
        <v/>
      </c>
      <c r="L536" s="600" t="str">
        <f t="shared" ca="1" si="77"/>
        <v/>
      </c>
      <c r="M536" s="601" t="str">
        <f t="shared" ca="1" si="78"/>
        <v/>
      </c>
      <c r="N536" s="600" t="str">
        <f t="shared" ca="1" si="79"/>
        <v/>
      </c>
      <c r="O536" s="600" t="str">
        <f t="shared" ca="1" si="80"/>
        <v/>
      </c>
      <c r="P536" s="600">
        <f t="shared" ca="1" si="81"/>
        <v>608397260.96000004</v>
      </c>
    </row>
    <row r="537" spans="2:16">
      <c r="B537" s="617">
        <v>10000561</v>
      </c>
      <c r="C537" s="621" t="s">
        <v>10</v>
      </c>
      <c r="D537" s="565" t="s">
        <v>16</v>
      </c>
      <c r="E537" s="552" t="s">
        <v>609</v>
      </c>
      <c r="F537" s="570" t="s">
        <v>536</v>
      </c>
      <c r="G537" s="574"/>
      <c r="H537" s="580">
        <v>572777774.11856925</v>
      </c>
      <c r="I537" s="592">
        <v>42750</v>
      </c>
      <c r="J537" s="626">
        <f t="shared" ca="1" si="83"/>
        <v>1670</v>
      </c>
      <c r="K537" s="600" t="str">
        <f t="shared" ca="1" si="76"/>
        <v/>
      </c>
      <c r="L537" s="600" t="str">
        <f t="shared" ca="1" si="77"/>
        <v/>
      </c>
      <c r="M537" s="601" t="str">
        <f t="shared" ca="1" si="78"/>
        <v/>
      </c>
      <c r="N537" s="600" t="str">
        <f t="shared" ca="1" si="79"/>
        <v/>
      </c>
      <c r="O537" s="600" t="str">
        <f t="shared" ca="1" si="80"/>
        <v/>
      </c>
      <c r="P537" s="600">
        <f t="shared" ca="1" si="81"/>
        <v>572777774.11856925</v>
      </c>
    </row>
    <row r="538" spans="2:16">
      <c r="B538" s="617">
        <v>10000561</v>
      </c>
      <c r="C538" s="621" t="s">
        <v>10</v>
      </c>
      <c r="D538" s="565" t="s">
        <v>16</v>
      </c>
      <c r="E538" s="549" t="s">
        <v>611</v>
      </c>
      <c r="F538" s="566" t="s">
        <v>538</v>
      </c>
      <c r="G538" s="574"/>
      <c r="H538" s="580">
        <v>637789470.34000003</v>
      </c>
      <c r="I538" s="592">
        <v>42782</v>
      </c>
      <c r="J538" s="626">
        <f t="shared" ca="1" si="83"/>
        <v>1638</v>
      </c>
      <c r="K538" s="600" t="str">
        <f t="shared" ca="1" si="76"/>
        <v/>
      </c>
      <c r="L538" s="600" t="str">
        <f t="shared" ca="1" si="77"/>
        <v/>
      </c>
      <c r="M538" s="601" t="str">
        <f t="shared" ca="1" si="78"/>
        <v/>
      </c>
      <c r="N538" s="600" t="str">
        <f t="shared" ca="1" si="79"/>
        <v/>
      </c>
      <c r="O538" s="600" t="str">
        <f t="shared" ca="1" si="80"/>
        <v/>
      </c>
      <c r="P538" s="600">
        <f t="shared" ca="1" si="81"/>
        <v>637789470.34000003</v>
      </c>
    </row>
    <row r="539" spans="2:16">
      <c r="B539" s="617">
        <v>10000561</v>
      </c>
      <c r="C539" s="621" t="s">
        <v>10</v>
      </c>
      <c r="D539" s="565" t="s">
        <v>16</v>
      </c>
      <c r="E539" s="549" t="s">
        <v>614</v>
      </c>
      <c r="F539" s="566" t="s">
        <v>43</v>
      </c>
      <c r="G539" s="574"/>
      <c r="H539" s="580">
        <v>614730238.14999998</v>
      </c>
      <c r="I539" s="591">
        <v>42814</v>
      </c>
      <c r="J539" s="626">
        <f t="shared" ca="1" si="83"/>
        <v>1606</v>
      </c>
      <c r="K539" s="600" t="str">
        <f t="shared" ca="1" si="76"/>
        <v/>
      </c>
      <c r="L539" s="600" t="str">
        <f t="shared" ca="1" si="77"/>
        <v/>
      </c>
      <c r="M539" s="601" t="str">
        <f t="shared" ca="1" si="78"/>
        <v/>
      </c>
      <c r="N539" s="600" t="str">
        <f t="shared" ca="1" si="79"/>
        <v/>
      </c>
      <c r="O539" s="600" t="str">
        <f t="shared" ca="1" si="80"/>
        <v/>
      </c>
      <c r="P539" s="600">
        <f t="shared" ca="1" si="81"/>
        <v>614730238.14999998</v>
      </c>
    </row>
    <row r="540" spans="2:16">
      <c r="B540" s="617">
        <v>10000561</v>
      </c>
      <c r="C540" s="621" t="s">
        <v>10</v>
      </c>
      <c r="D540" s="565" t="s">
        <v>16</v>
      </c>
      <c r="E540" s="552" t="s">
        <v>489</v>
      </c>
      <c r="F540" s="570" t="s">
        <v>540</v>
      </c>
      <c r="G540" s="574"/>
      <c r="H540" s="580">
        <v>537017918.64019001</v>
      </c>
      <c r="I540" s="592">
        <v>42847</v>
      </c>
      <c r="J540" s="626">
        <f t="shared" ca="1" si="83"/>
        <v>1573</v>
      </c>
      <c r="K540" s="600" t="str">
        <f t="shared" ca="1" si="76"/>
        <v/>
      </c>
      <c r="L540" s="600" t="str">
        <f t="shared" ca="1" si="77"/>
        <v/>
      </c>
      <c r="M540" s="601" t="str">
        <f t="shared" ca="1" si="78"/>
        <v/>
      </c>
      <c r="N540" s="600" t="str">
        <f t="shared" ca="1" si="79"/>
        <v/>
      </c>
      <c r="O540" s="600" t="str">
        <f t="shared" ca="1" si="80"/>
        <v/>
      </c>
      <c r="P540" s="600">
        <f t="shared" ca="1" si="81"/>
        <v>537017918.64019001</v>
      </c>
    </row>
    <row r="541" spans="2:16">
      <c r="B541" s="617">
        <v>10000561</v>
      </c>
      <c r="C541" s="621" t="s">
        <v>10</v>
      </c>
      <c r="D541" s="565" t="s">
        <v>16</v>
      </c>
      <c r="E541" s="549" t="s">
        <v>490</v>
      </c>
      <c r="F541" s="566" t="s">
        <v>542</v>
      </c>
      <c r="G541" s="574"/>
      <c r="H541" s="580">
        <v>117471687</v>
      </c>
      <c r="I541" s="592">
        <v>42869</v>
      </c>
      <c r="J541" s="626">
        <f t="shared" ca="1" si="83"/>
        <v>1551</v>
      </c>
      <c r="K541" s="600" t="str">
        <f t="shared" ca="1" si="76"/>
        <v/>
      </c>
      <c r="L541" s="600" t="str">
        <f t="shared" ca="1" si="77"/>
        <v/>
      </c>
      <c r="M541" s="601" t="str">
        <f t="shared" ca="1" si="78"/>
        <v/>
      </c>
      <c r="N541" s="600" t="str">
        <f t="shared" ca="1" si="79"/>
        <v/>
      </c>
      <c r="O541" s="600" t="str">
        <f t="shared" ca="1" si="80"/>
        <v/>
      </c>
      <c r="P541" s="600">
        <f t="shared" ca="1" si="81"/>
        <v>117471687</v>
      </c>
    </row>
    <row r="542" spans="2:16">
      <c r="B542" s="617">
        <v>10000561</v>
      </c>
      <c r="C542" s="621" t="s">
        <v>10</v>
      </c>
      <c r="D542" s="565" t="s">
        <v>16</v>
      </c>
      <c r="E542" s="549" t="s">
        <v>560</v>
      </c>
      <c r="F542" s="566" t="s">
        <v>1366</v>
      </c>
      <c r="G542" s="574"/>
      <c r="H542" s="580">
        <v>355367198.48000002</v>
      </c>
      <c r="I542" s="592">
        <v>42896</v>
      </c>
      <c r="J542" s="626">
        <f t="shared" ca="1" si="83"/>
        <v>1524</v>
      </c>
      <c r="K542" s="600" t="str">
        <f t="shared" ca="1" si="76"/>
        <v/>
      </c>
      <c r="L542" s="600" t="str">
        <f t="shared" ca="1" si="77"/>
        <v/>
      </c>
      <c r="M542" s="601" t="str">
        <f t="shared" ca="1" si="78"/>
        <v/>
      </c>
      <c r="N542" s="600" t="str">
        <f t="shared" ca="1" si="79"/>
        <v/>
      </c>
      <c r="O542" s="600" t="str">
        <f t="shared" ca="1" si="80"/>
        <v/>
      </c>
      <c r="P542" s="600">
        <f t="shared" ca="1" si="81"/>
        <v>355367198.48000002</v>
      </c>
    </row>
    <row r="543" spans="2:16">
      <c r="B543" s="617">
        <v>10000561</v>
      </c>
      <c r="C543" s="621" t="s">
        <v>10</v>
      </c>
      <c r="D543" s="565" t="s">
        <v>16</v>
      </c>
      <c r="E543" s="549" t="s">
        <v>562</v>
      </c>
      <c r="F543" s="566" t="s">
        <v>1369</v>
      </c>
      <c r="G543" s="574"/>
      <c r="H543" s="580">
        <v>662856918.68046045</v>
      </c>
      <c r="I543" s="591">
        <v>42931</v>
      </c>
      <c r="J543" s="626">
        <f t="shared" ca="1" si="83"/>
        <v>1489</v>
      </c>
      <c r="K543" s="600" t="str">
        <f t="shared" ca="1" si="76"/>
        <v/>
      </c>
      <c r="L543" s="600" t="str">
        <f t="shared" ca="1" si="77"/>
        <v/>
      </c>
      <c r="M543" s="601" t="str">
        <f t="shared" ca="1" si="78"/>
        <v/>
      </c>
      <c r="N543" s="600" t="str">
        <f t="shared" ca="1" si="79"/>
        <v/>
      </c>
      <c r="O543" s="600" t="str">
        <f t="shared" ca="1" si="80"/>
        <v/>
      </c>
      <c r="P543" s="600">
        <f t="shared" ca="1" si="81"/>
        <v>662856918.68046045</v>
      </c>
    </row>
    <row r="544" spans="2:16">
      <c r="B544" s="617">
        <v>10000561</v>
      </c>
      <c r="C544" s="621" t="s">
        <v>10</v>
      </c>
      <c r="D544" s="565" t="s">
        <v>16</v>
      </c>
      <c r="E544" s="552" t="s">
        <v>494</v>
      </c>
      <c r="F544" s="570" t="s">
        <v>1246</v>
      </c>
      <c r="G544" s="574"/>
      <c r="H544" s="580">
        <f>178203597.388548+36254277.61</f>
        <v>214457874.99854797</v>
      </c>
      <c r="I544" s="592">
        <v>42959</v>
      </c>
      <c r="J544" s="626">
        <f t="shared" ca="1" si="83"/>
        <v>1461</v>
      </c>
      <c r="K544" s="600" t="str">
        <f t="shared" ca="1" si="76"/>
        <v/>
      </c>
      <c r="L544" s="600" t="str">
        <f t="shared" ca="1" si="77"/>
        <v/>
      </c>
      <c r="M544" s="601" t="str">
        <f t="shared" ca="1" si="78"/>
        <v/>
      </c>
      <c r="N544" s="600" t="str">
        <f t="shared" ca="1" si="79"/>
        <v/>
      </c>
      <c r="O544" s="600" t="str">
        <f t="shared" ca="1" si="80"/>
        <v/>
      </c>
      <c r="P544" s="600">
        <f t="shared" ca="1" si="81"/>
        <v>214457874.99854797</v>
      </c>
    </row>
    <row r="545" spans="2:16">
      <c r="B545" s="617">
        <v>10000561</v>
      </c>
      <c r="C545" s="621" t="s">
        <v>10</v>
      </c>
      <c r="D545" s="565" t="s">
        <v>16</v>
      </c>
      <c r="E545" s="549" t="s">
        <v>497</v>
      </c>
      <c r="F545" s="566" t="s">
        <v>1247</v>
      </c>
      <c r="G545" s="574"/>
      <c r="H545" s="580">
        <v>253225114.78</v>
      </c>
      <c r="I545" s="592">
        <v>42990</v>
      </c>
      <c r="J545" s="626">
        <f t="shared" ca="1" si="83"/>
        <v>1430</v>
      </c>
      <c r="K545" s="600" t="str">
        <f t="shared" ca="1" si="76"/>
        <v/>
      </c>
      <c r="L545" s="600" t="str">
        <f t="shared" ca="1" si="77"/>
        <v/>
      </c>
      <c r="M545" s="601" t="str">
        <f t="shared" ca="1" si="78"/>
        <v/>
      </c>
      <c r="N545" s="600" t="str">
        <f t="shared" ca="1" si="79"/>
        <v/>
      </c>
      <c r="O545" s="600" t="str">
        <f t="shared" ca="1" si="80"/>
        <v/>
      </c>
      <c r="P545" s="600">
        <f t="shared" ca="1" si="81"/>
        <v>253225114.78</v>
      </c>
    </row>
    <row r="546" spans="2:16">
      <c r="B546" s="617">
        <v>10000561</v>
      </c>
      <c r="C546" s="621" t="s">
        <v>10</v>
      </c>
      <c r="D546" s="565" t="s">
        <v>16</v>
      </c>
      <c r="E546" s="549" t="s">
        <v>498</v>
      </c>
      <c r="F546" s="566" t="s">
        <v>1248</v>
      </c>
      <c r="G546" s="574"/>
      <c r="H546" s="580">
        <v>207374835</v>
      </c>
      <c r="I546" s="591">
        <v>43023</v>
      </c>
      <c r="J546" s="626">
        <f t="shared" ca="1" si="83"/>
        <v>1397</v>
      </c>
      <c r="K546" s="600" t="str">
        <f t="shared" ca="1" si="76"/>
        <v/>
      </c>
      <c r="L546" s="600" t="str">
        <f t="shared" ca="1" si="77"/>
        <v/>
      </c>
      <c r="M546" s="601" t="str">
        <f t="shared" ca="1" si="78"/>
        <v/>
      </c>
      <c r="N546" s="600" t="str">
        <f t="shared" ca="1" si="79"/>
        <v/>
      </c>
      <c r="O546" s="600" t="str">
        <f t="shared" ca="1" si="80"/>
        <v/>
      </c>
      <c r="P546" s="600">
        <f t="shared" ca="1" si="81"/>
        <v>207374835</v>
      </c>
    </row>
    <row r="547" spans="2:16">
      <c r="B547" s="617">
        <v>10000561</v>
      </c>
      <c r="C547" s="621" t="s">
        <v>10</v>
      </c>
      <c r="D547" s="565" t="s">
        <v>16</v>
      </c>
      <c r="E547" s="552" t="s">
        <v>564</v>
      </c>
      <c r="F547" s="570" t="s">
        <v>1249</v>
      </c>
      <c r="G547" s="574"/>
      <c r="H547" s="580">
        <v>160950431.78</v>
      </c>
      <c r="I547" s="592">
        <v>42990</v>
      </c>
      <c r="J547" s="626">
        <f t="shared" ca="1" si="83"/>
        <v>1430</v>
      </c>
      <c r="K547" s="600" t="str">
        <f t="shared" ca="1" si="76"/>
        <v/>
      </c>
      <c r="L547" s="600" t="str">
        <f t="shared" ca="1" si="77"/>
        <v/>
      </c>
      <c r="M547" s="601" t="str">
        <f t="shared" ca="1" si="78"/>
        <v/>
      </c>
      <c r="N547" s="600" t="str">
        <f t="shared" ca="1" si="79"/>
        <v/>
      </c>
      <c r="O547" s="600" t="str">
        <f t="shared" ca="1" si="80"/>
        <v/>
      </c>
      <c r="P547" s="600">
        <f t="shared" ca="1" si="81"/>
        <v>160950431.78</v>
      </c>
    </row>
    <row r="548" spans="2:16">
      <c r="B548" s="617">
        <v>10000561</v>
      </c>
      <c r="C548" s="621" t="s">
        <v>10</v>
      </c>
      <c r="D548" s="565" t="s">
        <v>16</v>
      </c>
      <c r="E548" s="549" t="s">
        <v>2059</v>
      </c>
      <c r="F548" s="566" t="s">
        <v>1250</v>
      </c>
      <c r="G548" s="574"/>
      <c r="H548" s="580">
        <v>135362039.47</v>
      </c>
      <c r="I548" s="592">
        <v>43085</v>
      </c>
      <c r="J548" s="626">
        <f t="shared" ca="1" si="83"/>
        <v>1335</v>
      </c>
      <c r="K548" s="600" t="str">
        <f t="shared" ca="1" si="76"/>
        <v/>
      </c>
      <c r="L548" s="600" t="str">
        <f t="shared" ca="1" si="77"/>
        <v/>
      </c>
      <c r="M548" s="601" t="str">
        <f t="shared" ca="1" si="78"/>
        <v/>
      </c>
      <c r="N548" s="600" t="str">
        <f t="shared" ca="1" si="79"/>
        <v/>
      </c>
      <c r="O548" s="600" t="str">
        <f t="shared" ca="1" si="80"/>
        <v/>
      </c>
      <c r="P548" s="600">
        <f t="shared" ca="1" si="81"/>
        <v>135362039.47</v>
      </c>
    </row>
    <row r="549" spans="2:16">
      <c r="B549" s="617">
        <v>10000561</v>
      </c>
      <c r="C549" s="621" t="s">
        <v>10</v>
      </c>
      <c r="D549" s="565" t="s">
        <v>16</v>
      </c>
      <c r="E549" s="549" t="s">
        <v>2060</v>
      </c>
      <c r="F549" s="566" t="s">
        <v>1253</v>
      </c>
      <c r="G549" s="574"/>
      <c r="H549" s="580">
        <v>19969669.920000002</v>
      </c>
      <c r="I549" s="591">
        <v>43112</v>
      </c>
      <c r="J549" s="626">
        <f t="shared" ca="1" si="83"/>
        <v>1308</v>
      </c>
      <c r="K549" s="600" t="str">
        <f t="shared" ca="1" si="76"/>
        <v/>
      </c>
      <c r="L549" s="600" t="str">
        <f t="shared" ca="1" si="77"/>
        <v/>
      </c>
      <c r="M549" s="601" t="str">
        <f t="shared" ca="1" si="78"/>
        <v/>
      </c>
      <c r="N549" s="600" t="str">
        <f t="shared" ca="1" si="79"/>
        <v/>
      </c>
      <c r="O549" s="600" t="str">
        <f t="shared" ca="1" si="80"/>
        <v/>
      </c>
      <c r="P549" s="600">
        <f t="shared" ca="1" si="81"/>
        <v>19969669.920000002</v>
      </c>
    </row>
    <row r="550" spans="2:16">
      <c r="B550" s="617">
        <v>10000561</v>
      </c>
      <c r="C550" s="621" t="s">
        <v>10</v>
      </c>
      <c r="D550" s="565" t="s">
        <v>16</v>
      </c>
      <c r="E550" s="552" t="s">
        <v>508</v>
      </c>
      <c r="F550" s="570" t="s">
        <v>1255</v>
      </c>
      <c r="G550" s="574"/>
      <c r="H550" s="580">
        <v>14682769.92</v>
      </c>
      <c r="I550" s="592">
        <v>43205</v>
      </c>
      <c r="J550" s="626">
        <f t="shared" ca="1" si="83"/>
        <v>1215</v>
      </c>
      <c r="K550" s="600" t="str">
        <f t="shared" ca="1" si="76"/>
        <v/>
      </c>
      <c r="L550" s="600" t="str">
        <f t="shared" ca="1" si="77"/>
        <v/>
      </c>
      <c r="M550" s="601" t="str">
        <f t="shared" ca="1" si="78"/>
        <v/>
      </c>
      <c r="N550" s="600" t="str">
        <f t="shared" ca="1" si="79"/>
        <v/>
      </c>
      <c r="O550" s="600" t="str">
        <f t="shared" ca="1" si="80"/>
        <v/>
      </c>
      <c r="P550" s="600">
        <f t="shared" ca="1" si="81"/>
        <v>14682769.92</v>
      </c>
    </row>
    <row r="551" spans="2:16">
      <c r="B551" s="617">
        <v>10000561</v>
      </c>
      <c r="C551" s="621" t="s">
        <v>10</v>
      </c>
      <c r="D551" s="565" t="s">
        <v>16</v>
      </c>
      <c r="E551" s="549" t="s">
        <v>231</v>
      </c>
      <c r="F551" s="566" t="s">
        <v>740</v>
      </c>
      <c r="G551" s="574"/>
      <c r="H551" s="580">
        <v>108269438.07740098</v>
      </c>
      <c r="I551" s="592">
        <v>43250</v>
      </c>
      <c r="J551" s="626">
        <f t="shared" ca="1" si="83"/>
        <v>1170</v>
      </c>
      <c r="K551" s="600" t="str">
        <f t="shared" ca="1" si="76"/>
        <v/>
      </c>
      <c r="L551" s="600" t="str">
        <f t="shared" ca="1" si="77"/>
        <v/>
      </c>
      <c r="M551" s="601" t="str">
        <f t="shared" ca="1" si="78"/>
        <v/>
      </c>
      <c r="N551" s="600" t="str">
        <f t="shared" ca="1" si="79"/>
        <v/>
      </c>
      <c r="O551" s="600" t="str">
        <f t="shared" ca="1" si="80"/>
        <v/>
      </c>
      <c r="P551" s="600">
        <f t="shared" ca="1" si="81"/>
        <v>108269438.07740098</v>
      </c>
    </row>
    <row r="552" spans="2:16">
      <c r="B552" s="617">
        <v>10000561</v>
      </c>
      <c r="C552" s="621" t="s">
        <v>10</v>
      </c>
      <c r="D552" s="565" t="s">
        <v>16</v>
      </c>
      <c r="E552" s="549" t="s">
        <v>234</v>
      </c>
      <c r="F552" s="566" t="s">
        <v>740</v>
      </c>
      <c r="G552" s="574"/>
      <c r="H552" s="580">
        <v>29173685.537107967</v>
      </c>
      <c r="I552" s="592">
        <v>43277</v>
      </c>
      <c r="J552" s="626">
        <f t="shared" ca="1" si="83"/>
        <v>1143</v>
      </c>
      <c r="K552" s="600" t="str">
        <f t="shared" ca="1" si="76"/>
        <v/>
      </c>
      <c r="L552" s="600" t="str">
        <f t="shared" ca="1" si="77"/>
        <v/>
      </c>
      <c r="M552" s="601" t="str">
        <f t="shared" ca="1" si="78"/>
        <v/>
      </c>
      <c r="N552" s="600" t="str">
        <f t="shared" ca="1" si="79"/>
        <v/>
      </c>
      <c r="O552" s="600" t="str">
        <f t="shared" ca="1" si="80"/>
        <v/>
      </c>
      <c r="P552" s="600">
        <f t="shared" ca="1" si="81"/>
        <v>29173685.537107967</v>
      </c>
    </row>
    <row r="553" spans="2:16">
      <c r="B553" s="617">
        <v>10000561</v>
      </c>
      <c r="C553" s="621" t="s">
        <v>10</v>
      </c>
      <c r="D553" s="565" t="s">
        <v>16</v>
      </c>
      <c r="E553" s="549" t="s">
        <v>416</v>
      </c>
      <c r="F553" s="566" t="s">
        <v>741</v>
      </c>
      <c r="G553" s="574"/>
      <c r="H553" s="580">
        <v>253986090.36879066</v>
      </c>
      <c r="I553" s="591">
        <v>43277</v>
      </c>
      <c r="J553" s="626">
        <f t="shared" ca="1" si="83"/>
        <v>1143</v>
      </c>
      <c r="K553" s="600" t="str">
        <f t="shared" ca="1" si="76"/>
        <v/>
      </c>
      <c r="L553" s="600" t="str">
        <f t="shared" ca="1" si="77"/>
        <v/>
      </c>
      <c r="M553" s="601" t="str">
        <f t="shared" ca="1" si="78"/>
        <v/>
      </c>
      <c r="N553" s="600" t="str">
        <f t="shared" ca="1" si="79"/>
        <v/>
      </c>
      <c r="O553" s="600" t="str">
        <f t="shared" ca="1" si="80"/>
        <v/>
      </c>
      <c r="P553" s="600">
        <f t="shared" ca="1" si="81"/>
        <v>253986090.36879066</v>
      </c>
    </row>
    <row r="554" spans="2:16">
      <c r="B554" s="617">
        <v>10000561</v>
      </c>
      <c r="C554" s="621" t="s">
        <v>10</v>
      </c>
      <c r="D554" s="565" t="s">
        <v>16</v>
      </c>
      <c r="E554" s="552" t="s">
        <v>238</v>
      </c>
      <c r="F554" s="570" t="s">
        <v>742</v>
      </c>
      <c r="G554" s="574"/>
      <c r="H554" s="580">
        <v>109521881.74916625</v>
      </c>
      <c r="I554" s="592">
        <v>43307</v>
      </c>
      <c r="J554" s="626">
        <f t="shared" ca="1" si="83"/>
        <v>1113</v>
      </c>
      <c r="K554" s="600" t="str">
        <f t="shared" ca="1" si="76"/>
        <v/>
      </c>
      <c r="L554" s="600" t="str">
        <f t="shared" ca="1" si="77"/>
        <v/>
      </c>
      <c r="M554" s="601" t="str">
        <f t="shared" ca="1" si="78"/>
        <v/>
      </c>
      <c r="N554" s="600" t="str">
        <f t="shared" ca="1" si="79"/>
        <v/>
      </c>
      <c r="O554" s="600" t="str">
        <f t="shared" ca="1" si="80"/>
        <v/>
      </c>
      <c r="P554" s="600">
        <f t="shared" ca="1" si="81"/>
        <v>109521881.74916625</v>
      </c>
    </row>
    <row r="555" spans="2:16">
      <c r="B555" s="617">
        <v>10000561</v>
      </c>
      <c r="C555" s="621" t="s">
        <v>10</v>
      </c>
      <c r="D555" s="565" t="s">
        <v>16</v>
      </c>
      <c r="E555" s="549" t="s">
        <v>240</v>
      </c>
      <c r="F555" s="566" t="s">
        <v>744</v>
      </c>
      <c r="G555" s="574"/>
      <c r="H555" s="580">
        <v>77313925.676203132</v>
      </c>
      <c r="I555" s="592">
        <v>43369</v>
      </c>
      <c r="J555" s="626">
        <f t="shared" ca="1" si="83"/>
        <v>1051</v>
      </c>
      <c r="K555" s="600" t="str">
        <f t="shared" ca="1" si="76"/>
        <v/>
      </c>
      <c r="L555" s="600" t="str">
        <f t="shared" ca="1" si="77"/>
        <v/>
      </c>
      <c r="M555" s="601" t="str">
        <f t="shared" ca="1" si="78"/>
        <v/>
      </c>
      <c r="N555" s="600" t="str">
        <f t="shared" ca="1" si="79"/>
        <v/>
      </c>
      <c r="O555" s="600" t="str">
        <f t="shared" ca="1" si="80"/>
        <v/>
      </c>
      <c r="P555" s="600">
        <f t="shared" ca="1" si="81"/>
        <v>77313925.676203132</v>
      </c>
    </row>
    <row r="556" spans="2:16">
      <c r="B556" s="617">
        <v>10000561</v>
      </c>
      <c r="C556" s="621" t="s">
        <v>10</v>
      </c>
      <c r="D556" s="565" t="s">
        <v>16</v>
      </c>
      <c r="E556" s="549" t="s">
        <v>145</v>
      </c>
      <c r="F556" s="566" t="s">
        <v>286</v>
      </c>
      <c r="G556" s="574"/>
      <c r="H556" s="580">
        <v>176511270.35340163</v>
      </c>
      <c r="I556" s="591">
        <v>43546</v>
      </c>
      <c r="J556" s="626">
        <f t="shared" ca="1" si="83"/>
        <v>874</v>
      </c>
      <c r="K556" s="600" t="str">
        <f t="shared" ca="1" si="76"/>
        <v/>
      </c>
      <c r="L556" s="600" t="str">
        <f t="shared" ca="1" si="77"/>
        <v/>
      </c>
      <c r="M556" s="601" t="str">
        <f t="shared" ca="1" si="78"/>
        <v/>
      </c>
      <c r="N556" s="600" t="str">
        <f t="shared" ca="1" si="79"/>
        <v/>
      </c>
      <c r="O556" s="600" t="str">
        <f t="shared" ca="1" si="80"/>
        <v/>
      </c>
      <c r="P556" s="600">
        <f t="shared" ca="1" si="81"/>
        <v>176511270.35340163</v>
      </c>
    </row>
    <row r="557" spans="2:16">
      <c r="B557" s="617">
        <v>10000561</v>
      </c>
      <c r="C557" s="621" t="s">
        <v>10</v>
      </c>
      <c r="D557" s="565" t="s">
        <v>16</v>
      </c>
      <c r="E557" s="552" t="s">
        <v>148</v>
      </c>
      <c r="F557" s="570" t="s">
        <v>775</v>
      </c>
      <c r="G557" s="574"/>
      <c r="H557" s="580">
        <v>160895539.65626529</v>
      </c>
      <c r="I557" s="592">
        <v>43605</v>
      </c>
      <c r="J557" s="626">
        <f t="shared" ca="1" si="83"/>
        <v>815</v>
      </c>
      <c r="K557" s="600" t="str">
        <f t="shared" ca="1" si="76"/>
        <v/>
      </c>
      <c r="L557" s="600" t="str">
        <f t="shared" ca="1" si="77"/>
        <v/>
      </c>
      <c r="M557" s="601" t="str">
        <f t="shared" ca="1" si="78"/>
        <v/>
      </c>
      <c r="N557" s="600" t="str">
        <f t="shared" ca="1" si="79"/>
        <v/>
      </c>
      <c r="O557" s="600" t="str">
        <f t="shared" ca="1" si="80"/>
        <v/>
      </c>
      <c r="P557" s="600">
        <f t="shared" ca="1" si="81"/>
        <v>160895539.65626529</v>
      </c>
    </row>
    <row r="558" spans="2:16">
      <c r="B558" s="617">
        <v>10000561</v>
      </c>
      <c r="C558" s="621" t="s">
        <v>10</v>
      </c>
      <c r="D558" s="565" t="s">
        <v>16</v>
      </c>
      <c r="E558" s="549" t="s">
        <v>154</v>
      </c>
      <c r="F558" s="566" t="s">
        <v>777</v>
      </c>
      <c r="G558" s="574"/>
      <c r="H558" s="580">
        <v>73103933.186978802</v>
      </c>
      <c r="I558" s="592">
        <v>43631</v>
      </c>
      <c r="J558" s="626">
        <f t="shared" ca="1" si="83"/>
        <v>789</v>
      </c>
      <c r="K558" s="600" t="str">
        <f t="shared" ca="1" si="76"/>
        <v/>
      </c>
      <c r="L558" s="600" t="str">
        <f t="shared" ca="1" si="77"/>
        <v/>
      </c>
      <c r="M558" s="601" t="str">
        <f t="shared" ca="1" si="78"/>
        <v/>
      </c>
      <c r="N558" s="600" t="str">
        <f t="shared" ca="1" si="79"/>
        <v/>
      </c>
      <c r="O558" s="600" t="str">
        <f t="shared" ca="1" si="80"/>
        <v/>
      </c>
      <c r="P558" s="600">
        <f t="shared" ca="1" si="81"/>
        <v>73103933.186978802</v>
      </c>
    </row>
    <row r="559" spans="2:16">
      <c r="B559" s="617">
        <v>10000561</v>
      </c>
      <c r="C559" s="621" t="s">
        <v>10</v>
      </c>
      <c r="D559" s="565" t="s">
        <v>16</v>
      </c>
      <c r="E559" s="549" t="s">
        <v>162</v>
      </c>
      <c r="F559" s="566" t="s">
        <v>74</v>
      </c>
      <c r="G559" s="574"/>
      <c r="H559" s="580">
        <v>9774320.1731070001</v>
      </c>
      <c r="I559" s="591">
        <v>43760</v>
      </c>
      <c r="J559" s="626">
        <f t="shared" ca="1" si="83"/>
        <v>660</v>
      </c>
      <c r="K559" s="600" t="str">
        <f t="shared" ref="K559:K622" ca="1" si="84">IF(AND(J559&gt;=16,J559&lt;=30),H559,"")</f>
        <v/>
      </c>
      <c r="L559" s="600" t="str">
        <f t="shared" ref="L559:L622" ca="1" si="85">IF(AND(J559&gt;=31,J559&lt;=60),H559,"")</f>
        <v/>
      </c>
      <c r="M559" s="601" t="str">
        <f t="shared" ref="M559:M622" ca="1" si="86">IF(AND(J559&gt;=61,J559&lt;=90),H559,"")</f>
        <v/>
      </c>
      <c r="N559" s="600" t="str">
        <f t="shared" ref="N559:N622" ca="1" si="87">IF(AND(J559&gt;=91,J559&lt;=180),H559,"")</f>
        <v/>
      </c>
      <c r="O559" s="600" t="str">
        <f t="shared" ref="O559:O622" ca="1" si="88">IF(AND(J559&gt;=181,J559&lt;=360),H559,"")</f>
        <v/>
      </c>
      <c r="P559" s="600">
        <f t="shared" ref="P559:P622" ca="1" si="89">IF(J559&gt;=360,H559,"")</f>
        <v>9774320.1731070001</v>
      </c>
    </row>
    <row r="560" spans="2:16">
      <c r="B560" s="617">
        <v>10000561</v>
      </c>
      <c r="C560" s="621" t="s">
        <v>10</v>
      </c>
      <c r="D560" s="565" t="s">
        <v>16</v>
      </c>
      <c r="E560" s="552" t="s">
        <v>181</v>
      </c>
      <c r="F560" s="570" t="s">
        <v>296</v>
      </c>
      <c r="G560" s="574"/>
      <c r="H560" s="580">
        <v>24526689.867841873</v>
      </c>
      <c r="I560" s="592">
        <v>43875</v>
      </c>
      <c r="J560" s="626">
        <f t="shared" ca="1" si="83"/>
        <v>545</v>
      </c>
      <c r="K560" s="600" t="str">
        <f t="shared" ca="1" si="84"/>
        <v/>
      </c>
      <c r="L560" s="600" t="str">
        <f t="shared" ca="1" si="85"/>
        <v/>
      </c>
      <c r="M560" s="601" t="str">
        <f t="shared" ca="1" si="86"/>
        <v/>
      </c>
      <c r="N560" s="600" t="str">
        <f t="shared" ca="1" si="87"/>
        <v/>
      </c>
      <c r="O560" s="600" t="str">
        <f t="shared" ca="1" si="88"/>
        <v/>
      </c>
      <c r="P560" s="600">
        <f t="shared" ca="1" si="89"/>
        <v>24526689.867841873</v>
      </c>
    </row>
    <row r="561" spans="2:16">
      <c r="B561" s="617"/>
      <c r="C561" s="621"/>
      <c r="D561" s="565"/>
      <c r="E561" s="549"/>
      <c r="F561" s="566"/>
      <c r="G561" s="574"/>
      <c r="H561" s="580"/>
      <c r="I561" s="592"/>
      <c r="J561" s="626"/>
      <c r="K561" s="600" t="str">
        <f t="shared" si="84"/>
        <v/>
      </c>
      <c r="L561" s="600" t="str">
        <f t="shared" si="85"/>
        <v/>
      </c>
      <c r="M561" s="601" t="str">
        <f t="shared" si="86"/>
        <v/>
      </c>
      <c r="N561" s="600" t="str">
        <f t="shared" si="87"/>
        <v/>
      </c>
      <c r="O561" s="600" t="str">
        <f t="shared" si="88"/>
        <v/>
      </c>
      <c r="P561" s="600" t="str">
        <f t="shared" si="89"/>
        <v/>
      </c>
    </row>
    <row r="562" spans="2:16">
      <c r="B562" s="617"/>
      <c r="C562" s="621"/>
      <c r="D562" s="565"/>
      <c r="E562" s="549"/>
      <c r="F562" s="566"/>
      <c r="G562" s="574"/>
      <c r="H562" s="580"/>
      <c r="I562" s="592"/>
      <c r="J562" s="626"/>
      <c r="K562" s="600" t="str">
        <f t="shared" si="84"/>
        <v/>
      </c>
      <c r="L562" s="600" t="str">
        <f t="shared" si="85"/>
        <v/>
      </c>
      <c r="M562" s="601" t="str">
        <f t="shared" si="86"/>
        <v/>
      </c>
      <c r="N562" s="600" t="str">
        <f t="shared" si="87"/>
        <v/>
      </c>
      <c r="O562" s="600" t="str">
        <f t="shared" si="88"/>
        <v/>
      </c>
      <c r="P562" s="600" t="str">
        <f t="shared" si="89"/>
        <v/>
      </c>
    </row>
    <row r="563" spans="2:16">
      <c r="B563" s="617"/>
      <c r="C563" s="621"/>
      <c r="D563" s="565"/>
      <c r="E563" s="549"/>
      <c r="F563" s="566"/>
      <c r="G563" s="574"/>
      <c r="H563" s="580"/>
      <c r="I563" s="591"/>
      <c r="J563" s="626"/>
      <c r="K563" s="600" t="str">
        <f t="shared" si="84"/>
        <v/>
      </c>
      <c r="L563" s="600" t="str">
        <f t="shared" si="85"/>
        <v/>
      </c>
      <c r="M563" s="601" t="str">
        <f t="shared" si="86"/>
        <v/>
      </c>
      <c r="N563" s="600" t="str">
        <f t="shared" si="87"/>
        <v/>
      </c>
      <c r="O563" s="600" t="str">
        <f t="shared" si="88"/>
        <v/>
      </c>
      <c r="P563" s="600" t="str">
        <f t="shared" si="89"/>
        <v/>
      </c>
    </row>
    <row r="564" spans="2:16">
      <c r="B564" s="617">
        <v>10000556</v>
      </c>
      <c r="C564" s="621" t="s">
        <v>10</v>
      </c>
      <c r="D564" s="565" t="s">
        <v>17</v>
      </c>
      <c r="E564" s="552" t="s">
        <v>355</v>
      </c>
      <c r="F564" s="570" t="s">
        <v>2108</v>
      </c>
      <c r="G564" s="574"/>
      <c r="H564" s="580">
        <v>2950744372.2300992</v>
      </c>
      <c r="I564" s="592">
        <v>43250</v>
      </c>
      <c r="J564" s="626">
        <f t="shared" ref="J564:J577" ca="1" si="90">DATEDIF(I564,$J$4,"D")</f>
        <v>1170</v>
      </c>
      <c r="K564" s="600" t="str">
        <f t="shared" ca="1" si="84"/>
        <v/>
      </c>
      <c r="L564" s="600" t="str">
        <f t="shared" ca="1" si="85"/>
        <v/>
      </c>
      <c r="M564" s="601" t="str">
        <f t="shared" ca="1" si="86"/>
        <v/>
      </c>
      <c r="N564" s="600" t="str">
        <f t="shared" ca="1" si="87"/>
        <v/>
      </c>
      <c r="O564" s="600" t="str">
        <f t="shared" ca="1" si="88"/>
        <v/>
      </c>
      <c r="P564" s="600">
        <f t="shared" ca="1" si="89"/>
        <v>2950744372.2300992</v>
      </c>
    </row>
    <row r="565" spans="2:16">
      <c r="B565" s="617">
        <v>10000556</v>
      </c>
      <c r="C565" s="621" t="s">
        <v>10</v>
      </c>
      <c r="D565" s="565" t="s">
        <v>17</v>
      </c>
      <c r="E565" s="549" t="s">
        <v>234</v>
      </c>
      <c r="F565" s="566" t="s">
        <v>2109</v>
      </c>
      <c r="G565" s="574"/>
      <c r="H565" s="580">
        <v>2326907449.2607574</v>
      </c>
      <c r="I565" s="592">
        <v>43271</v>
      </c>
      <c r="J565" s="626">
        <f t="shared" ca="1" si="90"/>
        <v>1149</v>
      </c>
      <c r="K565" s="600" t="str">
        <f t="shared" ca="1" si="84"/>
        <v/>
      </c>
      <c r="L565" s="600" t="str">
        <f t="shared" ca="1" si="85"/>
        <v/>
      </c>
      <c r="M565" s="601" t="str">
        <f t="shared" ca="1" si="86"/>
        <v/>
      </c>
      <c r="N565" s="600" t="str">
        <f t="shared" ca="1" si="87"/>
        <v/>
      </c>
      <c r="O565" s="600" t="str">
        <f t="shared" ca="1" si="88"/>
        <v/>
      </c>
      <c r="P565" s="600">
        <f t="shared" ca="1" si="89"/>
        <v>2326907449.2607574</v>
      </c>
    </row>
    <row r="566" spans="2:16">
      <c r="B566" s="617">
        <v>10000556</v>
      </c>
      <c r="C566" s="621" t="s">
        <v>10</v>
      </c>
      <c r="D566" s="565" t="s">
        <v>17</v>
      </c>
      <c r="E566" s="549" t="s">
        <v>416</v>
      </c>
      <c r="F566" s="566" t="s">
        <v>2110</v>
      </c>
      <c r="G566" s="574"/>
      <c r="H566" s="580">
        <v>2353613529.9242945</v>
      </c>
      <c r="I566" s="591">
        <v>43301</v>
      </c>
      <c r="J566" s="626">
        <f t="shared" ca="1" si="90"/>
        <v>1119</v>
      </c>
      <c r="K566" s="600" t="str">
        <f t="shared" ca="1" si="84"/>
        <v/>
      </c>
      <c r="L566" s="600" t="str">
        <f t="shared" ca="1" si="85"/>
        <v/>
      </c>
      <c r="M566" s="601" t="str">
        <f t="shared" ca="1" si="86"/>
        <v/>
      </c>
      <c r="N566" s="600" t="str">
        <f t="shared" ca="1" si="87"/>
        <v/>
      </c>
      <c r="O566" s="600" t="str">
        <f t="shared" ca="1" si="88"/>
        <v/>
      </c>
      <c r="P566" s="600">
        <f t="shared" ca="1" si="89"/>
        <v>2353613529.9242945</v>
      </c>
    </row>
    <row r="567" spans="2:16">
      <c r="B567" s="617">
        <v>10000556</v>
      </c>
      <c r="C567" s="621" t="s">
        <v>10</v>
      </c>
      <c r="D567" s="565" t="s">
        <v>17</v>
      </c>
      <c r="E567" s="552" t="s">
        <v>238</v>
      </c>
      <c r="F567" s="570" t="s">
        <v>2111</v>
      </c>
      <c r="G567" s="574"/>
      <c r="H567" s="580">
        <f>405714880.528342-251193352.56</f>
        <v>154521527.96834201</v>
      </c>
      <c r="I567" s="592">
        <v>43340</v>
      </c>
      <c r="J567" s="626">
        <f t="shared" ca="1" si="90"/>
        <v>1080</v>
      </c>
      <c r="K567" s="600" t="str">
        <f t="shared" ca="1" si="84"/>
        <v/>
      </c>
      <c r="L567" s="600" t="str">
        <f t="shared" ca="1" si="85"/>
        <v/>
      </c>
      <c r="M567" s="601" t="str">
        <f t="shared" ca="1" si="86"/>
        <v/>
      </c>
      <c r="N567" s="600" t="str">
        <f t="shared" ca="1" si="87"/>
        <v/>
      </c>
      <c r="O567" s="600" t="str">
        <f t="shared" ca="1" si="88"/>
        <v/>
      </c>
      <c r="P567" s="600">
        <f t="shared" ca="1" si="89"/>
        <v>154521527.96834201</v>
      </c>
    </row>
    <row r="568" spans="2:16">
      <c r="B568" s="617">
        <v>10000556</v>
      </c>
      <c r="C568" s="621" t="s">
        <v>10</v>
      </c>
      <c r="D568" s="565" t="s">
        <v>17</v>
      </c>
      <c r="E568" s="549" t="s">
        <v>243</v>
      </c>
      <c r="F568" s="566" t="s">
        <v>2112</v>
      </c>
      <c r="G568" s="574"/>
      <c r="H568" s="580">
        <v>610215850.66665304</v>
      </c>
      <c r="I568" s="592">
        <v>43401</v>
      </c>
      <c r="J568" s="626">
        <f t="shared" ca="1" si="90"/>
        <v>1019</v>
      </c>
      <c r="K568" s="600" t="str">
        <f t="shared" ca="1" si="84"/>
        <v/>
      </c>
      <c r="L568" s="600" t="str">
        <f t="shared" ca="1" si="85"/>
        <v/>
      </c>
      <c r="M568" s="601" t="str">
        <f t="shared" ca="1" si="86"/>
        <v/>
      </c>
      <c r="N568" s="600" t="str">
        <f t="shared" ca="1" si="87"/>
        <v/>
      </c>
      <c r="O568" s="600" t="str">
        <f t="shared" ca="1" si="88"/>
        <v/>
      </c>
      <c r="P568" s="600">
        <f t="shared" ca="1" si="89"/>
        <v>610215850.66665304</v>
      </c>
    </row>
    <row r="569" spans="2:16">
      <c r="B569" s="617">
        <v>10000556</v>
      </c>
      <c r="C569" s="621" t="s">
        <v>10</v>
      </c>
      <c r="D569" s="565" t="s">
        <v>17</v>
      </c>
      <c r="E569" s="549" t="s">
        <v>246</v>
      </c>
      <c r="F569" s="566" t="s">
        <v>2113</v>
      </c>
      <c r="G569" s="574"/>
      <c r="H569" s="580">
        <v>241871410.77434999</v>
      </c>
      <c r="I569" s="591">
        <v>43432</v>
      </c>
      <c r="J569" s="626">
        <f t="shared" ca="1" si="90"/>
        <v>988</v>
      </c>
      <c r="K569" s="600" t="str">
        <f t="shared" ca="1" si="84"/>
        <v/>
      </c>
      <c r="L569" s="600" t="str">
        <f t="shared" ca="1" si="85"/>
        <v/>
      </c>
      <c r="M569" s="601" t="str">
        <f t="shared" ca="1" si="86"/>
        <v/>
      </c>
      <c r="N569" s="600" t="str">
        <f t="shared" ca="1" si="87"/>
        <v/>
      </c>
      <c r="O569" s="600" t="str">
        <f t="shared" ca="1" si="88"/>
        <v/>
      </c>
      <c r="P569" s="600">
        <f t="shared" ca="1" si="89"/>
        <v>241871410.77434999</v>
      </c>
    </row>
    <row r="570" spans="2:16">
      <c r="B570" s="617">
        <v>10000556</v>
      </c>
      <c r="C570" s="621" t="s">
        <v>10</v>
      </c>
      <c r="D570" s="565" t="s">
        <v>17</v>
      </c>
      <c r="E570" s="552" t="s">
        <v>522</v>
      </c>
      <c r="F570" s="570" t="s">
        <v>2114</v>
      </c>
      <c r="G570" s="574"/>
      <c r="H570" s="580">
        <v>354639844.80955017</v>
      </c>
      <c r="I570" s="592">
        <v>43462</v>
      </c>
      <c r="J570" s="626">
        <f t="shared" ca="1" si="90"/>
        <v>958</v>
      </c>
      <c r="K570" s="600" t="str">
        <f t="shared" ca="1" si="84"/>
        <v/>
      </c>
      <c r="L570" s="600" t="str">
        <f t="shared" ca="1" si="85"/>
        <v/>
      </c>
      <c r="M570" s="601" t="str">
        <f t="shared" ca="1" si="86"/>
        <v/>
      </c>
      <c r="N570" s="600" t="str">
        <f t="shared" ca="1" si="87"/>
        <v/>
      </c>
      <c r="O570" s="600" t="str">
        <f t="shared" ca="1" si="88"/>
        <v/>
      </c>
      <c r="P570" s="600">
        <f t="shared" ca="1" si="89"/>
        <v>354639844.80955017</v>
      </c>
    </row>
    <row r="571" spans="2:16">
      <c r="B571" s="617">
        <v>10000556</v>
      </c>
      <c r="C571" s="621" t="s">
        <v>10</v>
      </c>
      <c r="D571" s="565" t="s">
        <v>17</v>
      </c>
      <c r="E571" s="549" t="s">
        <v>250</v>
      </c>
      <c r="F571" s="566" t="s">
        <v>255</v>
      </c>
      <c r="G571" s="574"/>
      <c r="H571" s="580">
        <v>102417286.22</v>
      </c>
      <c r="I571" s="592">
        <v>43493</v>
      </c>
      <c r="J571" s="626">
        <f t="shared" ca="1" si="90"/>
        <v>927</v>
      </c>
      <c r="K571" s="600" t="str">
        <f t="shared" ca="1" si="84"/>
        <v/>
      </c>
      <c r="L571" s="600" t="str">
        <f t="shared" ca="1" si="85"/>
        <v/>
      </c>
      <c r="M571" s="601" t="str">
        <f t="shared" ca="1" si="86"/>
        <v/>
      </c>
      <c r="N571" s="600" t="str">
        <f t="shared" ca="1" si="87"/>
        <v/>
      </c>
      <c r="O571" s="600" t="str">
        <f t="shared" ca="1" si="88"/>
        <v/>
      </c>
      <c r="P571" s="600">
        <f t="shared" ca="1" si="89"/>
        <v>102417286.22</v>
      </c>
    </row>
    <row r="572" spans="2:16">
      <c r="B572" s="617">
        <v>10000556</v>
      </c>
      <c r="C572" s="621" t="s">
        <v>10</v>
      </c>
      <c r="D572" s="565" t="s">
        <v>17</v>
      </c>
      <c r="E572" s="549" t="s">
        <v>139</v>
      </c>
      <c r="F572" s="566" t="s">
        <v>258</v>
      </c>
      <c r="G572" s="574"/>
      <c r="H572" s="580">
        <v>255944898.63</v>
      </c>
      <c r="I572" s="592">
        <v>43524</v>
      </c>
      <c r="J572" s="626">
        <f t="shared" ca="1" si="90"/>
        <v>896</v>
      </c>
      <c r="K572" s="600" t="str">
        <f t="shared" ca="1" si="84"/>
        <v/>
      </c>
      <c r="L572" s="600" t="str">
        <f t="shared" ca="1" si="85"/>
        <v/>
      </c>
      <c r="M572" s="601" t="str">
        <f t="shared" ca="1" si="86"/>
        <v/>
      </c>
      <c r="N572" s="600" t="str">
        <f t="shared" ca="1" si="87"/>
        <v/>
      </c>
      <c r="O572" s="600" t="str">
        <f t="shared" ca="1" si="88"/>
        <v/>
      </c>
      <c r="P572" s="600">
        <f t="shared" ca="1" si="89"/>
        <v>255944898.63</v>
      </c>
    </row>
    <row r="573" spans="2:16">
      <c r="B573" s="617">
        <v>10000556</v>
      </c>
      <c r="C573" s="621" t="s">
        <v>10</v>
      </c>
      <c r="D573" s="565" t="s">
        <v>17</v>
      </c>
      <c r="E573" s="549" t="s">
        <v>142</v>
      </c>
      <c r="F573" s="566" t="s">
        <v>2116</v>
      </c>
      <c r="G573" s="574"/>
      <c r="H573" s="580">
        <v>166434060.86190155</v>
      </c>
      <c r="I573" s="591">
        <v>43552</v>
      </c>
      <c r="J573" s="626">
        <f t="shared" ca="1" si="90"/>
        <v>868</v>
      </c>
      <c r="K573" s="600" t="str">
        <f t="shared" ca="1" si="84"/>
        <v/>
      </c>
      <c r="L573" s="600" t="str">
        <f t="shared" ca="1" si="85"/>
        <v/>
      </c>
      <c r="M573" s="601" t="str">
        <f t="shared" ca="1" si="86"/>
        <v/>
      </c>
      <c r="N573" s="600" t="str">
        <f t="shared" ca="1" si="87"/>
        <v/>
      </c>
      <c r="O573" s="600" t="str">
        <f t="shared" ca="1" si="88"/>
        <v/>
      </c>
      <c r="P573" s="600">
        <f t="shared" ca="1" si="89"/>
        <v>166434060.86190155</v>
      </c>
    </row>
    <row r="574" spans="2:16">
      <c r="B574" s="617">
        <v>10000556</v>
      </c>
      <c r="C574" s="621" t="s">
        <v>10</v>
      </c>
      <c r="D574" s="565" t="s">
        <v>17</v>
      </c>
      <c r="E574" s="552" t="s">
        <v>154</v>
      </c>
      <c r="F574" s="570" t="s">
        <v>263</v>
      </c>
      <c r="G574" s="574"/>
      <c r="H574" s="580">
        <v>34562376.736692004</v>
      </c>
      <c r="I574" s="592">
        <v>43665</v>
      </c>
      <c r="J574" s="626">
        <f t="shared" ca="1" si="90"/>
        <v>755</v>
      </c>
      <c r="K574" s="600" t="str">
        <f t="shared" ca="1" si="84"/>
        <v/>
      </c>
      <c r="L574" s="600" t="str">
        <f t="shared" ca="1" si="85"/>
        <v/>
      </c>
      <c r="M574" s="601" t="str">
        <f t="shared" ca="1" si="86"/>
        <v/>
      </c>
      <c r="N574" s="600" t="str">
        <f t="shared" ca="1" si="87"/>
        <v/>
      </c>
      <c r="O574" s="600" t="str">
        <f t="shared" ca="1" si="88"/>
        <v/>
      </c>
      <c r="P574" s="600">
        <f t="shared" ca="1" si="89"/>
        <v>34562376.736692004</v>
      </c>
    </row>
    <row r="575" spans="2:16">
      <c r="B575" s="617">
        <v>10000556</v>
      </c>
      <c r="C575" s="621" t="s">
        <v>10</v>
      </c>
      <c r="D575" s="565" t="s">
        <v>17</v>
      </c>
      <c r="E575" s="549" t="s">
        <v>158</v>
      </c>
      <c r="F575" s="566" t="s">
        <v>265</v>
      </c>
      <c r="G575" s="574"/>
      <c r="H575" s="580">
        <v>105362981.89199999</v>
      </c>
      <c r="I575" s="592">
        <v>43678</v>
      </c>
      <c r="J575" s="626">
        <f t="shared" ca="1" si="90"/>
        <v>742</v>
      </c>
      <c r="K575" s="600" t="str">
        <f t="shared" ca="1" si="84"/>
        <v/>
      </c>
      <c r="L575" s="600" t="str">
        <f t="shared" ca="1" si="85"/>
        <v/>
      </c>
      <c r="M575" s="601" t="str">
        <f t="shared" ca="1" si="86"/>
        <v/>
      </c>
      <c r="N575" s="600" t="str">
        <f t="shared" ca="1" si="87"/>
        <v/>
      </c>
      <c r="O575" s="600" t="str">
        <f t="shared" ca="1" si="88"/>
        <v/>
      </c>
      <c r="P575" s="600">
        <f t="shared" ca="1" si="89"/>
        <v>105362981.89199999</v>
      </c>
    </row>
    <row r="576" spans="2:16">
      <c r="B576" s="617">
        <v>10000556</v>
      </c>
      <c r="C576" s="621" t="s">
        <v>10</v>
      </c>
      <c r="D576" s="565" t="s">
        <v>17</v>
      </c>
      <c r="E576" s="549" t="s">
        <v>162</v>
      </c>
      <c r="F576" s="566" t="s">
        <v>267</v>
      </c>
      <c r="G576" s="574"/>
      <c r="H576" s="580">
        <v>319791931.90485448</v>
      </c>
      <c r="I576" s="591">
        <v>43709</v>
      </c>
      <c r="J576" s="626">
        <f t="shared" ca="1" si="90"/>
        <v>711</v>
      </c>
      <c r="K576" s="600" t="str">
        <f t="shared" ca="1" si="84"/>
        <v/>
      </c>
      <c r="L576" s="600" t="str">
        <f t="shared" ca="1" si="85"/>
        <v/>
      </c>
      <c r="M576" s="601" t="str">
        <f t="shared" ca="1" si="86"/>
        <v/>
      </c>
      <c r="N576" s="600" t="str">
        <f t="shared" ca="1" si="87"/>
        <v/>
      </c>
      <c r="O576" s="600" t="str">
        <f t="shared" ca="1" si="88"/>
        <v/>
      </c>
      <c r="P576" s="600">
        <f t="shared" ca="1" si="89"/>
        <v>319791931.90485448</v>
      </c>
    </row>
    <row r="577" spans="2:16">
      <c r="B577" s="617">
        <v>10000556</v>
      </c>
      <c r="C577" s="621" t="s">
        <v>10</v>
      </c>
      <c r="D577" s="565" t="s">
        <v>17</v>
      </c>
      <c r="E577" s="552" t="s">
        <v>166</v>
      </c>
      <c r="F577" s="570" t="s">
        <v>268</v>
      </c>
      <c r="G577" s="574"/>
      <c r="H577" s="580">
        <v>463983437.87249994</v>
      </c>
      <c r="I577" s="592">
        <v>43739</v>
      </c>
      <c r="J577" s="626">
        <f t="shared" ca="1" si="90"/>
        <v>681</v>
      </c>
      <c r="K577" s="600" t="str">
        <f t="shared" ca="1" si="84"/>
        <v/>
      </c>
      <c r="L577" s="600" t="str">
        <f t="shared" ca="1" si="85"/>
        <v/>
      </c>
      <c r="M577" s="601" t="str">
        <f t="shared" ca="1" si="86"/>
        <v/>
      </c>
      <c r="N577" s="600" t="str">
        <f t="shared" ca="1" si="87"/>
        <v/>
      </c>
      <c r="O577" s="600" t="str">
        <f t="shared" ca="1" si="88"/>
        <v/>
      </c>
      <c r="P577" s="600">
        <f t="shared" ca="1" si="89"/>
        <v>463983437.87249994</v>
      </c>
    </row>
    <row r="578" spans="2:16">
      <c r="B578" s="617"/>
      <c r="C578" s="621"/>
      <c r="D578" s="565"/>
      <c r="E578" s="549"/>
      <c r="F578" s="566"/>
      <c r="G578" s="574"/>
      <c r="H578" s="580"/>
      <c r="I578" s="592"/>
      <c r="J578" s="626"/>
      <c r="K578" s="600" t="str">
        <f t="shared" si="84"/>
        <v/>
      </c>
      <c r="L578" s="600" t="str">
        <f t="shared" si="85"/>
        <v/>
      </c>
      <c r="M578" s="601" t="str">
        <f t="shared" si="86"/>
        <v/>
      </c>
      <c r="N578" s="600" t="str">
        <f t="shared" si="87"/>
        <v/>
      </c>
      <c r="O578" s="600" t="str">
        <f t="shared" si="88"/>
        <v/>
      </c>
      <c r="P578" s="600" t="str">
        <f t="shared" si="89"/>
        <v/>
      </c>
    </row>
    <row r="579" spans="2:16">
      <c r="B579" s="617"/>
      <c r="C579" s="621"/>
      <c r="D579" s="565"/>
      <c r="E579" s="549"/>
      <c r="F579" s="566"/>
      <c r="G579" s="574"/>
      <c r="H579" s="580"/>
      <c r="I579" s="591"/>
      <c r="J579" s="626"/>
      <c r="K579" s="600" t="str">
        <f t="shared" si="84"/>
        <v/>
      </c>
      <c r="L579" s="600" t="str">
        <f t="shared" si="85"/>
        <v/>
      </c>
      <c r="M579" s="601" t="str">
        <f t="shared" si="86"/>
        <v/>
      </c>
      <c r="N579" s="600" t="str">
        <f t="shared" si="87"/>
        <v/>
      </c>
      <c r="O579" s="600" t="str">
        <f t="shared" si="88"/>
        <v/>
      </c>
      <c r="P579" s="600" t="str">
        <f t="shared" si="89"/>
        <v/>
      </c>
    </row>
    <row r="580" spans="2:16">
      <c r="B580" s="617"/>
      <c r="C580" s="621"/>
      <c r="D580" s="565"/>
      <c r="E580" s="552"/>
      <c r="F580" s="570"/>
      <c r="G580" s="574"/>
      <c r="H580" s="580"/>
      <c r="I580" s="592"/>
      <c r="J580" s="626"/>
      <c r="K580" s="600" t="str">
        <f t="shared" si="84"/>
        <v/>
      </c>
      <c r="L580" s="600" t="str">
        <f t="shared" si="85"/>
        <v/>
      </c>
      <c r="M580" s="601" t="str">
        <f t="shared" si="86"/>
        <v/>
      </c>
      <c r="N580" s="600" t="str">
        <f t="shared" si="87"/>
        <v/>
      </c>
      <c r="O580" s="600" t="str">
        <f t="shared" si="88"/>
        <v/>
      </c>
      <c r="P580" s="600" t="str">
        <f t="shared" si="89"/>
        <v/>
      </c>
    </row>
    <row r="581" spans="2:16">
      <c r="B581" s="617">
        <v>10008691</v>
      </c>
      <c r="C581" s="621" t="s">
        <v>10</v>
      </c>
      <c r="D581" s="565" t="s">
        <v>21</v>
      </c>
      <c r="E581" s="549" t="s">
        <v>234</v>
      </c>
      <c r="F581" s="566" t="s">
        <v>1369</v>
      </c>
      <c r="G581" s="574"/>
      <c r="H581" s="580">
        <v>1241716485.24</v>
      </c>
      <c r="I581" s="592">
        <v>43271</v>
      </c>
      <c r="J581" s="626">
        <f t="shared" ref="J581:J599" ca="1" si="91">DATEDIF(I581,$J$4,"D")</f>
        <v>1149</v>
      </c>
      <c r="K581" s="600" t="str">
        <f t="shared" ca="1" si="84"/>
        <v/>
      </c>
      <c r="L581" s="600" t="str">
        <f t="shared" ca="1" si="85"/>
        <v/>
      </c>
      <c r="M581" s="601" t="str">
        <f t="shared" ca="1" si="86"/>
        <v/>
      </c>
      <c r="N581" s="600" t="str">
        <f t="shared" ca="1" si="87"/>
        <v/>
      </c>
      <c r="O581" s="600" t="str">
        <f t="shared" ca="1" si="88"/>
        <v/>
      </c>
      <c r="P581" s="600">
        <f t="shared" ca="1" si="89"/>
        <v>1241716485.24</v>
      </c>
    </row>
    <row r="582" spans="2:16">
      <c r="B582" s="617">
        <v>10008691</v>
      </c>
      <c r="C582" s="621" t="s">
        <v>10</v>
      </c>
      <c r="D582" s="565" t="s">
        <v>21</v>
      </c>
      <c r="E582" s="549" t="s">
        <v>416</v>
      </c>
      <c r="F582" s="566" t="s">
        <v>1246</v>
      </c>
      <c r="G582" s="574"/>
      <c r="H582" s="580">
        <v>339182994.14999998</v>
      </c>
      <c r="I582" s="592">
        <v>43301</v>
      </c>
      <c r="J582" s="626">
        <f t="shared" ca="1" si="91"/>
        <v>1119</v>
      </c>
      <c r="K582" s="600" t="str">
        <f t="shared" ca="1" si="84"/>
        <v/>
      </c>
      <c r="L582" s="600" t="str">
        <f t="shared" ca="1" si="85"/>
        <v/>
      </c>
      <c r="M582" s="601" t="str">
        <f t="shared" ca="1" si="86"/>
        <v/>
      </c>
      <c r="N582" s="600" t="str">
        <f t="shared" ca="1" si="87"/>
        <v/>
      </c>
      <c r="O582" s="600" t="str">
        <f t="shared" ca="1" si="88"/>
        <v/>
      </c>
      <c r="P582" s="600">
        <f t="shared" ca="1" si="89"/>
        <v>339182994.14999998</v>
      </c>
    </row>
    <row r="583" spans="2:16">
      <c r="B583" s="617">
        <v>10008691</v>
      </c>
      <c r="C583" s="621" t="s">
        <v>10</v>
      </c>
      <c r="D583" s="565" t="s">
        <v>21</v>
      </c>
      <c r="E583" s="549" t="s">
        <v>238</v>
      </c>
      <c r="F583" s="566" t="s">
        <v>1247</v>
      </c>
      <c r="G583" s="574"/>
      <c r="H583" s="580">
        <v>248588833.50000003</v>
      </c>
      <c r="I583" s="591">
        <v>43332</v>
      </c>
      <c r="J583" s="626">
        <f t="shared" ca="1" si="91"/>
        <v>1088</v>
      </c>
      <c r="K583" s="600" t="str">
        <f t="shared" ca="1" si="84"/>
        <v/>
      </c>
      <c r="L583" s="600" t="str">
        <f t="shared" ca="1" si="85"/>
        <v/>
      </c>
      <c r="M583" s="601" t="str">
        <f t="shared" ca="1" si="86"/>
        <v/>
      </c>
      <c r="N583" s="600" t="str">
        <f t="shared" ca="1" si="87"/>
        <v/>
      </c>
      <c r="O583" s="600" t="str">
        <f t="shared" ca="1" si="88"/>
        <v/>
      </c>
      <c r="P583" s="600">
        <f t="shared" ca="1" si="89"/>
        <v>248588833.50000003</v>
      </c>
    </row>
    <row r="584" spans="2:16">
      <c r="B584" s="617">
        <v>10008691</v>
      </c>
      <c r="C584" s="621" t="s">
        <v>10</v>
      </c>
      <c r="D584" s="565" t="s">
        <v>21</v>
      </c>
      <c r="E584" s="552" t="s">
        <v>517</v>
      </c>
      <c r="F584" s="570" t="s">
        <v>1248</v>
      </c>
      <c r="G584" s="574"/>
      <c r="H584" s="580">
        <f>728959140-447087314.43</f>
        <v>281871825.56999999</v>
      </c>
      <c r="I584" s="592">
        <v>43363</v>
      </c>
      <c r="J584" s="626">
        <f t="shared" ca="1" si="91"/>
        <v>1057</v>
      </c>
      <c r="K584" s="600" t="str">
        <f t="shared" ca="1" si="84"/>
        <v/>
      </c>
      <c r="L584" s="600" t="str">
        <f t="shared" ca="1" si="85"/>
        <v/>
      </c>
      <c r="M584" s="601" t="str">
        <f t="shared" ca="1" si="86"/>
        <v/>
      </c>
      <c r="N584" s="600" t="str">
        <f t="shared" ca="1" si="87"/>
        <v/>
      </c>
      <c r="O584" s="600" t="str">
        <f t="shared" ca="1" si="88"/>
        <v/>
      </c>
      <c r="P584" s="600">
        <f t="shared" ca="1" si="89"/>
        <v>281871825.56999999</v>
      </c>
    </row>
    <row r="585" spans="2:16">
      <c r="B585" s="617">
        <v>10008691</v>
      </c>
      <c r="C585" s="621" t="s">
        <v>10</v>
      </c>
      <c r="D585" s="565" t="s">
        <v>21</v>
      </c>
      <c r="E585" s="549" t="s">
        <v>243</v>
      </c>
      <c r="F585" s="566" t="s">
        <v>1250</v>
      </c>
      <c r="G585" s="574"/>
      <c r="H585" s="580">
        <v>119470617</v>
      </c>
      <c r="I585" s="592">
        <v>43393</v>
      </c>
      <c r="J585" s="626">
        <f t="shared" ca="1" si="91"/>
        <v>1027</v>
      </c>
      <c r="K585" s="600" t="str">
        <f t="shared" ca="1" si="84"/>
        <v/>
      </c>
      <c r="L585" s="600" t="str">
        <f t="shared" ca="1" si="85"/>
        <v/>
      </c>
      <c r="M585" s="601" t="str">
        <f t="shared" ca="1" si="86"/>
        <v/>
      </c>
      <c r="N585" s="600" t="str">
        <f t="shared" ca="1" si="87"/>
        <v/>
      </c>
      <c r="O585" s="600" t="str">
        <f t="shared" ca="1" si="88"/>
        <v/>
      </c>
      <c r="P585" s="600">
        <f t="shared" ca="1" si="89"/>
        <v>119470617</v>
      </c>
    </row>
    <row r="586" spans="2:16">
      <c r="B586" s="617">
        <v>10008691</v>
      </c>
      <c r="C586" s="621" t="s">
        <v>10</v>
      </c>
      <c r="D586" s="565" t="s">
        <v>21</v>
      </c>
      <c r="E586" s="549" t="s">
        <v>250</v>
      </c>
      <c r="F586" s="566" t="s">
        <v>113</v>
      </c>
      <c r="G586" s="574"/>
      <c r="H586" s="580">
        <v>295340943.24000001</v>
      </c>
      <c r="I586" s="591">
        <v>43485</v>
      </c>
      <c r="J586" s="626">
        <f t="shared" ca="1" si="91"/>
        <v>935</v>
      </c>
      <c r="K586" s="600" t="str">
        <f t="shared" ca="1" si="84"/>
        <v/>
      </c>
      <c r="L586" s="600" t="str">
        <f t="shared" ca="1" si="85"/>
        <v/>
      </c>
      <c r="M586" s="601" t="str">
        <f t="shared" ca="1" si="86"/>
        <v/>
      </c>
      <c r="N586" s="600" t="str">
        <f t="shared" ca="1" si="87"/>
        <v/>
      </c>
      <c r="O586" s="600" t="str">
        <f t="shared" ca="1" si="88"/>
        <v/>
      </c>
      <c r="P586" s="600">
        <f t="shared" ca="1" si="89"/>
        <v>295340943.24000001</v>
      </c>
    </row>
    <row r="587" spans="2:16">
      <c r="B587" s="617">
        <v>10008691</v>
      </c>
      <c r="C587" s="621" t="s">
        <v>10</v>
      </c>
      <c r="D587" s="565" t="s">
        <v>21</v>
      </c>
      <c r="E587" s="552" t="s">
        <v>139</v>
      </c>
      <c r="F587" s="570" t="s">
        <v>229</v>
      </c>
      <c r="G587" s="574"/>
      <c r="H587" s="580">
        <v>1128022707</v>
      </c>
      <c r="I587" s="592">
        <v>43516</v>
      </c>
      <c r="J587" s="626">
        <f t="shared" ca="1" si="91"/>
        <v>904</v>
      </c>
      <c r="K587" s="600" t="str">
        <f t="shared" ca="1" si="84"/>
        <v/>
      </c>
      <c r="L587" s="600" t="str">
        <f t="shared" ca="1" si="85"/>
        <v/>
      </c>
      <c r="M587" s="601" t="str">
        <f t="shared" ca="1" si="86"/>
        <v/>
      </c>
      <c r="N587" s="600" t="str">
        <f t="shared" ca="1" si="87"/>
        <v/>
      </c>
      <c r="O587" s="600" t="str">
        <f t="shared" ca="1" si="88"/>
        <v/>
      </c>
      <c r="P587" s="600">
        <f t="shared" ca="1" si="89"/>
        <v>1128022707</v>
      </c>
    </row>
    <row r="588" spans="2:16">
      <c r="B588" s="617">
        <v>10008691</v>
      </c>
      <c r="C588" s="621" t="s">
        <v>10</v>
      </c>
      <c r="D588" s="565" t="s">
        <v>21</v>
      </c>
      <c r="E588" s="549" t="s">
        <v>142</v>
      </c>
      <c r="F588" s="566" t="s">
        <v>232</v>
      </c>
      <c r="G588" s="574"/>
      <c r="H588" s="580">
        <v>1179213411.684</v>
      </c>
      <c r="I588" s="592">
        <v>43544</v>
      </c>
      <c r="J588" s="626">
        <f t="shared" ca="1" si="91"/>
        <v>876</v>
      </c>
      <c r="K588" s="600" t="str">
        <f t="shared" ca="1" si="84"/>
        <v/>
      </c>
      <c r="L588" s="600" t="str">
        <f t="shared" ca="1" si="85"/>
        <v/>
      </c>
      <c r="M588" s="601" t="str">
        <f t="shared" ca="1" si="86"/>
        <v/>
      </c>
      <c r="N588" s="600" t="str">
        <f t="shared" ca="1" si="87"/>
        <v/>
      </c>
      <c r="O588" s="600" t="str">
        <f t="shared" ca="1" si="88"/>
        <v/>
      </c>
      <c r="P588" s="600">
        <f t="shared" ca="1" si="89"/>
        <v>1179213411.684</v>
      </c>
    </row>
    <row r="589" spans="2:16">
      <c r="B589" s="617">
        <v>10008691</v>
      </c>
      <c r="C589" s="621" t="s">
        <v>10</v>
      </c>
      <c r="D589" s="565" t="s">
        <v>21</v>
      </c>
      <c r="E589" s="549" t="s">
        <v>145</v>
      </c>
      <c r="F589" s="566" t="s">
        <v>235</v>
      </c>
      <c r="G589" s="574"/>
      <c r="H589" s="580">
        <v>1191345246</v>
      </c>
      <c r="I589" s="591">
        <v>43575</v>
      </c>
      <c r="J589" s="626">
        <f t="shared" ca="1" si="91"/>
        <v>845</v>
      </c>
      <c r="K589" s="600" t="str">
        <f t="shared" ca="1" si="84"/>
        <v/>
      </c>
      <c r="L589" s="600" t="str">
        <f t="shared" ca="1" si="85"/>
        <v/>
      </c>
      <c r="M589" s="601" t="str">
        <f t="shared" ca="1" si="86"/>
        <v/>
      </c>
      <c r="N589" s="600" t="str">
        <f t="shared" ca="1" si="87"/>
        <v/>
      </c>
      <c r="O589" s="600" t="str">
        <f t="shared" ca="1" si="88"/>
        <v/>
      </c>
      <c r="P589" s="600">
        <f t="shared" ca="1" si="89"/>
        <v>1191345246</v>
      </c>
    </row>
    <row r="590" spans="2:16">
      <c r="B590" s="617">
        <v>10008691</v>
      </c>
      <c r="C590" s="621" t="s">
        <v>10</v>
      </c>
      <c r="D590" s="565" t="s">
        <v>21</v>
      </c>
      <c r="E590" s="552" t="s">
        <v>148</v>
      </c>
      <c r="F590" s="570" t="s">
        <v>237</v>
      </c>
      <c r="G590" s="574"/>
      <c r="H590" s="580">
        <v>899605468.125</v>
      </c>
      <c r="I590" s="592">
        <v>43605</v>
      </c>
      <c r="J590" s="626">
        <f t="shared" ca="1" si="91"/>
        <v>815</v>
      </c>
      <c r="K590" s="600" t="str">
        <f t="shared" ca="1" si="84"/>
        <v/>
      </c>
      <c r="L590" s="600" t="str">
        <f t="shared" ca="1" si="85"/>
        <v/>
      </c>
      <c r="M590" s="601" t="str">
        <f t="shared" ca="1" si="86"/>
        <v/>
      </c>
      <c r="N590" s="600" t="str">
        <f t="shared" ca="1" si="87"/>
        <v/>
      </c>
      <c r="O590" s="600" t="str">
        <f t="shared" ca="1" si="88"/>
        <v/>
      </c>
      <c r="P590" s="600">
        <f t="shared" ca="1" si="89"/>
        <v>899605468.125</v>
      </c>
    </row>
    <row r="591" spans="2:16">
      <c r="B591" s="617">
        <v>10008691</v>
      </c>
      <c r="C591" s="621" t="s">
        <v>10</v>
      </c>
      <c r="D591" s="565" t="s">
        <v>21</v>
      </c>
      <c r="E591" s="549" t="s">
        <v>151</v>
      </c>
      <c r="F591" s="566" t="s">
        <v>33</v>
      </c>
      <c r="G591" s="574"/>
      <c r="H591" s="580">
        <v>1138808575.5899999</v>
      </c>
      <c r="I591" s="592">
        <v>43617</v>
      </c>
      <c r="J591" s="626">
        <f t="shared" ca="1" si="91"/>
        <v>803</v>
      </c>
      <c r="K591" s="600" t="str">
        <f t="shared" ca="1" si="84"/>
        <v/>
      </c>
      <c r="L591" s="600" t="str">
        <f t="shared" ca="1" si="85"/>
        <v/>
      </c>
      <c r="M591" s="601" t="str">
        <f t="shared" ca="1" si="86"/>
        <v/>
      </c>
      <c r="N591" s="600" t="str">
        <f t="shared" ca="1" si="87"/>
        <v/>
      </c>
      <c r="O591" s="600" t="str">
        <f t="shared" ca="1" si="88"/>
        <v/>
      </c>
      <c r="P591" s="600">
        <f t="shared" ca="1" si="89"/>
        <v>1138808575.5899999</v>
      </c>
    </row>
    <row r="592" spans="2:16">
      <c r="B592" s="617">
        <v>10008691</v>
      </c>
      <c r="C592" s="621" t="s">
        <v>10</v>
      </c>
      <c r="D592" s="565" t="s">
        <v>21</v>
      </c>
      <c r="E592" s="549" t="s">
        <v>154</v>
      </c>
      <c r="F592" s="566" t="s">
        <v>241</v>
      </c>
      <c r="G592" s="574"/>
      <c r="H592" s="580">
        <v>1163783565</v>
      </c>
      <c r="I592" s="592">
        <v>43647</v>
      </c>
      <c r="J592" s="626">
        <f t="shared" ca="1" si="91"/>
        <v>773</v>
      </c>
      <c r="K592" s="600" t="str">
        <f t="shared" ca="1" si="84"/>
        <v/>
      </c>
      <c r="L592" s="600" t="str">
        <f t="shared" ca="1" si="85"/>
        <v/>
      </c>
      <c r="M592" s="601" t="str">
        <f t="shared" ca="1" si="86"/>
        <v/>
      </c>
      <c r="N592" s="600" t="str">
        <f t="shared" ca="1" si="87"/>
        <v/>
      </c>
      <c r="O592" s="600" t="str">
        <f t="shared" ca="1" si="88"/>
        <v/>
      </c>
      <c r="P592" s="600">
        <f t="shared" ca="1" si="89"/>
        <v>1163783565</v>
      </c>
    </row>
    <row r="593" spans="2:16">
      <c r="B593" s="617">
        <v>10008691</v>
      </c>
      <c r="C593" s="621" t="s">
        <v>10</v>
      </c>
      <c r="D593" s="565" t="s">
        <v>21</v>
      </c>
      <c r="E593" s="549" t="s">
        <v>158</v>
      </c>
      <c r="F593" s="566" t="s">
        <v>244</v>
      </c>
      <c r="G593" s="574"/>
      <c r="H593" s="580">
        <v>916928900.15999997</v>
      </c>
      <c r="I593" s="591">
        <v>43678</v>
      </c>
      <c r="J593" s="626">
        <f t="shared" ca="1" si="91"/>
        <v>742</v>
      </c>
      <c r="K593" s="600" t="str">
        <f t="shared" ca="1" si="84"/>
        <v/>
      </c>
      <c r="L593" s="600" t="str">
        <f t="shared" ca="1" si="85"/>
        <v/>
      </c>
      <c r="M593" s="601" t="str">
        <f t="shared" ca="1" si="86"/>
        <v/>
      </c>
      <c r="N593" s="600" t="str">
        <f t="shared" ca="1" si="87"/>
        <v/>
      </c>
      <c r="O593" s="600" t="str">
        <f t="shared" ca="1" si="88"/>
        <v/>
      </c>
      <c r="P593" s="600">
        <f t="shared" ca="1" si="89"/>
        <v>916928900.15999997</v>
      </c>
    </row>
    <row r="594" spans="2:16">
      <c r="B594" s="617">
        <v>10008691</v>
      </c>
      <c r="C594" s="621" t="s">
        <v>10</v>
      </c>
      <c r="D594" s="565" t="s">
        <v>21</v>
      </c>
      <c r="E594" s="552" t="s">
        <v>162</v>
      </c>
      <c r="F594" s="570" t="s">
        <v>57</v>
      </c>
      <c r="G594" s="574"/>
      <c r="H594" s="580">
        <v>790229622.83999991</v>
      </c>
      <c r="I594" s="592">
        <v>43710</v>
      </c>
      <c r="J594" s="626">
        <f t="shared" ca="1" si="91"/>
        <v>710</v>
      </c>
      <c r="K594" s="600" t="str">
        <f t="shared" ca="1" si="84"/>
        <v/>
      </c>
      <c r="L594" s="600" t="str">
        <f t="shared" ca="1" si="85"/>
        <v/>
      </c>
      <c r="M594" s="601" t="str">
        <f t="shared" ca="1" si="86"/>
        <v/>
      </c>
      <c r="N594" s="600" t="str">
        <f t="shared" ca="1" si="87"/>
        <v/>
      </c>
      <c r="O594" s="600" t="str">
        <f t="shared" ca="1" si="88"/>
        <v/>
      </c>
      <c r="P594" s="600">
        <f t="shared" ca="1" si="89"/>
        <v>790229622.83999991</v>
      </c>
    </row>
    <row r="595" spans="2:16">
      <c r="B595" s="617">
        <v>10008691</v>
      </c>
      <c r="C595" s="621" t="s">
        <v>10</v>
      </c>
      <c r="D595" s="565" t="s">
        <v>21</v>
      </c>
      <c r="E595" s="549" t="s">
        <v>166</v>
      </c>
      <c r="F595" s="566" t="s">
        <v>249</v>
      </c>
      <c r="G595" s="574"/>
      <c r="H595" s="580">
        <v>682311819</v>
      </c>
      <c r="I595" s="592">
        <v>43740</v>
      </c>
      <c r="J595" s="626">
        <f t="shared" ca="1" si="91"/>
        <v>680</v>
      </c>
      <c r="K595" s="600" t="str">
        <f t="shared" ca="1" si="84"/>
        <v/>
      </c>
      <c r="L595" s="600" t="str">
        <f t="shared" ca="1" si="85"/>
        <v/>
      </c>
      <c r="M595" s="601" t="str">
        <f t="shared" ca="1" si="86"/>
        <v/>
      </c>
      <c r="N595" s="600" t="str">
        <f t="shared" ca="1" si="87"/>
        <v/>
      </c>
      <c r="O595" s="600" t="str">
        <f t="shared" ca="1" si="88"/>
        <v/>
      </c>
      <c r="P595" s="600">
        <f t="shared" ca="1" si="89"/>
        <v>682311819</v>
      </c>
    </row>
    <row r="596" spans="2:16">
      <c r="B596" s="617">
        <v>10008691</v>
      </c>
      <c r="C596" s="621" t="s">
        <v>10</v>
      </c>
      <c r="D596" s="565" t="s">
        <v>21</v>
      </c>
      <c r="E596" s="549" t="s">
        <v>170</v>
      </c>
      <c r="F596" s="566" t="s">
        <v>251</v>
      </c>
      <c r="G596" s="574"/>
      <c r="H596" s="580">
        <v>624461184.375</v>
      </c>
      <c r="I596" s="591">
        <v>43770</v>
      </c>
      <c r="J596" s="626">
        <f t="shared" ca="1" si="91"/>
        <v>650</v>
      </c>
      <c r="K596" s="600" t="str">
        <f t="shared" ca="1" si="84"/>
        <v/>
      </c>
      <c r="L596" s="600" t="str">
        <f t="shared" ca="1" si="85"/>
        <v/>
      </c>
      <c r="M596" s="601" t="str">
        <f t="shared" ca="1" si="86"/>
        <v/>
      </c>
      <c r="N596" s="600" t="str">
        <f t="shared" ca="1" si="87"/>
        <v/>
      </c>
      <c r="O596" s="600" t="str">
        <f t="shared" ca="1" si="88"/>
        <v/>
      </c>
      <c r="P596" s="600">
        <f t="shared" ca="1" si="89"/>
        <v>624461184.375</v>
      </c>
    </row>
    <row r="597" spans="2:16">
      <c r="B597" s="617">
        <v>10008691</v>
      </c>
      <c r="C597" s="621" t="s">
        <v>10</v>
      </c>
      <c r="D597" s="565" t="s">
        <v>21</v>
      </c>
      <c r="E597" s="552" t="s">
        <v>174</v>
      </c>
      <c r="F597" s="570" t="s">
        <v>253</v>
      </c>
      <c r="G597" s="574"/>
      <c r="H597" s="580">
        <v>612432975</v>
      </c>
      <c r="I597" s="592">
        <v>43801</v>
      </c>
      <c r="J597" s="626">
        <f t="shared" ca="1" si="91"/>
        <v>619</v>
      </c>
      <c r="K597" s="600" t="str">
        <f t="shared" ca="1" si="84"/>
        <v/>
      </c>
      <c r="L597" s="600" t="str">
        <f t="shared" ca="1" si="85"/>
        <v/>
      </c>
      <c r="M597" s="601" t="str">
        <f t="shared" ca="1" si="86"/>
        <v/>
      </c>
      <c r="N597" s="600" t="str">
        <f t="shared" ca="1" si="87"/>
        <v/>
      </c>
      <c r="O597" s="600" t="str">
        <f t="shared" ca="1" si="88"/>
        <v/>
      </c>
      <c r="P597" s="600">
        <f t="shared" ca="1" si="89"/>
        <v>612432975</v>
      </c>
    </row>
    <row r="598" spans="2:16">
      <c r="B598" s="617">
        <v>10008691</v>
      </c>
      <c r="C598" s="621" t="s">
        <v>10</v>
      </c>
      <c r="D598" s="565" t="s">
        <v>21</v>
      </c>
      <c r="E598" s="549" t="s">
        <v>778</v>
      </c>
      <c r="F598" s="566" t="s">
        <v>255</v>
      </c>
      <c r="G598" s="574"/>
      <c r="H598" s="580">
        <v>895418268.14999998</v>
      </c>
      <c r="I598" s="592">
        <v>43831</v>
      </c>
      <c r="J598" s="626">
        <f t="shared" ca="1" si="91"/>
        <v>589</v>
      </c>
      <c r="K598" s="600" t="str">
        <f t="shared" ca="1" si="84"/>
        <v/>
      </c>
      <c r="L598" s="600" t="str">
        <f t="shared" ca="1" si="85"/>
        <v/>
      </c>
      <c r="M598" s="601" t="str">
        <f t="shared" ca="1" si="86"/>
        <v/>
      </c>
      <c r="N598" s="600" t="str">
        <f t="shared" ca="1" si="87"/>
        <v/>
      </c>
      <c r="O598" s="600" t="str">
        <f t="shared" ca="1" si="88"/>
        <v/>
      </c>
      <c r="P598" s="600">
        <f t="shared" ca="1" si="89"/>
        <v>895418268.14999998</v>
      </c>
    </row>
    <row r="599" spans="2:16">
      <c r="B599" s="617">
        <v>10008691</v>
      </c>
      <c r="C599" s="621" t="s">
        <v>10</v>
      </c>
      <c r="D599" s="565" t="s">
        <v>21</v>
      </c>
      <c r="E599" s="549" t="s">
        <v>1566</v>
      </c>
      <c r="F599" s="566" t="s">
        <v>258</v>
      </c>
      <c r="G599" s="574"/>
      <c r="H599" s="580">
        <v>619248891.38831246</v>
      </c>
      <c r="I599" s="591" t="s">
        <v>183</v>
      </c>
      <c r="J599" s="626">
        <f t="shared" ca="1" si="91"/>
        <v>588</v>
      </c>
      <c r="K599" s="600" t="str">
        <f t="shared" ca="1" si="84"/>
        <v/>
      </c>
      <c r="L599" s="600" t="str">
        <f t="shared" ca="1" si="85"/>
        <v/>
      </c>
      <c r="M599" s="601" t="str">
        <f t="shared" ca="1" si="86"/>
        <v/>
      </c>
      <c r="N599" s="600" t="str">
        <f t="shared" ca="1" si="87"/>
        <v/>
      </c>
      <c r="O599" s="600" t="str">
        <f t="shared" ca="1" si="88"/>
        <v/>
      </c>
      <c r="P599" s="600">
        <f t="shared" ca="1" si="89"/>
        <v>619248891.38831246</v>
      </c>
    </row>
    <row r="600" spans="2:16">
      <c r="B600" s="617"/>
      <c r="C600" s="621"/>
      <c r="D600" s="561"/>
      <c r="E600" s="245"/>
      <c r="F600" s="569"/>
      <c r="G600" s="577"/>
      <c r="H600" s="582"/>
      <c r="I600" s="590"/>
      <c r="J600" s="626"/>
      <c r="K600" s="600" t="str">
        <f t="shared" si="84"/>
        <v/>
      </c>
      <c r="L600" s="600" t="str">
        <f t="shared" si="85"/>
        <v/>
      </c>
      <c r="M600" s="601" t="str">
        <f t="shared" si="86"/>
        <v/>
      </c>
      <c r="N600" s="600" t="str">
        <f t="shared" si="87"/>
        <v/>
      </c>
      <c r="O600" s="600" t="str">
        <f t="shared" si="88"/>
        <v/>
      </c>
      <c r="P600" s="600" t="str">
        <f t="shared" si="89"/>
        <v/>
      </c>
    </row>
    <row r="601" spans="2:16">
      <c r="B601" s="617"/>
      <c r="C601" s="621"/>
      <c r="D601" s="561"/>
      <c r="E601" s="245"/>
      <c r="F601" s="569"/>
      <c r="G601" s="577"/>
      <c r="H601" s="582"/>
      <c r="I601" s="590"/>
      <c r="J601" s="626"/>
      <c r="K601" s="600" t="str">
        <f t="shared" si="84"/>
        <v/>
      </c>
      <c r="L601" s="600" t="str">
        <f t="shared" si="85"/>
        <v/>
      </c>
      <c r="M601" s="601" t="str">
        <f t="shared" si="86"/>
        <v/>
      </c>
      <c r="N601" s="600" t="str">
        <f t="shared" si="87"/>
        <v/>
      </c>
      <c r="O601" s="600" t="str">
        <f t="shared" si="88"/>
        <v/>
      </c>
      <c r="P601" s="600" t="str">
        <f t="shared" si="89"/>
        <v/>
      </c>
    </row>
    <row r="602" spans="2:16">
      <c r="B602" s="617"/>
      <c r="C602" s="621"/>
      <c r="D602" s="561"/>
      <c r="E602" s="245"/>
      <c r="F602" s="569"/>
      <c r="G602" s="577"/>
      <c r="H602" s="582"/>
      <c r="I602" s="590"/>
      <c r="J602" s="626"/>
      <c r="K602" s="600" t="str">
        <f t="shared" si="84"/>
        <v/>
      </c>
      <c r="L602" s="600" t="str">
        <f t="shared" si="85"/>
        <v/>
      </c>
      <c r="M602" s="601" t="str">
        <f t="shared" si="86"/>
        <v/>
      </c>
      <c r="N602" s="600" t="str">
        <f t="shared" si="87"/>
        <v/>
      </c>
      <c r="O602" s="600" t="str">
        <f t="shared" si="88"/>
        <v/>
      </c>
      <c r="P602" s="600" t="str">
        <f t="shared" si="89"/>
        <v/>
      </c>
    </row>
    <row r="603" spans="2:16">
      <c r="B603" s="617">
        <v>10000579</v>
      </c>
      <c r="C603" s="621" t="s">
        <v>10</v>
      </c>
      <c r="D603" s="561" t="s">
        <v>19</v>
      </c>
      <c r="E603" s="245" t="s">
        <v>2143</v>
      </c>
      <c r="F603" s="569" t="s">
        <v>374</v>
      </c>
      <c r="G603" s="577"/>
      <c r="H603" s="582">
        <v>218370915.63</v>
      </c>
      <c r="I603" s="592">
        <v>41102</v>
      </c>
      <c r="J603" s="626">
        <f ca="1">DATEDIF(I603,$J$4,"D")</f>
        <v>3318</v>
      </c>
      <c r="K603" s="600" t="str">
        <f t="shared" ca="1" si="84"/>
        <v/>
      </c>
      <c r="L603" s="600" t="str">
        <f t="shared" ca="1" si="85"/>
        <v/>
      </c>
      <c r="M603" s="601" t="str">
        <f t="shared" ca="1" si="86"/>
        <v/>
      </c>
      <c r="N603" s="600" t="str">
        <f t="shared" ca="1" si="87"/>
        <v/>
      </c>
      <c r="O603" s="600" t="str">
        <f t="shared" ca="1" si="88"/>
        <v/>
      </c>
      <c r="P603" s="600">
        <f t="shared" ca="1" si="89"/>
        <v>218370915.63</v>
      </c>
    </row>
    <row r="604" spans="2:16">
      <c r="B604" s="617"/>
      <c r="C604" s="621"/>
      <c r="D604" s="561"/>
      <c r="E604" s="245"/>
      <c r="F604" s="569"/>
      <c r="G604" s="577"/>
      <c r="H604" s="582"/>
      <c r="I604" s="590"/>
      <c r="J604" s="626"/>
      <c r="K604" s="600" t="str">
        <f t="shared" si="84"/>
        <v/>
      </c>
      <c r="L604" s="600" t="str">
        <f t="shared" si="85"/>
        <v/>
      </c>
      <c r="M604" s="601" t="str">
        <f t="shared" si="86"/>
        <v/>
      </c>
      <c r="N604" s="600" t="str">
        <f t="shared" si="87"/>
        <v/>
      </c>
      <c r="O604" s="600" t="str">
        <f t="shared" si="88"/>
        <v/>
      </c>
      <c r="P604" s="600" t="str">
        <f t="shared" si="89"/>
        <v/>
      </c>
    </row>
    <row r="605" spans="2:16">
      <c r="B605" s="617"/>
      <c r="C605" s="621"/>
      <c r="D605" s="561"/>
      <c r="E605" s="245"/>
      <c r="F605" s="569"/>
      <c r="G605" s="577"/>
      <c r="H605" s="582"/>
      <c r="I605" s="590"/>
      <c r="J605" s="626"/>
      <c r="K605" s="600" t="str">
        <f t="shared" si="84"/>
        <v/>
      </c>
      <c r="L605" s="600" t="str">
        <f t="shared" si="85"/>
        <v/>
      </c>
      <c r="M605" s="601" t="str">
        <f t="shared" si="86"/>
        <v/>
      </c>
      <c r="N605" s="600" t="str">
        <f t="shared" si="87"/>
        <v/>
      </c>
      <c r="O605" s="600" t="str">
        <f t="shared" si="88"/>
        <v/>
      </c>
      <c r="P605" s="600" t="str">
        <f t="shared" si="89"/>
        <v/>
      </c>
    </row>
    <row r="606" spans="2:16">
      <c r="B606" s="617"/>
      <c r="C606" s="621"/>
      <c r="D606" s="561"/>
      <c r="E606" s="245"/>
      <c r="F606" s="569"/>
      <c r="G606" s="577"/>
      <c r="H606" s="582"/>
      <c r="I606" s="590"/>
      <c r="J606" s="626"/>
      <c r="K606" s="600" t="str">
        <f t="shared" si="84"/>
        <v/>
      </c>
      <c r="L606" s="600" t="str">
        <f t="shared" si="85"/>
        <v/>
      </c>
      <c r="M606" s="601" t="str">
        <f t="shared" si="86"/>
        <v/>
      </c>
      <c r="N606" s="600" t="str">
        <f t="shared" si="87"/>
        <v/>
      </c>
      <c r="O606" s="600" t="str">
        <f t="shared" si="88"/>
        <v/>
      </c>
      <c r="P606" s="600" t="str">
        <f t="shared" si="89"/>
        <v/>
      </c>
    </row>
    <row r="607" spans="2:16">
      <c r="B607" s="617">
        <v>10009811</v>
      </c>
      <c r="C607" s="621" t="s">
        <v>10</v>
      </c>
      <c r="D607" s="561" t="s">
        <v>20</v>
      </c>
      <c r="E607" s="245" t="s">
        <v>1888</v>
      </c>
      <c r="F607" s="569" t="s">
        <v>186</v>
      </c>
      <c r="G607" s="577"/>
      <c r="H607" s="582">
        <f>59856874.51+78488331.28</f>
        <v>138345205.78999999</v>
      </c>
      <c r="I607" s="590">
        <v>42178</v>
      </c>
      <c r="J607" s="626">
        <f t="shared" ref="J607:J619" ca="1" si="92">DATEDIF(I607,$J$4,"D")</f>
        <v>2242</v>
      </c>
      <c r="K607" s="600" t="str">
        <f t="shared" ca="1" si="84"/>
        <v/>
      </c>
      <c r="L607" s="600" t="str">
        <f t="shared" ca="1" si="85"/>
        <v/>
      </c>
      <c r="M607" s="601" t="str">
        <f t="shared" ca="1" si="86"/>
        <v/>
      </c>
      <c r="N607" s="600" t="str">
        <f t="shared" ca="1" si="87"/>
        <v/>
      </c>
      <c r="O607" s="600" t="str">
        <f t="shared" ca="1" si="88"/>
        <v/>
      </c>
      <c r="P607" s="600">
        <f t="shared" ca="1" si="89"/>
        <v>138345205.78999999</v>
      </c>
    </row>
    <row r="608" spans="2:16">
      <c r="B608" s="617">
        <v>10009811</v>
      </c>
      <c r="C608" s="621" t="s">
        <v>10</v>
      </c>
      <c r="D608" s="561" t="s">
        <v>20</v>
      </c>
      <c r="E608" s="245" t="s">
        <v>1892</v>
      </c>
      <c r="F608" s="569" t="s">
        <v>192</v>
      </c>
      <c r="G608" s="577"/>
      <c r="H608" s="582">
        <v>119792626.08</v>
      </c>
      <c r="I608" s="590">
        <v>42216</v>
      </c>
      <c r="J608" s="626">
        <f t="shared" ca="1" si="92"/>
        <v>2204</v>
      </c>
      <c r="K608" s="600" t="str">
        <f t="shared" ca="1" si="84"/>
        <v/>
      </c>
      <c r="L608" s="600" t="str">
        <f t="shared" ca="1" si="85"/>
        <v/>
      </c>
      <c r="M608" s="601" t="str">
        <f t="shared" ca="1" si="86"/>
        <v/>
      </c>
      <c r="N608" s="600" t="str">
        <f t="shared" ca="1" si="87"/>
        <v/>
      </c>
      <c r="O608" s="600" t="str">
        <f t="shared" ca="1" si="88"/>
        <v/>
      </c>
      <c r="P608" s="600">
        <f t="shared" ca="1" si="89"/>
        <v>119792626.08</v>
      </c>
    </row>
    <row r="609" spans="2:16">
      <c r="B609" s="617">
        <v>10009811</v>
      </c>
      <c r="C609" s="621" t="s">
        <v>10</v>
      </c>
      <c r="D609" s="561" t="s">
        <v>20</v>
      </c>
      <c r="E609" s="245" t="s">
        <v>1864</v>
      </c>
      <c r="F609" s="569" t="s">
        <v>196</v>
      </c>
      <c r="G609" s="577"/>
      <c r="H609" s="582">
        <v>59191979.969999999</v>
      </c>
      <c r="I609" s="590">
        <v>42246</v>
      </c>
      <c r="J609" s="626">
        <f t="shared" ca="1" si="92"/>
        <v>2174</v>
      </c>
      <c r="K609" s="600" t="str">
        <f t="shared" ca="1" si="84"/>
        <v/>
      </c>
      <c r="L609" s="600" t="str">
        <f t="shared" ca="1" si="85"/>
        <v/>
      </c>
      <c r="M609" s="601" t="str">
        <f t="shared" ca="1" si="86"/>
        <v/>
      </c>
      <c r="N609" s="600" t="str">
        <f t="shared" ca="1" si="87"/>
        <v/>
      </c>
      <c r="O609" s="600" t="str">
        <f t="shared" ca="1" si="88"/>
        <v/>
      </c>
      <c r="P609" s="600">
        <f t="shared" ca="1" si="89"/>
        <v>59191979.969999999</v>
      </c>
    </row>
    <row r="610" spans="2:16">
      <c r="B610" s="617">
        <v>10009811</v>
      </c>
      <c r="C610" s="621" t="s">
        <v>10</v>
      </c>
      <c r="D610" s="561" t="s">
        <v>20</v>
      </c>
      <c r="E610" s="245" t="s">
        <v>1897</v>
      </c>
      <c r="F610" s="569" t="s">
        <v>41</v>
      </c>
      <c r="G610" s="577"/>
      <c r="H610" s="582">
        <v>54500340.329999998</v>
      </c>
      <c r="I610" s="590">
        <v>42278</v>
      </c>
      <c r="J610" s="626">
        <f t="shared" ca="1" si="92"/>
        <v>2142</v>
      </c>
      <c r="K610" s="600" t="str">
        <f t="shared" ca="1" si="84"/>
        <v/>
      </c>
      <c r="L610" s="600" t="str">
        <f t="shared" ca="1" si="85"/>
        <v/>
      </c>
      <c r="M610" s="601" t="str">
        <f t="shared" ca="1" si="86"/>
        <v/>
      </c>
      <c r="N610" s="600" t="str">
        <f t="shared" ca="1" si="87"/>
        <v/>
      </c>
      <c r="O610" s="600" t="str">
        <f t="shared" ca="1" si="88"/>
        <v/>
      </c>
      <c r="P610" s="600">
        <f t="shared" ca="1" si="89"/>
        <v>54500340.329999998</v>
      </c>
    </row>
    <row r="611" spans="2:16">
      <c r="B611" s="617">
        <v>10009811</v>
      </c>
      <c r="C611" s="621" t="s">
        <v>10</v>
      </c>
      <c r="D611" s="561" t="s">
        <v>20</v>
      </c>
      <c r="E611" s="245" t="s">
        <v>1171</v>
      </c>
      <c r="F611" s="569" t="s">
        <v>359</v>
      </c>
      <c r="G611" s="577"/>
      <c r="H611" s="582">
        <v>48830343.219999999</v>
      </c>
      <c r="I611" s="590">
        <v>42322</v>
      </c>
      <c r="J611" s="626">
        <f t="shared" ca="1" si="92"/>
        <v>2098</v>
      </c>
      <c r="K611" s="600" t="str">
        <f t="shared" ca="1" si="84"/>
        <v/>
      </c>
      <c r="L611" s="600" t="str">
        <f t="shared" ca="1" si="85"/>
        <v/>
      </c>
      <c r="M611" s="601" t="str">
        <f t="shared" ca="1" si="86"/>
        <v/>
      </c>
      <c r="N611" s="600" t="str">
        <f t="shared" ca="1" si="87"/>
        <v/>
      </c>
      <c r="O611" s="600" t="str">
        <f t="shared" ca="1" si="88"/>
        <v/>
      </c>
      <c r="P611" s="600">
        <f t="shared" ca="1" si="89"/>
        <v>48830343.219999999</v>
      </c>
    </row>
    <row r="612" spans="2:16">
      <c r="B612" s="617">
        <v>10009811</v>
      </c>
      <c r="C612" s="621" t="s">
        <v>10</v>
      </c>
      <c r="D612" s="561" t="s">
        <v>20</v>
      </c>
      <c r="E612" s="245" t="s">
        <v>461</v>
      </c>
      <c r="F612" s="569" t="s">
        <v>202</v>
      </c>
      <c r="G612" s="577"/>
      <c r="H612" s="582">
        <v>23165058.300000001</v>
      </c>
      <c r="I612" s="590">
        <v>42352</v>
      </c>
      <c r="J612" s="626">
        <f t="shared" ca="1" si="92"/>
        <v>2068</v>
      </c>
      <c r="K612" s="600" t="str">
        <f t="shared" ca="1" si="84"/>
        <v/>
      </c>
      <c r="L612" s="600" t="str">
        <f t="shared" ca="1" si="85"/>
        <v/>
      </c>
      <c r="M612" s="601" t="str">
        <f t="shared" ca="1" si="86"/>
        <v/>
      </c>
      <c r="N612" s="600" t="str">
        <f t="shared" ca="1" si="87"/>
        <v/>
      </c>
      <c r="O612" s="600" t="str">
        <f t="shared" ca="1" si="88"/>
        <v/>
      </c>
      <c r="P612" s="600">
        <f t="shared" ca="1" si="89"/>
        <v>23165058.300000001</v>
      </c>
    </row>
    <row r="613" spans="2:16">
      <c r="B613" s="617">
        <v>10009811</v>
      </c>
      <c r="C613" s="621" t="s">
        <v>10</v>
      </c>
      <c r="D613" s="561" t="s">
        <v>20</v>
      </c>
      <c r="E613" s="245" t="s">
        <v>467</v>
      </c>
      <c r="F613" s="569" t="s">
        <v>208</v>
      </c>
      <c r="G613" s="577"/>
      <c r="H613" s="582">
        <v>27382100.629999999</v>
      </c>
      <c r="I613" s="590">
        <v>42385</v>
      </c>
      <c r="J613" s="626">
        <f t="shared" ca="1" si="92"/>
        <v>2035</v>
      </c>
      <c r="K613" s="600" t="str">
        <f t="shared" ca="1" si="84"/>
        <v/>
      </c>
      <c r="L613" s="600" t="str">
        <f t="shared" ca="1" si="85"/>
        <v/>
      </c>
      <c r="M613" s="601" t="str">
        <f t="shared" ca="1" si="86"/>
        <v/>
      </c>
      <c r="N613" s="600" t="str">
        <f t="shared" ca="1" si="87"/>
        <v/>
      </c>
      <c r="O613" s="600" t="str">
        <f t="shared" ca="1" si="88"/>
        <v/>
      </c>
      <c r="P613" s="600">
        <f t="shared" ca="1" si="89"/>
        <v>27382100.629999999</v>
      </c>
    </row>
    <row r="614" spans="2:16">
      <c r="B614" s="617">
        <v>10009811</v>
      </c>
      <c r="C614" s="621" t="s">
        <v>10</v>
      </c>
      <c r="D614" s="561" t="s">
        <v>20</v>
      </c>
      <c r="E614" s="245" t="s">
        <v>469</v>
      </c>
      <c r="F614" s="569" t="s">
        <v>52</v>
      </c>
      <c r="G614" s="577"/>
      <c r="H614" s="582">
        <v>33086711.239999998</v>
      </c>
      <c r="I614" s="590">
        <v>42417</v>
      </c>
      <c r="J614" s="626">
        <f t="shared" ca="1" si="92"/>
        <v>2003</v>
      </c>
      <c r="K614" s="600" t="str">
        <f t="shared" ca="1" si="84"/>
        <v/>
      </c>
      <c r="L614" s="600" t="str">
        <f t="shared" ca="1" si="85"/>
        <v/>
      </c>
      <c r="M614" s="601" t="str">
        <f t="shared" ca="1" si="86"/>
        <v/>
      </c>
      <c r="N614" s="600" t="str">
        <f t="shared" ca="1" si="87"/>
        <v/>
      </c>
      <c r="O614" s="600" t="str">
        <f t="shared" ca="1" si="88"/>
        <v/>
      </c>
      <c r="P614" s="600">
        <f t="shared" ca="1" si="89"/>
        <v>33086711.239999998</v>
      </c>
    </row>
    <row r="615" spans="2:16">
      <c r="B615" s="617">
        <v>10009811</v>
      </c>
      <c r="C615" s="621" t="s">
        <v>10</v>
      </c>
      <c r="D615" s="561" t="s">
        <v>20</v>
      </c>
      <c r="E615" s="245" t="s">
        <v>471</v>
      </c>
      <c r="F615" s="569" t="s">
        <v>215</v>
      </c>
      <c r="G615" s="577"/>
      <c r="H615" s="582">
        <v>36917762.119999997</v>
      </c>
      <c r="I615" s="590" t="s">
        <v>2160</v>
      </c>
      <c r="J615" s="626">
        <f t="shared" ca="1" si="92"/>
        <v>1896</v>
      </c>
      <c r="K615" s="600" t="str">
        <f t="shared" ca="1" si="84"/>
        <v/>
      </c>
      <c r="L615" s="600" t="str">
        <f t="shared" ca="1" si="85"/>
        <v/>
      </c>
      <c r="M615" s="601" t="str">
        <f t="shared" ca="1" si="86"/>
        <v/>
      </c>
      <c r="N615" s="600" t="str">
        <f t="shared" ca="1" si="87"/>
        <v/>
      </c>
      <c r="O615" s="600" t="str">
        <f t="shared" ca="1" si="88"/>
        <v/>
      </c>
      <c r="P615" s="600">
        <f t="shared" ca="1" si="89"/>
        <v>36917762.119999997</v>
      </c>
    </row>
    <row r="616" spans="2:16">
      <c r="B616" s="617">
        <v>10009811</v>
      </c>
      <c r="C616" s="621" t="s">
        <v>10</v>
      </c>
      <c r="D616" s="561" t="s">
        <v>20</v>
      </c>
      <c r="E616" s="245" t="s">
        <v>398</v>
      </c>
      <c r="F616" s="569" t="s">
        <v>65</v>
      </c>
      <c r="G616" s="577"/>
      <c r="H616" s="582">
        <v>23853762.059999999</v>
      </c>
      <c r="I616" s="590">
        <v>42678</v>
      </c>
      <c r="J616" s="626">
        <f t="shared" ca="1" si="92"/>
        <v>1742</v>
      </c>
      <c r="K616" s="600" t="str">
        <f t="shared" ca="1" si="84"/>
        <v/>
      </c>
      <c r="L616" s="600" t="str">
        <f t="shared" ca="1" si="85"/>
        <v/>
      </c>
      <c r="M616" s="601" t="str">
        <f t="shared" ca="1" si="86"/>
        <v/>
      </c>
      <c r="N616" s="600" t="str">
        <f t="shared" ca="1" si="87"/>
        <v/>
      </c>
      <c r="O616" s="600" t="str">
        <f t="shared" ca="1" si="88"/>
        <v/>
      </c>
      <c r="P616" s="600">
        <f t="shared" ca="1" si="89"/>
        <v>23853762.059999999</v>
      </c>
    </row>
    <row r="617" spans="2:16">
      <c r="B617" s="617">
        <v>10009811</v>
      </c>
      <c r="C617" s="621" t="s">
        <v>10</v>
      </c>
      <c r="D617" s="561" t="s">
        <v>20</v>
      </c>
      <c r="E617" s="245" t="s">
        <v>1403</v>
      </c>
      <c r="F617" s="569" t="s">
        <v>71</v>
      </c>
      <c r="G617" s="577"/>
      <c r="H617" s="582">
        <v>26630375.77</v>
      </c>
      <c r="I617" s="590">
        <v>42510</v>
      </c>
      <c r="J617" s="626">
        <f t="shared" ca="1" si="92"/>
        <v>1910</v>
      </c>
      <c r="K617" s="600" t="str">
        <f t="shared" ca="1" si="84"/>
        <v/>
      </c>
      <c r="L617" s="600" t="str">
        <f t="shared" ca="1" si="85"/>
        <v/>
      </c>
      <c r="M617" s="601" t="str">
        <f t="shared" ca="1" si="86"/>
        <v/>
      </c>
      <c r="N617" s="600" t="str">
        <f t="shared" ca="1" si="87"/>
        <v/>
      </c>
      <c r="O617" s="600" t="str">
        <f t="shared" ca="1" si="88"/>
        <v/>
      </c>
      <c r="P617" s="600">
        <f t="shared" ca="1" si="89"/>
        <v>26630375.77</v>
      </c>
    </row>
    <row r="618" spans="2:16">
      <c r="B618" s="617">
        <v>10009811</v>
      </c>
      <c r="C618" s="621" t="s">
        <v>10</v>
      </c>
      <c r="D618" s="561" t="s">
        <v>20</v>
      </c>
      <c r="E618" s="245" t="s">
        <v>401</v>
      </c>
      <c r="F618" s="569" t="s">
        <v>26</v>
      </c>
      <c r="G618" s="577"/>
      <c r="H618" s="582">
        <v>30295026.98</v>
      </c>
      <c r="I618" s="590">
        <v>42546</v>
      </c>
      <c r="J618" s="626">
        <f t="shared" ca="1" si="92"/>
        <v>1874</v>
      </c>
      <c r="K618" s="600" t="str">
        <f t="shared" ca="1" si="84"/>
        <v/>
      </c>
      <c r="L618" s="600" t="str">
        <f t="shared" ca="1" si="85"/>
        <v/>
      </c>
      <c r="M618" s="601" t="str">
        <f t="shared" ca="1" si="86"/>
        <v/>
      </c>
      <c r="N618" s="600" t="str">
        <f t="shared" ca="1" si="87"/>
        <v/>
      </c>
      <c r="O618" s="600" t="str">
        <f t="shared" ca="1" si="88"/>
        <v/>
      </c>
      <c r="P618" s="600">
        <f t="shared" ca="1" si="89"/>
        <v>30295026.98</v>
      </c>
    </row>
    <row r="619" spans="2:16">
      <c r="B619" s="617">
        <v>10009811</v>
      </c>
      <c r="C619" s="621" t="s">
        <v>10</v>
      </c>
      <c r="D619" s="561" t="s">
        <v>20</v>
      </c>
      <c r="E619" s="245" t="s">
        <v>404</v>
      </c>
      <c r="F619" s="569" t="s">
        <v>367</v>
      </c>
      <c r="G619" s="577"/>
      <c r="H619" s="582">
        <v>62682409.200000003</v>
      </c>
      <c r="I619" s="590">
        <v>42571</v>
      </c>
      <c r="J619" s="626">
        <f t="shared" ca="1" si="92"/>
        <v>1849</v>
      </c>
      <c r="K619" s="600" t="str">
        <f t="shared" ca="1" si="84"/>
        <v/>
      </c>
      <c r="L619" s="600" t="str">
        <f t="shared" ca="1" si="85"/>
        <v/>
      </c>
      <c r="M619" s="601" t="str">
        <f t="shared" ca="1" si="86"/>
        <v/>
      </c>
      <c r="N619" s="600" t="str">
        <f t="shared" ca="1" si="87"/>
        <v/>
      </c>
      <c r="O619" s="600" t="str">
        <f t="shared" ca="1" si="88"/>
        <v/>
      </c>
      <c r="P619" s="600">
        <f t="shared" ca="1" si="89"/>
        <v>62682409.200000003</v>
      </c>
    </row>
    <row r="620" spans="2:16">
      <c r="B620" s="617"/>
      <c r="C620" s="621"/>
      <c r="D620" s="561"/>
      <c r="E620" s="245"/>
      <c r="F620" s="569"/>
      <c r="G620" s="577"/>
      <c r="H620" s="582"/>
      <c r="I620" s="590"/>
      <c r="J620" s="626"/>
      <c r="K620" s="600" t="str">
        <f t="shared" si="84"/>
        <v/>
      </c>
      <c r="L620" s="600" t="str">
        <f t="shared" si="85"/>
        <v/>
      </c>
      <c r="M620" s="601" t="str">
        <f t="shared" si="86"/>
        <v/>
      </c>
      <c r="N620" s="600" t="str">
        <f t="shared" si="87"/>
        <v/>
      </c>
      <c r="O620" s="600" t="str">
        <f t="shared" si="88"/>
        <v/>
      </c>
      <c r="P620" s="600" t="str">
        <f t="shared" si="89"/>
        <v/>
      </c>
    </row>
    <row r="621" spans="2:16">
      <c r="B621" s="617"/>
      <c r="C621" s="621"/>
      <c r="D621" s="561"/>
      <c r="E621" s="245"/>
      <c r="F621" s="569"/>
      <c r="G621" s="577"/>
      <c r="H621" s="582"/>
      <c r="I621" s="590"/>
      <c r="J621" s="626"/>
      <c r="K621" s="600" t="str">
        <f t="shared" si="84"/>
        <v/>
      </c>
      <c r="L621" s="600" t="str">
        <f t="shared" si="85"/>
        <v/>
      </c>
      <c r="M621" s="601" t="str">
        <f t="shared" si="86"/>
        <v/>
      </c>
      <c r="N621" s="600" t="str">
        <f t="shared" si="87"/>
        <v/>
      </c>
      <c r="O621" s="600" t="str">
        <f t="shared" si="88"/>
        <v/>
      </c>
      <c r="P621" s="600" t="str">
        <f t="shared" si="89"/>
        <v/>
      </c>
    </row>
    <row r="622" spans="2:16">
      <c r="B622" s="617"/>
      <c r="C622" s="621"/>
      <c r="D622" s="561"/>
      <c r="E622" s="245"/>
      <c r="F622" s="569"/>
      <c r="G622" s="577"/>
      <c r="H622" s="582"/>
      <c r="I622" s="590"/>
      <c r="J622" s="626"/>
      <c r="K622" s="600" t="str">
        <f t="shared" si="84"/>
        <v/>
      </c>
      <c r="L622" s="600" t="str">
        <f t="shared" si="85"/>
        <v/>
      </c>
      <c r="M622" s="601" t="str">
        <f t="shared" si="86"/>
        <v/>
      </c>
      <c r="N622" s="600" t="str">
        <f t="shared" si="87"/>
        <v/>
      </c>
      <c r="O622" s="600" t="str">
        <f t="shared" si="88"/>
        <v/>
      </c>
      <c r="P622" s="600" t="str">
        <f t="shared" si="89"/>
        <v/>
      </c>
    </row>
    <row r="623" spans="2:16">
      <c r="B623" s="617"/>
      <c r="C623" s="621"/>
      <c r="D623" s="561"/>
      <c r="E623" s="245"/>
      <c r="F623" s="569"/>
      <c r="G623" s="577"/>
      <c r="H623" s="582"/>
      <c r="I623" s="590"/>
      <c r="J623" s="626"/>
      <c r="K623" s="600" t="str">
        <f t="shared" ref="K623:K685" si="93">IF(AND(J623&gt;=16,J623&lt;=30),H623,"")</f>
        <v/>
      </c>
      <c r="L623" s="600" t="str">
        <f t="shared" ref="L623:L685" si="94">IF(AND(J623&gt;=31,J623&lt;=60),H623,"")</f>
        <v/>
      </c>
      <c r="M623" s="601" t="str">
        <f t="shared" ref="M623:M685" si="95">IF(AND(J623&gt;=61,J623&lt;=90),H623,"")</f>
        <v/>
      </c>
      <c r="N623" s="600" t="str">
        <f t="shared" ref="N623:N685" si="96">IF(AND(J623&gt;=91,J623&lt;=180),H623,"")</f>
        <v/>
      </c>
      <c r="O623" s="600" t="str">
        <f t="shared" ref="O623:O685" si="97">IF(AND(J623&gt;=181,J623&lt;=360),H623,"")</f>
        <v/>
      </c>
      <c r="P623" s="600" t="str">
        <f t="shared" ref="P623:P685" si="98">IF(J623&gt;=360,H623,"")</f>
        <v/>
      </c>
    </row>
    <row r="624" spans="2:16">
      <c r="B624" s="617">
        <v>10000485</v>
      </c>
      <c r="C624" s="621" t="s">
        <v>10</v>
      </c>
      <c r="D624" s="561" t="s">
        <v>22</v>
      </c>
      <c r="E624" s="245" t="s">
        <v>498</v>
      </c>
      <c r="F624" s="569" t="s">
        <v>752</v>
      </c>
      <c r="G624" s="577"/>
      <c r="H624" s="582">
        <v>891831241.33000004</v>
      </c>
      <c r="I624" s="590">
        <v>43008</v>
      </c>
      <c r="J624" s="626">
        <f t="shared" ref="J624:J633" ca="1" si="99">DATEDIF(I624,$J$4,"D")</f>
        <v>1412</v>
      </c>
      <c r="K624" s="600" t="str">
        <f t="shared" ca="1" si="93"/>
        <v/>
      </c>
      <c r="L624" s="600" t="str">
        <f t="shared" ca="1" si="94"/>
        <v/>
      </c>
      <c r="M624" s="601" t="str">
        <f t="shared" ca="1" si="95"/>
        <v/>
      </c>
      <c r="N624" s="600" t="str">
        <f t="shared" ca="1" si="96"/>
        <v/>
      </c>
      <c r="O624" s="600" t="str">
        <f t="shared" ca="1" si="97"/>
        <v/>
      </c>
      <c r="P624" s="600">
        <f t="shared" ca="1" si="98"/>
        <v>891831241.33000004</v>
      </c>
    </row>
    <row r="625" spans="2:16">
      <c r="B625" s="617">
        <v>10000485</v>
      </c>
      <c r="C625" s="621" t="s">
        <v>10</v>
      </c>
      <c r="D625" s="561" t="s">
        <v>22</v>
      </c>
      <c r="E625" s="245" t="s">
        <v>564</v>
      </c>
      <c r="F625" s="569" t="s">
        <v>754</v>
      </c>
      <c r="G625" s="577"/>
      <c r="H625" s="582">
        <v>1137317209.52</v>
      </c>
      <c r="I625" s="590">
        <v>43038</v>
      </c>
      <c r="J625" s="626">
        <f t="shared" ca="1" si="99"/>
        <v>1382</v>
      </c>
      <c r="K625" s="600" t="str">
        <f t="shared" ca="1" si="93"/>
        <v/>
      </c>
      <c r="L625" s="600" t="str">
        <f t="shared" ca="1" si="94"/>
        <v/>
      </c>
      <c r="M625" s="601" t="str">
        <f t="shared" ca="1" si="95"/>
        <v/>
      </c>
      <c r="N625" s="600" t="str">
        <f t="shared" ca="1" si="96"/>
        <v/>
      </c>
      <c r="O625" s="600" t="str">
        <f t="shared" ca="1" si="97"/>
        <v/>
      </c>
      <c r="P625" s="600">
        <f t="shared" ca="1" si="98"/>
        <v>1137317209.52</v>
      </c>
    </row>
    <row r="626" spans="2:16">
      <c r="B626" s="617">
        <v>10000485</v>
      </c>
      <c r="C626" s="621" t="s">
        <v>10</v>
      </c>
      <c r="D626" s="561" t="s">
        <v>22</v>
      </c>
      <c r="E626" s="245" t="s">
        <v>500</v>
      </c>
      <c r="F626" s="569" t="s">
        <v>756</v>
      </c>
      <c r="G626" s="577"/>
      <c r="H626" s="582">
        <v>924459293.74000001</v>
      </c>
      <c r="I626" s="590">
        <v>43069</v>
      </c>
      <c r="J626" s="626">
        <f t="shared" ca="1" si="99"/>
        <v>1351</v>
      </c>
      <c r="K626" s="600" t="str">
        <f t="shared" ca="1" si="93"/>
        <v/>
      </c>
      <c r="L626" s="600" t="str">
        <f t="shared" ca="1" si="94"/>
        <v/>
      </c>
      <c r="M626" s="601" t="str">
        <f t="shared" ca="1" si="95"/>
        <v/>
      </c>
      <c r="N626" s="600" t="str">
        <f t="shared" ca="1" si="96"/>
        <v/>
      </c>
      <c r="O626" s="600" t="str">
        <f t="shared" ca="1" si="97"/>
        <v/>
      </c>
      <c r="P626" s="600">
        <f t="shared" ca="1" si="98"/>
        <v>924459293.74000001</v>
      </c>
    </row>
    <row r="627" spans="2:16">
      <c r="B627" s="617">
        <v>10000485</v>
      </c>
      <c r="C627" s="621" t="s">
        <v>10</v>
      </c>
      <c r="D627" s="561" t="s">
        <v>22</v>
      </c>
      <c r="E627" s="245" t="s">
        <v>501</v>
      </c>
      <c r="F627" s="569" t="s">
        <v>759</v>
      </c>
      <c r="G627" s="577"/>
      <c r="H627" s="582">
        <v>1255419546.0999999</v>
      </c>
      <c r="I627" s="590">
        <v>43115</v>
      </c>
      <c r="J627" s="626">
        <f t="shared" ca="1" si="99"/>
        <v>1305</v>
      </c>
      <c r="K627" s="600" t="str">
        <f t="shared" ca="1" si="93"/>
        <v/>
      </c>
      <c r="L627" s="600" t="str">
        <f t="shared" ca="1" si="94"/>
        <v/>
      </c>
      <c r="M627" s="601" t="str">
        <f t="shared" ca="1" si="95"/>
        <v/>
      </c>
      <c r="N627" s="600" t="str">
        <f t="shared" ca="1" si="96"/>
        <v/>
      </c>
      <c r="O627" s="600" t="str">
        <f t="shared" ca="1" si="97"/>
        <v/>
      </c>
      <c r="P627" s="600">
        <f t="shared" ca="1" si="98"/>
        <v>1255419546.0999999</v>
      </c>
    </row>
    <row r="628" spans="2:16">
      <c r="B628" s="617">
        <v>10000485</v>
      </c>
      <c r="C628" s="621" t="s">
        <v>10</v>
      </c>
      <c r="D628" s="561" t="s">
        <v>22</v>
      </c>
      <c r="E628" s="245" t="s">
        <v>504</v>
      </c>
      <c r="F628" s="569" t="s">
        <v>760</v>
      </c>
      <c r="G628" s="577"/>
      <c r="H628" s="582">
        <v>1354306014.99</v>
      </c>
      <c r="I628" s="590">
        <v>43141</v>
      </c>
      <c r="J628" s="626">
        <f t="shared" ca="1" si="99"/>
        <v>1279</v>
      </c>
      <c r="K628" s="600" t="str">
        <f t="shared" ca="1" si="93"/>
        <v/>
      </c>
      <c r="L628" s="600" t="str">
        <f t="shared" ca="1" si="94"/>
        <v/>
      </c>
      <c r="M628" s="601" t="str">
        <f t="shared" ca="1" si="95"/>
        <v/>
      </c>
      <c r="N628" s="600" t="str">
        <f t="shared" ca="1" si="96"/>
        <v/>
      </c>
      <c r="O628" s="600" t="str">
        <f t="shared" ca="1" si="97"/>
        <v/>
      </c>
      <c r="P628" s="600">
        <f t="shared" ca="1" si="98"/>
        <v>1354306014.99</v>
      </c>
    </row>
    <row r="629" spans="2:16">
      <c r="B629" s="617">
        <v>10000485</v>
      </c>
      <c r="C629" s="621" t="s">
        <v>10</v>
      </c>
      <c r="D629" s="561" t="s">
        <v>22</v>
      </c>
      <c r="E629" s="245" t="s">
        <v>506</v>
      </c>
      <c r="F629" s="569" t="s">
        <v>761</v>
      </c>
      <c r="G629" s="577"/>
      <c r="H629" s="582">
        <f>248146824.24+266092816.86</f>
        <v>514239641.10000002</v>
      </c>
      <c r="I629" s="590">
        <v>43184</v>
      </c>
      <c r="J629" s="626">
        <f t="shared" ca="1" si="99"/>
        <v>1236</v>
      </c>
      <c r="K629" s="600" t="str">
        <f t="shared" ca="1" si="93"/>
        <v/>
      </c>
      <c r="L629" s="600" t="str">
        <f t="shared" ca="1" si="94"/>
        <v/>
      </c>
      <c r="M629" s="601" t="str">
        <f t="shared" ca="1" si="95"/>
        <v/>
      </c>
      <c r="N629" s="600" t="str">
        <f t="shared" ca="1" si="96"/>
        <v/>
      </c>
      <c r="O629" s="600" t="str">
        <f t="shared" ca="1" si="97"/>
        <v/>
      </c>
      <c r="P629" s="600">
        <f t="shared" ca="1" si="98"/>
        <v>514239641.10000002</v>
      </c>
    </row>
    <row r="630" spans="2:16">
      <c r="B630" s="617">
        <v>10000485</v>
      </c>
      <c r="C630" s="621" t="s">
        <v>10</v>
      </c>
      <c r="D630" s="561" t="s">
        <v>22</v>
      </c>
      <c r="E630" s="245" t="s">
        <v>508</v>
      </c>
      <c r="F630" s="569" t="s">
        <v>763</v>
      </c>
      <c r="G630" s="577"/>
      <c r="H630" s="582">
        <v>1360277740.4100001</v>
      </c>
      <c r="I630" s="590">
        <v>43205</v>
      </c>
      <c r="J630" s="626">
        <f t="shared" ca="1" si="99"/>
        <v>1215</v>
      </c>
      <c r="K630" s="600" t="str">
        <f t="shared" ca="1" si="93"/>
        <v/>
      </c>
      <c r="L630" s="600" t="str">
        <f t="shared" ca="1" si="94"/>
        <v/>
      </c>
      <c r="M630" s="601" t="str">
        <f t="shared" ca="1" si="95"/>
        <v/>
      </c>
      <c r="N630" s="600" t="str">
        <f t="shared" ca="1" si="96"/>
        <v/>
      </c>
      <c r="O630" s="600" t="str">
        <f t="shared" ca="1" si="97"/>
        <v/>
      </c>
      <c r="P630" s="600">
        <f t="shared" ca="1" si="98"/>
        <v>1360277740.4100001</v>
      </c>
    </row>
    <row r="631" spans="2:16">
      <c r="B631" s="617">
        <v>10000485</v>
      </c>
      <c r="C631" s="621" t="s">
        <v>10</v>
      </c>
      <c r="D631" s="561" t="s">
        <v>22</v>
      </c>
      <c r="E631" s="245" t="s">
        <v>355</v>
      </c>
      <c r="F631" s="569" t="s">
        <v>765</v>
      </c>
      <c r="G631" s="577"/>
      <c r="H631" s="582">
        <v>113200150.04872276</v>
      </c>
      <c r="I631" s="590">
        <v>43240</v>
      </c>
      <c r="J631" s="626">
        <f t="shared" ca="1" si="99"/>
        <v>1180</v>
      </c>
      <c r="K631" s="600" t="str">
        <f t="shared" ca="1" si="93"/>
        <v/>
      </c>
      <c r="L631" s="600" t="str">
        <f t="shared" ca="1" si="94"/>
        <v/>
      </c>
      <c r="M631" s="601" t="str">
        <f t="shared" ca="1" si="95"/>
        <v/>
      </c>
      <c r="N631" s="600" t="str">
        <f t="shared" ca="1" si="96"/>
        <v/>
      </c>
      <c r="O631" s="600" t="str">
        <f t="shared" ca="1" si="97"/>
        <v/>
      </c>
      <c r="P631" s="600">
        <f t="shared" ca="1" si="98"/>
        <v>113200150.04872276</v>
      </c>
    </row>
    <row r="632" spans="2:16">
      <c r="B632" s="617">
        <v>10000485</v>
      </c>
      <c r="C632" s="621" t="s">
        <v>10</v>
      </c>
      <c r="D632" s="561" t="s">
        <v>22</v>
      </c>
      <c r="E632" s="245" t="s">
        <v>234</v>
      </c>
      <c r="F632" s="569" t="s">
        <v>1756</v>
      </c>
      <c r="G632" s="577"/>
      <c r="H632" s="582">
        <v>671872997.21866989</v>
      </c>
      <c r="I632" s="590">
        <v>43271</v>
      </c>
      <c r="J632" s="626">
        <f t="shared" ca="1" si="99"/>
        <v>1149</v>
      </c>
      <c r="K632" s="600" t="str">
        <f t="shared" ca="1" si="93"/>
        <v/>
      </c>
      <c r="L632" s="600" t="str">
        <f t="shared" ca="1" si="94"/>
        <v/>
      </c>
      <c r="M632" s="601" t="str">
        <f t="shared" ca="1" si="95"/>
        <v/>
      </c>
      <c r="N632" s="600" t="str">
        <f t="shared" ca="1" si="96"/>
        <v/>
      </c>
      <c r="O632" s="600" t="str">
        <f t="shared" ca="1" si="97"/>
        <v/>
      </c>
      <c r="P632" s="600">
        <f t="shared" ca="1" si="98"/>
        <v>671872997.21866989</v>
      </c>
    </row>
    <row r="633" spans="2:16">
      <c r="B633" s="617">
        <v>10000485</v>
      </c>
      <c r="C633" s="621" t="s">
        <v>10</v>
      </c>
      <c r="D633" s="561" t="s">
        <v>22</v>
      </c>
      <c r="E633" s="245" t="s">
        <v>416</v>
      </c>
      <c r="F633" s="569" t="s">
        <v>2178</v>
      </c>
      <c r="G633" s="577"/>
      <c r="H633" s="582">
        <v>362041103.49363387</v>
      </c>
      <c r="I633" s="590">
        <v>43301</v>
      </c>
      <c r="J633" s="626">
        <f t="shared" ca="1" si="99"/>
        <v>1119</v>
      </c>
      <c r="K633" s="600" t="str">
        <f t="shared" ca="1" si="93"/>
        <v/>
      </c>
      <c r="L633" s="600" t="str">
        <f t="shared" ca="1" si="94"/>
        <v/>
      </c>
      <c r="M633" s="601" t="str">
        <f t="shared" ca="1" si="95"/>
        <v/>
      </c>
      <c r="N633" s="600" t="str">
        <f t="shared" ca="1" si="96"/>
        <v/>
      </c>
      <c r="O633" s="600" t="str">
        <f t="shared" ca="1" si="97"/>
        <v/>
      </c>
      <c r="P633" s="600">
        <f t="shared" ca="1" si="98"/>
        <v>362041103.49363387</v>
      </c>
    </row>
    <row r="634" spans="2:16">
      <c r="B634" s="617"/>
      <c r="C634" s="621"/>
      <c r="D634" s="561"/>
      <c r="E634" s="245"/>
      <c r="F634" s="569"/>
      <c r="G634" s="577"/>
      <c r="H634" s="582"/>
      <c r="I634" s="590"/>
      <c r="J634" s="626"/>
      <c r="K634" s="600" t="str">
        <f t="shared" si="93"/>
        <v/>
      </c>
      <c r="L634" s="600" t="str">
        <f t="shared" si="94"/>
        <v/>
      </c>
      <c r="M634" s="601" t="str">
        <f t="shared" si="95"/>
        <v/>
      </c>
      <c r="N634" s="600" t="str">
        <f t="shared" si="96"/>
        <v/>
      </c>
      <c r="O634" s="600" t="str">
        <f t="shared" si="97"/>
        <v/>
      </c>
      <c r="P634" s="600" t="str">
        <f t="shared" si="98"/>
        <v/>
      </c>
    </row>
    <row r="635" spans="2:16">
      <c r="B635" s="617"/>
      <c r="C635" s="621"/>
      <c r="D635" s="561"/>
      <c r="E635" s="245"/>
      <c r="F635" s="569"/>
      <c r="G635" s="577"/>
      <c r="H635" s="582"/>
      <c r="I635" s="590"/>
      <c r="J635" s="626"/>
      <c r="K635" s="600" t="str">
        <f t="shared" si="93"/>
        <v/>
      </c>
      <c r="L635" s="600" t="str">
        <f t="shared" si="94"/>
        <v/>
      </c>
      <c r="M635" s="601" t="str">
        <f t="shared" si="95"/>
        <v/>
      </c>
      <c r="N635" s="600" t="str">
        <f t="shared" si="96"/>
        <v/>
      </c>
      <c r="O635" s="600" t="str">
        <f t="shared" si="97"/>
        <v/>
      </c>
      <c r="P635" s="600" t="str">
        <f t="shared" si="98"/>
        <v/>
      </c>
    </row>
    <row r="636" spans="2:16">
      <c r="B636" s="617"/>
      <c r="C636" s="621"/>
      <c r="D636" s="561"/>
      <c r="E636" s="245"/>
      <c r="F636" s="569"/>
      <c r="G636" s="577"/>
      <c r="H636" s="582"/>
      <c r="I636" s="590"/>
      <c r="J636" s="626"/>
      <c r="K636" s="600" t="str">
        <f t="shared" si="93"/>
        <v/>
      </c>
      <c r="L636" s="600" t="str">
        <f t="shared" si="94"/>
        <v/>
      </c>
      <c r="M636" s="601" t="str">
        <f t="shared" si="95"/>
        <v/>
      </c>
      <c r="N636" s="600" t="str">
        <f t="shared" si="96"/>
        <v/>
      </c>
      <c r="O636" s="600" t="str">
        <f t="shared" si="97"/>
        <v/>
      </c>
      <c r="P636" s="600" t="str">
        <f t="shared" si="98"/>
        <v/>
      </c>
    </row>
    <row r="637" spans="2:16">
      <c r="B637" s="617"/>
      <c r="C637" s="621"/>
      <c r="D637" s="561"/>
      <c r="E637" s="245"/>
      <c r="F637" s="569"/>
      <c r="G637" s="577"/>
      <c r="H637" s="582"/>
      <c r="I637" s="590"/>
      <c r="J637" s="626"/>
      <c r="K637" s="600" t="str">
        <f t="shared" si="93"/>
        <v/>
      </c>
      <c r="L637" s="600" t="str">
        <f t="shared" si="94"/>
        <v/>
      </c>
      <c r="M637" s="601" t="str">
        <f t="shared" si="95"/>
        <v/>
      </c>
      <c r="N637" s="600" t="str">
        <f t="shared" si="96"/>
        <v/>
      </c>
      <c r="O637" s="600" t="str">
        <f t="shared" si="97"/>
        <v/>
      </c>
      <c r="P637" s="600" t="str">
        <f t="shared" si="98"/>
        <v/>
      </c>
    </row>
    <row r="638" spans="2:16">
      <c r="B638" s="617">
        <v>10000584</v>
      </c>
      <c r="C638" s="621" t="s">
        <v>10</v>
      </c>
      <c r="D638" s="561" t="s">
        <v>23</v>
      </c>
      <c r="E638" s="245" t="s">
        <v>508</v>
      </c>
      <c r="F638" s="569" t="s">
        <v>741</v>
      </c>
      <c r="G638" s="577"/>
      <c r="H638" s="582">
        <v>1196512784.9955001</v>
      </c>
      <c r="I638" s="590">
        <v>43205</v>
      </c>
      <c r="J638" s="626">
        <f t="shared" ref="J638:J660" ca="1" si="100">DATEDIF(I638,$J$4,"D")</f>
        <v>1215</v>
      </c>
      <c r="K638" s="600" t="str">
        <f t="shared" ca="1" si="93"/>
        <v/>
      </c>
      <c r="L638" s="600" t="str">
        <f t="shared" ca="1" si="94"/>
        <v/>
      </c>
      <c r="M638" s="601" t="str">
        <f t="shared" ca="1" si="95"/>
        <v/>
      </c>
      <c r="N638" s="600" t="str">
        <f t="shared" ca="1" si="96"/>
        <v/>
      </c>
      <c r="O638" s="600" t="str">
        <f t="shared" ca="1" si="97"/>
        <v/>
      </c>
      <c r="P638" s="600">
        <f t="shared" ca="1" si="98"/>
        <v>1196512784.9955001</v>
      </c>
    </row>
    <row r="639" spans="2:16">
      <c r="B639" s="617">
        <v>10000584</v>
      </c>
      <c r="C639" s="621" t="s">
        <v>10</v>
      </c>
      <c r="D639" s="561" t="s">
        <v>23</v>
      </c>
      <c r="E639" s="245" t="s">
        <v>355</v>
      </c>
      <c r="F639" s="569" t="s">
        <v>742</v>
      </c>
      <c r="G639" s="577"/>
      <c r="H639" s="582">
        <v>1095591242.5105724</v>
      </c>
      <c r="I639" s="590">
        <v>43250</v>
      </c>
      <c r="J639" s="626">
        <f t="shared" ca="1" si="100"/>
        <v>1170</v>
      </c>
      <c r="K639" s="600" t="str">
        <f t="shared" ca="1" si="93"/>
        <v/>
      </c>
      <c r="L639" s="600" t="str">
        <f t="shared" ca="1" si="94"/>
        <v/>
      </c>
      <c r="M639" s="601" t="str">
        <f t="shared" ca="1" si="95"/>
        <v/>
      </c>
      <c r="N639" s="600" t="str">
        <f t="shared" ca="1" si="96"/>
        <v/>
      </c>
      <c r="O639" s="600" t="str">
        <f t="shared" ca="1" si="97"/>
        <v/>
      </c>
      <c r="P639" s="600">
        <f t="shared" ca="1" si="98"/>
        <v>1095591242.5105724</v>
      </c>
    </row>
    <row r="640" spans="2:16">
      <c r="B640" s="617">
        <v>10000584</v>
      </c>
      <c r="C640" s="621" t="s">
        <v>10</v>
      </c>
      <c r="D640" s="561" t="s">
        <v>23</v>
      </c>
      <c r="E640" s="245" t="s">
        <v>234</v>
      </c>
      <c r="F640" s="569" t="s">
        <v>744</v>
      </c>
      <c r="G640" s="577"/>
      <c r="H640" s="582">
        <v>883260542.73665249</v>
      </c>
      <c r="I640" s="590">
        <v>43271</v>
      </c>
      <c r="J640" s="626">
        <f t="shared" ca="1" si="100"/>
        <v>1149</v>
      </c>
      <c r="K640" s="600" t="str">
        <f t="shared" ca="1" si="93"/>
        <v/>
      </c>
      <c r="L640" s="600" t="str">
        <f t="shared" ca="1" si="94"/>
        <v/>
      </c>
      <c r="M640" s="601" t="str">
        <f t="shared" ca="1" si="95"/>
        <v/>
      </c>
      <c r="N640" s="600" t="str">
        <f t="shared" ca="1" si="96"/>
        <v/>
      </c>
      <c r="O640" s="600" t="str">
        <f t="shared" ca="1" si="97"/>
        <v/>
      </c>
      <c r="P640" s="600">
        <f t="shared" ca="1" si="98"/>
        <v>883260542.73665249</v>
      </c>
    </row>
    <row r="641" spans="2:16">
      <c r="B641" s="617">
        <v>10000584</v>
      </c>
      <c r="C641" s="621" t="s">
        <v>10</v>
      </c>
      <c r="D641" s="561" t="s">
        <v>23</v>
      </c>
      <c r="E641" s="245" t="s">
        <v>416</v>
      </c>
      <c r="F641" s="569" t="s">
        <v>2195</v>
      </c>
      <c r="G641" s="577"/>
      <c r="H641" s="582">
        <v>879863496.206478</v>
      </c>
      <c r="I641" s="590">
        <v>43301</v>
      </c>
      <c r="J641" s="626">
        <f t="shared" ca="1" si="100"/>
        <v>1119</v>
      </c>
      <c r="K641" s="600" t="str">
        <f t="shared" ca="1" si="93"/>
        <v/>
      </c>
      <c r="L641" s="600" t="str">
        <f t="shared" ca="1" si="94"/>
        <v/>
      </c>
      <c r="M641" s="601" t="str">
        <f t="shared" ca="1" si="95"/>
        <v/>
      </c>
      <c r="N641" s="600" t="str">
        <f t="shared" ca="1" si="96"/>
        <v/>
      </c>
      <c r="O641" s="600" t="str">
        <f t="shared" ca="1" si="97"/>
        <v/>
      </c>
      <c r="P641" s="600">
        <f t="shared" ca="1" si="98"/>
        <v>879863496.206478</v>
      </c>
    </row>
    <row r="642" spans="2:16">
      <c r="B642" s="617">
        <v>10000584</v>
      </c>
      <c r="C642" s="621" t="s">
        <v>10</v>
      </c>
      <c r="D642" s="561" t="s">
        <v>23</v>
      </c>
      <c r="E642" s="245" t="s">
        <v>238</v>
      </c>
      <c r="F642" s="569" t="s">
        <v>746</v>
      </c>
      <c r="G642" s="577"/>
      <c r="H642" s="582">
        <v>790824275.24738395</v>
      </c>
      <c r="I642" s="590">
        <v>43340</v>
      </c>
      <c r="J642" s="626">
        <f t="shared" ca="1" si="100"/>
        <v>1080</v>
      </c>
      <c r="K642" s="600" t="str">
        <f t="shared" ca="1" si="93"/>
        <v/>
      </c>
      <c r="L642" s="600" t="str">
        <f t="shared" ca="1" si="94"/>
        <v/>
      </c>
      <c r="M642" s="601" t="str">
        <f t="shared" ca="1" si="95"/>
        <v/>
      </c>
      <c r="N642" s="600" t="str">
        <f t="shared" ca="1" si="96"/>
        <v/>
      </c>
      <c r="O642" s="600" t="str">
        <f t="shared" ca="1" si="97"/>
        <v/>
      </c>
      <c r="P642" s="600">
        <f t="shared" ca="1" si="98"/>
        <v>790824275.24738395</v>
      </c>
    </row>
    <row r="643" spans="2:16">
      <c r="B643" s="617">
        <v>10000584</v>
      </c>
      <c r="C643" s="621" t="s">
        <v>10</v>
      </c>
      <c r="D643" s="561" t="s">
        <v>23</v>
      </c>
      <c r="E643" s="245" t="s">
        <v>517</v>
      </c>
      <c r="F643" s="569" t="s">
        <v>2196</v>
      </c>
      <c r="G643" s="577"/>
      <c r="H643" s="582">
        <v>907186440.12780011</v>
      </c>
      <c r="I643" s="590">
        <v>43371</v>
      </c>
      <c r="J643" s="626">
        <f t="shared" ca="1" si="100"/>
        <v>1049</v>
      </c>
      <c r="K643" s="600" t="str">
        <f t="shared" ca="1" si="93"/>
        <v/>
      </c>
      <c r="L643" s="600" t="str">
        <f t="shared" ca="1" si="94"/>
        <v/>
      </c>
      <c r="M643" s="601" t="str">
        <f t="shared" ca="1" si="95"/>
        <v/>
      </c>
      <c r="N643" s="600" t="str">
        <f t="shared" ca="1" si="96"/>
        <v/>
      </c>
      <c r="O643" s="600" t="str">
        <f t="shared" ca="1" si="97"/>
        <v/>
      </c>
      <c r="P643" s="600">
        <f t="shared" ca="1" si="98"/>
        <v>907186440.12780011</v>
      </c>
    </row>
    <row r="644" spans="2:16">
      <c r="B644" s="617">
        <v>10000584</v>
      </c>
      <c r="C644" s="621" t="s">
        <v>10</v>
      </c>
      <c r="D644" s="561" t="s">
        <v>23</v>
      </c>
      <c r="E644" s="245" t="s">
        <v>243</v>
      </c>
      <c r="F644" s="569" t="s">
        <v>678</v>
      </c>
      <c r="G644" s="577"/>
      <c r="H644" s="582">
        <v>693768393.48673511</v>
      </c>
      <c r="I644" s="590">
        <v>43401</v>
      </c>
      <c r="J644" s="626">
        <f t="shared" ca="1" si="100"/>
        <v>1019</v>
      </c>
      <c r="K644" s="600" t="str">
        <f t="shared" ca="1" si="93"/>
        <v/>
      </c>
      <c r="L644" s="600" t="str">
        <f t="shared" ca="1" si="94"/>
        <v/>
      </c>
      <c r="M644" s="601" t="str">
        <f t="shared" ca="1" si="95"/>
        <v/>
      </c>
      <c r="N644" s="600" t="str">
        <f t="shared" ca="1" si="96"/>
        <v/>
      </c>
      <c r="O644" s="600" t="str">
        <f t="shared" ca="1" si="97"/>
        <v/>
      </c>
      <c r="P644" s="600">
        <f t="shared" ca="1" si="98"/>
        <v>693768393.48673511</v>
      </c>
    </row>
    <row r="645" spans="2:16">
      <c r="B645" s="617">
        <v>10000584</v>
      </c>
      <c r="C645" s="621" t="s">
        <v>10</v>
      </c>
      <c r="D645" s="561" t="s">
        <v>23</v>
      </c>
      <c r="E645" s="245" t="s">
        <v>246</v>
      </c>
      <c r="F645" s="569" t="s">
        <v>1768</v>
      </c>
      <c r="G645" s="577"/>
      <c r="H645" s="582">
        <v>570481706.41232407</v>
      </c>
      <c r="I645" s="590">
        <v>43424</v>
      </c>
      <c r="J645" s="626">
        <f t="shared" ca="1" si="100"/>
        <v>996</v>
      </c>
      <c r="K645" s="600" t="str">
        <f t="shared" ca="1" si="93"/>
        <v/>
      </c>
      <c r="L645" s="600" t="str">
        <f t="shared" ca="1" si="94"/>
        <v/>
      </c>
      <c r="M645" s="601" t="str">
        <f t="shared" ca="1" si="95"/>
        <v/>
      </c>
      <c r="N645" s="600" t="str">
        <f t="shared" ca="1" si="96"/>
        <v/>
      </c>
      <c r="O645" s="600" t="str">
        <f t="shared" ca="1" si="97"/>
        <v/>
      </c>
      <c r="P645" s="600">
        <f t="shared" ca="1" si="98"/>
        <v>570481706.41232407</v>
      </c>
    </row>
    <row r="646" spans="2:16">
      <c r="B646" s="617">
        <v>10000584</v>
      </c>
      <c r="C646" s="621" t="s">
        <v>10</v>
      </c>
      <c r="D646" s="561" t="s">
        <v>23</v>
      </c>
      <c r="E646" s="245" t="s">
        <v>522</v>
      </c>
      <c r="F646" s="569" t="s">
        <v>1769</v>
      </c>
      <c r="G646" s="577"/>
      <c r="H646" s="582">
        <v>668730412.8156749</v>
      </c>
      <c r="I646" s="590">
        <v>43454</v>
      </c>
      <c r="J646" s="626">
        <f t="shared" ca="1" si="100"/>
        <v>966</v>
      </c>
      <c r="K646" s="600" t="str">
        <f t="shared" ca="1" si="93"/>
        <v/>
      </c>
      <c r="L646" s="600" t="str">
        <f t="shared" ca="1" si="94"/>
        <v/>
      </c>
      <c r="M646" s="601" t="str">
        <f t="shared" ca="1" si="95"/>
        <v/>
      </c>
      <c r="N646" s="600" t="str">
        <f t="shared" ca="1" si="96"/>
        <v/>
      </c>
      <c r="O646" s="600" t="str">
        <f t="shared" ca="1" si="97"/>
        <v/>
      </c>
      <c r="P646" s="600">
        <f t="shared" ca="1" si="98"/>
        <v>668730412.8156749</v>
      </c>
    </row>
    <row r="647" spans="2:16">
      <c r="B647" s="617">
        <v>10000584</v>
      </c>
      <c r="C647" s="621" t="s">
        <v>10</v>
      </c>
      <c r="D647" s="561" t="s">
        <v>23</v>
      </c>
      <c r="E647" s="245" t="s">
        <v>250</v>
      </c>
      <c r="F647" s="569" t="s">
        <v>255</v>
      </c>
      <c r="G647" s="577"/>
      <c r="H647" s="582">
        <f>918818953.74-444866779.87</f>
        <v>473952173.87</v>
      </c>
      <c r="I647" s="590">
        <v>43485</v>
      </c>
      <c r="J647" s="626">
        <f t="shared" ca="1" si="100"/>
        <v>935</v>
      </c>
      <c r="K647" s="600" t="str">
        <f t="shared" ca="1" si="93"/>
        <v/>
      </c>
      <c r="L647" s="600" t="str">
        <f t="shared" ca="1" si="94"/>
        <v/>
      </c>
      <c r="M647" s="601" t="str">
        <f t="shared" ca="1" si="95"/>
        <v/>
      </c>
      <c r="N647" s="600" t="str">
        <f t="shared" ca="1" si="96"/>
        <v/>
      </c>
      <c r="O647" s="600" t="str">
        <f t="shared" ca="1" si="97"/>
        <v/>
      </c>
      <c r="P647" s="600">
        <f t="shared" ca="1" si="98"/>
        <v>473952173.87</v>
      </c>
    </row>
    <row r="648" spans="2:16">
      <c r="B648" s="617">
        <v>10000584</v>
      </c>
      <c r="C648" s="621" t="s">
        <v>10</v>
      </c>
      <c r="D648" s="561" t="s">
        <v>23</v>
      </c>
      <c r="E648" s="245" t="s">
        <v>139</v>
      </c>
      <c r="F648" s="569" t="s">
        <v>258</v>
      </c>
      <c r="G648" s="577"/>
      <c r="H648" s="582">
        <v>667922265.21000004</v>
      </c>
      <c r="I648" s="590">
        <v>43516</v>
      </c>
      <c r="J648" s="626">
        <f t="shared" ca="1" si="100"/>
        <v>904</v>
      </c>
      <c r="K648" s="600" t="str">
        <f t="shared" ca="1" si="93"/>
        <v/>
      </c>
      <c r="L648" s="600" t="str">
        <f t="shared" ca="1" si="94"/>
        <v/>
      </c>
      <c r="M648" s="601" t="str">
        <f t="shared" ca="1" si="95"/>
        <v/>
      </c>
      <c r="N648" s="600" t="str">
        <f t="shared" ca="1" si="96"/>
        <v/>
      </c>
      <c r="O648" s="600" t="str">
        <f t="shared" ca="1" si="97"/>
        <v/>
      </c>
      <c r="P648" s="600">
        <f t="shared" ca="1" si="98"/>
        <v>667922265.21000004</v>
      </c>
    </row>
    <row r="649" spans="2:16">
      <c r="B649" s="617">
        <v>10000584</v>
      </c>
      <c r="C649" s="621" t="s">
        <v>10</v>
      </c>
      <c r="D649" s="561" t="s">
        <v>23</v>
      </c>
      <c r="E649" s="245" t="s">
        <v>142</v>
      </c>
      <c r="F649" s="569" t="s">
        <v>263</v>
      </c>
      <c r="G649" s="577"/>
      <c r="H649" s="582">
        <v>710254833.77620792</v>
      </c>
      <c r="I649" s="590">
        <v>43544</v>
      </c>
      <c r="J649" s="626">
        <f t="shared" ca="1" si="100"/>
        <v>876</v>
      </c>
      <c r="K649" s="600" t="str">
        <f t="shared" ca="1" si="93"/>
        <v/>
      </c>
      <c r="L649" s="600" t="str">
        <f t="shared" ca="1" si="94"/>
        <v/>
      </c>
      <c r="M649" s="601" t="str">
        <f t="shared" ca="1" si="95"/>
        <v/>
      </c>
      <c r="N649" s="600" t="str">
        <f t="shared" ca="1" si="96"/>
        <v/>
      </c>
      <c r="O649" s="600" t="str">
        <f t="shared" ca="1" si="97"/>
        <v/>
      </c>
      <c r="P649" s="600">
        <f t="shared" ca="1" si="98"/>
        <v>710254833.77620792</v>
      </c>
    </row>
    <row r="650" spans="2:16">
      <c r="B650" s="617">
        <v>10000584</v>
      </c>
      <c r="C650" s="621" t="s">
        <v>10</v>
      </c>
      <c r="D650" s="561" t="s">
        <v>23</v>
      </c>
      <c r="E650" s="245" t="s">
        <v>145</v>
      </c>
      <c r="F650" s="569" t="s">
        <v>265</v>
      </c>
      <c r="G650" s="577"/>
      <c r="H650" s="582">
        <v>640443589.23035395</v>
      </c>
      <c r="I650" s="590">
        <v>43575</v>
      </c>
      <c r="J650" s="626">
        <f t="shared" ca="1" si="100"/>
        <v>845</v>
      </c>
      <c r="K650" s="600" t="str">
        <f t="shared" ca="1" si="93"/>
        <v/>
      </c>
      <c r="L650" s="600" t="str">
        <f t="shared" ca="1" si="94"/>
        <v/>
      </c>
      <c r="M650" s="601" t="str">
        <f t="shared" ca="1" si="95"/>
        <v/>
      </c>
      <c r="N650" s="600" t="str">
        <f t="shared" ca="1" si="96"/>
        <v/>
      </c>
      <c r="O650" s="600" t="str">
        <f t="shared" ca="1" si="97"/>
        <v/>
      </c>
      <c r="P650" s="600">
        <f t="shared" ca="1" si="98"/>
        <v>640443589.23035395</v>
      </c>
    </row>
    <row r="651" spans="2:16">
      <c r="B651" s="617">
        <v>10000584</v>
      </c>
      <c r="C651" s="621" t="s">
        <v>10</v>
      </c>
      <c r="D651" s="561" t="s">
        <v>23</v>
      </c>
      <c r="E651" s="245" t="s">
        <v>148</v>
      </c>
      <c r="F651" s="569" t="s">
        <v>267</v>
      </c>
      <c r="G651" s="577"/>
      <c r="H651" s="582">
        <v>727593120.89100003</v>
      </c>
      <c r="I651" s="590" t="s">
        <v>2197</v>
      </c>
      <c r="J651" s="626">
        <f t="shared" ca="1" si="100"/>
        <v>738</v>
      </c>
      <c r="K651" s="600" t="str">
        <f t="shared" ca="1" si="93"/>
        <v/>
      </c>
      <c r="L651" s="600" t="str">
        <f t="shared" ca="1" si="94"/>
        <v/>
      </c>
      <c r="M651" s="601" t="str">
        <f t="shared" ca="1" si="95"/>
        <v/>
      </c>
      <c r="N651" s="600" t="str">
        <f t="shared" ca="1" si="96"/>
        <v/>
      </c>
      <c r="O651" s="600" t="str">
        <f t="shared" ca="1" si="97"/>
        <v/>
      </c>
      <c r="P651" s="600">
        <f t="shared" ca="1" si="98"/>
        <v>727593120.89100003</v>
      </c>
    </row>
    <row r="652" spans="2:16">
      <c r="B652" s="617">
        <v>10000584</v>
      </c>
      <c r="C652" s="621" t="s">
        <v>10</v>
      </c>
      <c r="D652" s="561" t="s">
        <v>23</v>
      </c>
      <c r="E652" s="245" t="s">
        <v>151</v>
      </c>
      <c r="F652" s="569" t="s">
        <v>268</v>
      </c>
      <c r="G652" s="577"/>
      <c r="H652" s="582">
        <v>700838591.33793747</v>
      </c>
      <c r="I652" s="590">
        <v>43617</v>
      </c>
      <c r="J652" s="626">
        <f t="shared" ca="1" si="100"/>
        <v>803</v>
      </c>
      <c r="K652" s="600" t="str">
        <f t="shared" ca="1" si="93"/>
        <v/>
      </c>
      <c r="L652" s="600" t="str">
        <f t="shared" ca="1" si="94"/>
        <v/>
      </c>
      <c r="M652" s="601" t="str">
        <f t="shared" ca="1" si="95"/>
        <v/>
      </c>
      <c r="N652" s="600" t="str">
        <f t="shared" ca="1" si="96"/>
        <v/>
      </c>
      <c r="O652" s="600" t="str">
        <f t="shared" ca="1" si="97"/>
        <v/>
      </c>
      <c r="P652" s="600">
        <f t="shared" ca="1" si="98"/>
        <v>700838591.33793747</v>
      </c>
    </row>
    <row r="653" spans="2:16">
      <c r="B653" s="617">
        <v>10000584</v>
      </c>
      <c r="C653" s="621" t="s">
        <v>10</v>
      </c>
      <c r="D653" s="561" t="s">
        <v>23</v>
      </c>
      <c r="E653" s="245" t="s">
        <v>154</v>
      </c>
      <c r="F653" s="569" t="s">
        <v>122</v>
      </c>
      <c r="G653" s="577"/>
      <c r="H653" s="582">
        <v>702702922.38370347</v>
      </c>
      <c r="I653" s="590">
        <v>43647</v>
      </c>
      <c r="J653" s="626">
        <f t="shared" ca="1" si="100"/>
        <v>773</v>
      </c>
      <c r="K653" s="600" t="str">
        <f t="shared" ca="1" si="93"/>
        <v/>
      </c>
      <c r="L653" s="600" t="str">
        <f t="shared" ca="1" si="94"/>
        <v/>
      </c>
      <c r="M653" s="601" t="str">
        <f t="shared" ca="1" si="95"/>
        <v/>
      </c>
      <c r="N653" s="600" t="str">
        <f t="shared" ca="1" si="96"/>
        <v/>
      </c>
      <c r="O653" s="600" t="str">
        <f t="shared" ca="1" si="97"/>
        <v/>
      </c>
      <c r="P653" s="600">
        <f t="shared" ca="1" si="98"/>
        <v>702702922.38370347</v>
      </c>
    </row>
    <row r="654" spans="2:16">
      <c r="B654" s="617">
        <v>10000584</v>
      </c>
      <c r="C654" s="621" t="s">
        <v>10</v>
      </c>
      <c r="D654" s="561" t="s">
        <v>23</v>
      </c>
      <c r="E654" s="245" t="s">
        <v>158</v>
      </c>
      <c r="F654" s="569" t="s">
        <v>122</v>
      </c>
      <c r="G654" s="577"/>
      <c r="H654" s="582">
        <v>688459181.66195619</v>
      </c>
      <c r="I654" s="590">
        <v>43678</v>
      </c>
      <c r="J654" s="626">
        <f t="shared" ca="1" si="100"/>
        <v>742</v>
      </c>
      <c r="K654" s="600" t="str">
        <f t="shared" ca="1" si="93"/>
        <v/>
      </c>
      <c r="L654" s="600" t="str">
        <f t="shared" ca="1" si="94"/>
        <v/>
      </c>
      <c r="M654" s="601" t="str">
        <f t="shared" ca="1" si="95"/>
        <v/>
      </c>
      <c r="N654" s="600" t="str">
        <f t="shared" ca="1" si="96"/>
        <v/>
      </c>
      <c r="O654" s="600" t="str">
        <f t="shared" ca="1" si="97"/>
        <v/>
      </c>
      <c r="P654" s="600">
        <f t="shared" ca="1" si="98"/>
        <v>688459181.66195619</v>
      </c>
    </row>
    <row r="655" spans="2:16">
      <c r="B655" s="617">
        <v>10000584</v>
      </c>
      <c r="C655" s="621" t="s">
        <v>10</v>
      </c>
      <c r="D655" s="561" t="s">
        <v>23</v>
      </c>
      <c r="E655" s="245" t="s">
        <v>162</v>
      </c>
      <c r="F655" s="569" t="s">
        <v>122</v>
      </c>
      <c r="G655" s="577"/>
      <c r="H655" s="582">
        <v>699060527.77595997</v>
      </c>
      <c r="I655" s="590">
        <v>43712</v>
      </c>
      <c r="J655" s="626">
        <f t="shared" ca="1" si="100"/>
        <v>708</v>
      </c>
      <c r="K655" s="600" t="str">
        <f t="shared" ca="1" si="93"/>
        <v/>
      </c>
      <c r="L655" s="600" t="str">
        <f t="shared" ca="1" si="94"/>
        <v/>
      </c>
      <c r="M655" s="601" t="str">
        <f t="shared" ca="1" si="95"/>
        <v/>
      </c>
      <c r="N655" s="600" t="str">
        <f t="shared" ca="1" si="96"/>
        <v/>
      </c>
      <c r="O655" s="600" t="str">
        <f t="shared" ca="1" si="97"/>
        <v/>
      </c>
      <c r="P655" s="600">
        <f t="shared" ca="1" si="98"/>
        <v>699060527.77595997</v>
      </c>
    </row>
    <row r="656" spans="2:16">
      <c r="B656" s="617">
        <v>10000584</v>
      </c>
      <c r="C656" s="621" t="s">
        <v>10</v>
      </c>
      <c r="D656" s="561" t="s">
        <v>23</v>
      </c>
      <c r="E656" s="245" t="s">
        <v>166</v>
      </c>
      <c r="F656" s="569" t="s">
        <v>122</v>
      </c>
      <c r="G656" s="577"/>
      <c r="H656" s="582">
        <v>478544108.57967001</v>
      </c>
      <c r="I656" s="590">
        <v>43747</v>
      </c>
      <c r="J656" s="626">
        <f t="shared" ca="1" si="100"/>
        <v>673</v>
      </c>
      <c r="K656" s="600" t="str">
        <f t="shared" ca="1" si="93"/>
        <v/>
      </c>
      <c r="L656" s="600" t="str">
        <f t="shared" ca="1" si="94"/>
        <v/>
      </c>
      <c r="M656" s="601" t="str">
        <f t="shared" ca="1" si="95"/>
        <v/>
      </c>
      <c r="N656" s="600" t="str">
        <f t="shared" ca="1" si="96"/>
        <v/>
      </c>
      <c r="O656" s="600" t="str">
        <f t="shared" ca="1" si="97"/>
        <v/>
      </c>
      <c r="P656" s="600">
        <f t="shared" ca="1" si="98"/>
        <v>478544108.57967001</v>
      </c>
    </row>
    <row r="657" spans="2:16">
      <c r="B657" s="617">
        <v>10000584</v>
      </c>
      <c r="C657" s="621" t="s">
        <v>10</v>
      </c>
      <c r="D657" s="561" t="s">
        <v>23</v>
      </c>
      <c r="E657" s="245" t="s">
        <v>170</v>
      </c>
      <c r="F657" s="569" t="s">
        <v>122</v>
      </c>
      <c r="G657" s="577"/>
      <c r="H657" s="582">
        <v>512624733.444516</v>
      </c>
      <c r="I657" s="590">
        <v>43777</v>
      </c>
      <c r="J657" s="626">
        <f t="shared" ca="1" si="100"/>
        <v>643</v>
      </c>
      <c r="K657" s="600" t="str">
        <f t="shared" ca="1" si="93"/>
        <v/>
      </c>
      <c r="L657" s="600" t="str">
        <f t="shared" ca="1" si="94"/>
        <v/>
      </c>
      <c r="M657" s="601" t="str">
        <f t="shared" ca="1" si="95"/>
        <v/>
      </c>
      <c r="N657" s="600" t="str">
        <f t="shared" ca="1" si="96"/>
        <v/>
      </c>
      <c r="O657" s="600" t="str">
        <f t="shared" ca="1" si="97"/>
        <v/>
      </c>
      <c r="P657" s="600">
        <f t="shared" ca="1" si="98"/>
        <v>512624733.444516</v>
      </c>
    </row>
    <row r="658" spans="2:16">
      <c r="B658" s="617">
        <v>10000584</v>
      </c>
      <c r="C658" s="621" t="s">
        <v>10</v>
      </c>
      <c r="D658" s="561" t="s">
        <v>23</v>
      </c>
      <c r="E658" s="245" t="s">
        <v>174</v>
      </c>
      <c r="F658" s="569" t="s">
        <v>122</v>
      </c>
      <c r="G658" s="577"/>
      <c r="H658" s="582">
        <v>556748563.7498399</v>
      </c>
      <c r="I658" s="590">
        <v>43803</v>
      </c>
      <c r="J658" s="626">
        <f t="shared" ca="1" si="100"/>
        <v>617</v>
      </c>
      <c r="K658" s="600" t="str">
        <f t="shared" ca="1" si="93"/>
        <v/>
      </c>
      <c r="L658" s="600" t="str">
        <f t="shared" ca="1" si="94"/>
        <v/>
      </c>
      <c r="M658" s="601" t="str">
        <f t="shared" ca="1" si="95"/>
        <v/>
      </c>
      <c r="N658" s="600" t="str">
        <f t="shared" ca="1" si="96"/>
        <v/>
      </c>
      <c r="O658" s="600" t="str">
        <f t="shared" ca="1" si="97"/>
        <v/>
      </c>
      <c r="P658" s="600">
        <f t="shared" ca="1" si="98"/>
        <v>556748563.7498399</v>
      </c>
    </row>
    <row r="659" spans="2:16">
      <c r="B659" s="617">
        <v>10000584</v>
      </c>
      <c r="C659" s="621" t="s">
        <v>10</v>
      </c>
      <c r="D659" s="561" t="s">
        <v>23</v>
      </c>
      <c r="E659" s="245" t="s">
        <v>778</v>
      </c>
      <c r="F659" s="569" t="s">
        <v>122</v>
      </c>
      <c r="G659" s="577"/>
      <c r="H659" s="582">
        <v>613018058.47330761</v>
      </c>
      <c r="I659" s="590" t="s">
        <v>179</v>
      </c>
      <c r="J659" s="626">
        <f t="shared" ca="1" si="100"/>
        <v>589</v>
      </c>
      <c r="K659" s="600" t="str">
        <f t="shared" ca="1" si="93"/>
        <v/>
      </c>
      <c r="L659" s="600" t="str">
        <f t="shared" ca="1" si="94"/>
        <v/>
      </c>
      <c r="M659" s="601" t="str">
        <f t="shared" ca="1" si="95"/>
        <v/>
      </c>
      <c r="N659" s="600" t="str">
        <f t="shared" ca="1" si="96"/>
        <v/>
      </c>
      <c r="O659" s="600" t="str">
        <f t="shared" ca="1" si="97"/>
        <v/>
      </c>
      <c r="P659" s="600">
        <f t="shared" ca="1" si="98"/>
        <v>613018058.47330761</v>
      </c>
    </row>
    <row r="660" spans="2:16">
      <c r="B660" s="617">
        <v>10000584</v>
      </c>
      <c r="C660" s="621" t="s">
        <v>10</v>
      </c>
      <c r="D660" s="561" t="s">
        <v>23</v>
      </c>
      <c r="E660" s="245" t="s">
        <v>1566</v>
      </c>
      <c r="F660" s="569" t="s">
        <v>122</v>
      </c>
      <c r="G660" s="577"/>
      <c r="H660" s="582">
        <v>432349282.26786447</v>
      </c>
      <c r="I660" s="590">
        <v>43865</v>
      </c>
      <c r="J660" s="626">
        <f t="shared" ca="1" si="100"/>
        <v>555</v>
      </c>
      <c r="K660" s="600" t="str">
        <f t="shared" ca="1" si="93"/>
        <v/>
      </c>
      <c r="L660" s="600" t="str">
        <f t="shared" ca="1" si="94"/>
        <v/>
      </c>
      <c r="M660" s="601" t="str">
        <f t="shared" ca="1" si="95"/>
        <v/>
      </c>
      <c r="N660" s="600" t="str">
        <f t="shared" ca="1" si="96"/>
        <v/>
      </c>
      <c r="O660" s="600" t="str">
        <f t="shared" ca="1" si="97"/>
        <v/>
      </c>
      <c r="P660" s="600">
        <f t="shared" ca="1" si="98"/>
        <v>432349282.26786447</v>
      </c>
    </row>
    <row r="661" spans="2:16">
      <c r="B661" s="617"/>
      <c r="C661" s="621"/>
      <c r="D661" s="561"/>
      <c r="E661" s="245"/>
      <c r="F661" s="569"/>
      <c r="G661" s="577"/>
      <c r="H661" s="582"/>
      <c r="I661" s="590"/>
      <c r="J661" s="626"/>
      <c r="K661" s="600" t="str">
        <f t="shared" si="93"/>
        <v/>
      </c>
      <c r="L661" s="600" t="str">
        <f t="shared" si="94"/>
        <v/>
      </c>
      <c r="M661" s="601" t="str">
        <f t="shared" si="95"/>
        <v/>
      </c>
      <c r="N661" s="600" t="str">
        <f t="shared" si="96"/>
        <v/>
      </c>
      <c r="O661" s="600" t="str">
        <f t="shared" si="97"/>
        <v/>
      </c>
      <c r="P661" s="600" t="str">
        <f t="shared" si="98"/>
        <v/>
      </c>
    </row>
    <row r="662" spans="2:16">
      <c r="B662" s="617"/>
      <c r="C662" s="621"/>
      <c r="D662" s="561"/>
      <c r="E662" s="245"/>
      <c r="F662" s="569"/>
      <c r="G662" s="577"/>
      <c r="H662" s="582"/>
      <c r="I662" s="590"/>
      <c r="J662" s="626"/>
      <c r="K662" s="600" t="str">
        <f t="shared" si="93"/>
        <v/>
      </c>
      <c r="L662" s="600" t="str">
        <f t="shared" si="94"/>
        <v/>
      </c>
      <c r="M662" s="601" t="str">
        <f t="shared" si="95"/>
        <v/>
      </c>
      <c r="N662" s="600" t="str">
        <f t="shared" si="96"/>
        <v/>
      </c>
      <c r="O662" s="600" t="str">
        <f t="shared" si="97"/>
        <v/>
      </c>
      <c r="P662" s="600" t="str">
        <f t="shared" si="98"/>
        <v/>
      </c>
    </row>
    <row r="663" spans="2:16">
      <c r="B663" s="617"/>
      <c r="C663" s="621"/>
      <c r="D663" s="561"/>
      <c r="E663" s="245"/>
      <c r="F663" s="569"/>
      <c r="G663" s="577"/>
      <c r="H663" s="582"/>
      <c r="I663" s="590"/>
      <c r="J663" s="626"/>
      <c r="K663" s="600" t="str">
        <f t="shared" si="93"/>
        <v/>
      </c>
      <c r="L663" s="600" t="str">
        <f t="shared" si="94"/>
        <v/>
      </c>
      <c r="M663" s="601" t="str">
        <f t="shared" si="95"/>
        <v/>
      </c>
      <c r="N663" s="600" t="str">
        <f t="shared" si="96"/>
        <v/>
      </c>
      <c r="O663" s="600" t="str">
        <f t="shared" si="97"/>
        <v/>
      </c>
      <c r="P663" s="600" t="str">
        <f t="shared" si="98"/>
        <v/>
      </c>
    </row>
    <row r="664" spans="2:16">
      <c r="B664" s="617">
        <v>10000486</v>
      </c>
      <c r="C664" s="621" t="s">
        <v>10</v>
      </c>
      <c r="D664" s="561" t="s">
        <v>24</v>
      </c>
      <c r="E664" s="245" t="s">
        <v>508</v>
      </c>
      <c r="F664" s="569" t="s">
        <v>754</v>
      </c>
      <c r="G664" s="577"/>
      <c r="H664" s="582">
        <v>1309004459.3099999</v>
      </c>
      <c r="I664" s="591">
        <v>43205</v>
      </c>
      <c r="J664" s="626">
        <f t="shared" ref="J664:J686" ca="1" si="101">DATEDIF(I664,$J$4,"D")</f>
        <v>1215</v>
      </c>
      <c r="K664" s="600" t="str">
        <f t="shared" ca="1" si="93"/>
        <v/>
      </c>
      <c r="L664" s="600" t="str">
        <f t="shared" ca="1" si="94"/>
        <v/>
      </c>
      <c r="M664" s="601" t="str">
        <f t="shared" ca="1" si="95"/>
        <v/>
      </c>
      <c r="N664" s="600" t="str">
        <f t="shared" ca="1" si="96"/>
        <v/>
      </c>
      <c r="O664" s="600" t="str">
        <f t="shared" ca="1" si="97"/>
        <v/>
      </c>
      <c r="P664" s="600">
        <f t="shared" ca="1" si="98"/>
        <v>1309004459.3099999</v>
      </c>
    </row>
    <row r="665" spans="2:16">
      <c r="B665" s="617">
        <v>10000486</v>
      </c>
      <c r="C665" s="621" t="s">
        <v>10</v>
      </c>
      <c r="D665" s="561" t="s">
        <v>24</v>
      </c>
      <c r="E665" s="245" t="s">
        <v>355</v>
      </c>
      <c r="F665" s="569" t="s">
        <v>756</v>
      </c>
      <c r="G665" s="577"/>
      <c r="H665" s="582">
        <v>1498779233.8663359</v>
      </c>
      <c r="I665" s="591">
        <v>43250</v>
      </c>
      <c r="J665" s="626">
        <f t="shared" ca="1" si="101"/>
        <v>1170</v>
      </c>
      <c r="K665" s="600" t="str">
        <f t="shared" ca="1" si="93"/>
        <v/>
      </c>
      <c r="L665" s="600" t="str">
        <f t="shared" ca="1" si="94"/>
        <v/>
      </c>
      <c r="M665" s="601" t="str">
        <f t="shared" ca="1" si="95"/>
        <v/>
      </c>
      <c r="N665" s="600" t="str">
        <f t="shared" ca="1" si="96"/>
        <v/>
      </c>
      <c r="O665" s="600" t="str">
        <f t="shared" ca="1" si="97"/>
        <v/>
      </c>
      <c r="P665" s="600">
        <f t="shared" ca="1" si="98"/>
        <v>1498779233.8663359</v>
      </c>
    </row>
    <row r="666" spans="2:16">
      <c r="B666" s="617">
        <v>10000486</v>
      </c>
      <c r="C666" s="621" t="s">
        <v>10</v>
      </c>
      <c r="D666" s="561" t="s">
        <v>24</v>
      </c>
      <c r="E666" s="245" t="s">
        <v>234</v>
      </c>
      <c r="F666" s="569" t="s">
        <v>759</v>
      </c>
      <c r="G666" s="577"/>
      <c r="H666" s="582">
        <v>1241468119.3182936</v>
      </c>
      <c r="I666" s="591">
        <v>43266</v>
      </c>
      <c r="J666" s="626">
        <f t="shared" ca="1" si="101"/>
        <v>1154</v>
      </c>
      <c r="K666" s="600" t="str">
        <f t="shared" ca="1" si="93"/>
        <v/>
      </c>
      <c r="L666" s="600" t="str">
        <f t="shared" ca="1" si="94"/>
        <v/>
      </c>
      <c r="M666" s="601" t="str">
        <f t="shared" ca="1" si="95"/>
        <v/>
      </c>
      <c r="N666" s="600" t="str">
        <f t="shared" ca="1" si="96"/>
        <v/>
      </c>
      <c r="O666" s="600" t="str">
        <f t="shared" ca="1" si="97"/>
        <v/>
      </c>
      <c r="P666" s="600">
        <f t="shared" ca="1" si="98"/>
        <v>1241468119.3182936</v>
      </c>
    </row>
    <row r="667" spans="2:16">
      <c r="B667" s="617">
        <v>10000486</v>
      </c>
      <c r="C667" s="621" t="s">
        <v>10</v>
      </c>
      <c r="D667" s="561" t="s">
        <v>24</v>
      </c>
      <c r="E667" s="245" t="s">
        <v>416</v>
      </c>
      <c r="F667" s="569" t="s">
        <v>760</v>
      </c>
      <c r="G667" s="577"/>
      <c r="H667" s="582">
        <v>1260266331.818176</v>
      </c>
      <c r="I667" s="591">
        <v>43296</v>
      </c>
      <c r="J667" s="626">
        <f t="shared" ca="1" si="101"/>
        <v>1124</v>
      </c>
      <c r="K667" s="600" t="str">
        <f t="shared" ca="1" si="93"/>
        <v/>
      </c>
      <c r="L667" s="600" t="str">
        <f t="shared" ca="1" si="94"/>
        <v/>
      </c>
      <c r="M667" s="601" t="str">
        <f t="shared" ca="1" si="95"/>
        <v/>
      </c>
      <c r="N667" s="600" t="str">
        <f t="shared" ca="1" si="96"/>
        <v/>
      </c>
      <c r="O667" s="600" t="str">
        <f t="shared" ca="1" si="97"/>
        <v/>
      </c>
      <c r="P667" s="600">
        <f t="shared" ca="1" si="98"/>
        <v>1260266331.818176</v>
      </c>
    </row>
    <row r="668" spans="2:16">
      <c r="B668" s="617">
        <v>10000486</v>
      </c>
      <c r="C668" s="621" t="s">
        <v>10</v>
      </c>
      <c r="D668" s="561" t="s">
        <v>24</v>
      </c>
      <c r="E668" s="245" t="s">
        <v>238</v>
      </c>
      <c r="F668" s="569" t="s">
        <v>761</v>
      </c>
      <c r="G668" s="577"/>
      <c r="H668" s="582">
        <v>828565022.70753014</v>
      </c>
      <c r="I668" s="591">
        <v>43340</v>
      </c>
      <c r="J668" s="626">
        <f t="shared" ca="1" si="101"/>
        <v>1080</v>
      </c>
      <c r="K668" s="600" t="str">
        <f t="shared" ca="1" si="93"/>
        <v/>
      </c>
      <c r="L668" s="600" t="str">
        <f t="shared" ca="1" si="94"/>
        <v/>
      </c>
      <c r="M668" s="601" t="str">
        <f t="shared" ca="1" si="95"/>
        <v/>
      </c>
      <c r="N668" s="600" t="str">
        <f t="shared" ca="1" si="96"/>
        <v/>
      </c>
      <c r="O668" s="600" t="str">
        <f t="shared" ca="1" si="97"/>
        <v/>
      </c>
      <c r="P668" s="600">
        <f t="shared" ca="1" si="98"/>
        <v>828565022.70753014</v>
      </c>
    </row>
    <row r="669" spans="2:16">
      <c r="B669" s="617">
        <v>10000486</v>
      </c>
      <c r="C669" s="621" t="s">
        <v>10</v>
      </c>
      <c r="D669" s="561" t="s">
        <v>24</v>
      </c>
      <c r="E669" s="245" t="s">
        <v>517</v>
      </c>
      <c r="F669" s="569" t="s">
        <v>763</v>
      </c>
      <c r="G669" s="577"/>
      <c r="H669" s="582">
        <v>815725386.88872004</v>
      </c>
      <c r="I669" s="591">
        <v>43371</v>
      </c>
      <c r="J669" s="626">
        <f t="shared" ca="1" si="101"/>
        <v>1049</v>
      </c>
      <c r="K669" s="600" t="str">
        <f t="shared" ca="1" si="93"/>
        <v/>
      </c>
      <c r="L669" s="600" t="str">
        <f t="shared" ca="1" si="94"/>
        <v/>
      </c>
      <c r="M669" s="601" t="str">
        <f t="shared" ca="1" si="95"/>
        <v/>
      </c>
      <c r="N669" s="600" t="str">
        <f t="shared" ca="1" si="96"/>
        <v/>
      </c>
      <c r="O669" s="600" t="str">
        <f t="shared" ca="1" si="97"/>
        <v/>
      </c>
      <c r="P669" s="600">
        <f t="shared" ca="1" si="98"/>
        <v>815725386.88872004</v>
      </c>
    </row>
    <row r="670" spans="2:16">
      <c r="B670" s="617">
        <v>10000486</v>
      </c>
      <c r="C670" s="621" t="s">
        <v>10</v>
      </c>
      <c r="D670" s="561" t="s">
        <v>24</v>
      </c>
      <c r="E670" s="245" t="s">
        <v>243</v>
      </c>
      <c r="F670" s="569" t="s">
        <v>1756</v>
      </c>
      <c r="G670" s="577"/>
      <c r="H670" s="582">
        <v>725958743.43724728</v>
      </c>
      <c r="I670" s="591">
        <v>43401</v>
      </c>
      <c r="J670" s="626">
        <f t="shared" ca="1" si="101"/>
        <v>1019</v>
      </c>
      <c r="K670" s="600" t="str">
        <f t="shared" ca="1" si="93"/>
        <v/>
      </c>
      <c r="L670" s="600" t="str">
        <f t="shared" ca="1" si="94"/>
        <v/>
      </c>
      <c r="M670" s="601" t="str">
        <f t="shared" ca="1" si="95"/>
        <v/>
      </c>
      <c r="N670" s="600" t="str">
        <f t="shared" ca="1" si="96"/>
        <v/>
      </c>
      <c r="O670" s="600" t="str">
        <f t="shared" ca="1" si="97"/>
        <v/>
      </c>
      <c r="P670" s="600">
        <f t="shared" ca="1" si="98"/>
        <v>725958743.43724728</v>
      </c>
    </row>
    <row r="671" spans="2:16">
      <c r="B671" s="617">
        <v>10000486</v>
      </c>
      <c r="C671" s="621" t="s">
        <v>10</v>
      </c>
      <c r="D671" s="561" t="s">
        <v>24</v>
      </c>
      <c r="E671" s="245" t="s">
        <v>246</v>
      </c>
      <c r="F671" s="569" t="s">
        <v>2178</v>
      </c>
      <c r="G671" s="577"/>
      <c r="H671" s="582">
        <v>651038983.72260559</v>
      </c>
      <c r="I671" s="594">
        <v>43429</v>
      </c>
      <c r="J671" s="626">
        <f t="shared" ca="1" si="101"/>
        <v>991</v>
      </c>
      <c r="K671" s="600" t="str">
        <f t="shared" ca="1" si="93"/>
        <v/>
      </c>
      <c r="L671" s="600" t="str">
        <f t="shared" ca="1" si="94"/>
        <v/>
      </c>
      <c r="M671" s="601" t="str">
        <f t="shared" ca="1" si="95"/>
        <v/>
      </c>
      <c r="N671" s="600" t="str">
        <f t="shared" ca="1" si="96"/>
        <v/>
      </c>
      <c r="O671" s="600" t="str">
        <f t="shared" ca="1" si="97"/>
        <v/>
      </c>
      <c r="P671" s="600">
        <f t="shared" ca="1" si="98"/>
        <v>651038983.72260559</v>
      </c>
    </row>
    <row r="672" spans="2:16">
      <c r="B672" s="617">
        <v>10000486</v>
      </c>
      <c r="C672" s="621" t="s">
        <v>10</v>
      </c>
      <c r="D672" s="561" t="s">
        <v>24</v>
      </c>
      <c r="E672" s="245" t="s">
        <v>522</v>
      </c>
      <c r="F672" s="569" t="s">
        <v>1757</v>
      </c>
      <c r="G672" s="577"/>
      <c r="H672" s="582">
        <v>770544545.02876198</v>
      </c>
      <c r="I672" s="594">
        <v>43459</v>
      </c>
      <c r="J672" s="626">
        <f t="shared" ca="1" si="101"/>
        <v>961</v>
      </c>
      <c r="K672" s="600" t="str">
        <f t="shared" ca="1" si="93"/>
        <v/>
      </c>
      <c r="L672" s="600" t="str">
        <f t="shared" ca="1" si="94"/>
        <v/>
      </c>
      <c r="M672" s="601" t="str">
        <f t="shared" ca="1" si="95"/>
        <v/>
      </c>
      <c r="N672" s="600" t="str">
        <f t="shared" ca="1" si="96"/>
        <v/>
      </c>
      <c r="O672" s="600" t="str">
        <f t="shared" ca="1" si="97"/>
        <v/>
      </c>
      <c r="P672" s="600">
        <f t="shared" ca="1" si="98"/>
        <v>770544545.02876198</v>
      </c>
    </row>
    <row r="673" spans="2:16">
      <c r="B673" s="617">
        <v>10000486</v>
      </c>
      <c r="C673" s="621" t="s">
        <v>10</v>
      </c>
      <c r="D673" s="561" t="s">
        <v>24</v>
      </c>
      <c r="E673" s="245" t="s">
        <v>250</v>
      </c>
      <c r="F673" s="569" t="s">
        <v>275</v>
      </c>
      <c r="G673" s="577"/>
      <c r="H673" s="582">
        <v>677792670.82000005</v>
      </c>
      <c r="I673" s="594">
        <v>43490</v>
      </c>
      <c r="J673" s="626">
        <f t="shared" ca="1" si="101"/>
        <v>930</v>
      </c>
      <c r="K673" s="600" t="str">
        <f t="shared" ca="1" si="93"/>
        <v/>
      </c>
      <c r="L673" s="600" t="str">
        <f t="shared" ca="1" si="94"/>
        <v/>
      </c>
      <c r="M673" s="601" t="str">
        <f t="shared" ca="1" si="95"/>
        <v/>
      </c>
      <c r="N673" s="600" t="str">
        <f t="shared" ca="1" si="96"/>
        <v/>
      </c>
      <c r="O673" s="600" t="str">
        <f t="shared" ca="1" si="97"/>
        <v/>
      </c>
      <c r="P673" s="600">
        <f t="shared" ca="1" si="98"/>
        <v>677792670.82000005</v>
      </c>
    </row>
    <row r="674" spans="2:16">
      <c r="B674" s="617">
        <v>10000486</v>
      </c>
      <c r="C674" s="621" t="s">
        <v>10</v>
      </c>
      <c r="D674" s="561" t="s">
        <v>24</v>
      </c>
      <c r="E674" s="245" t="s">
        <v>139</v>
      </c>
      <c r="F674" s="569" t="s">
        <v>277</v>
      </c>
      <c r="G674" s="577"/>
      <c r="H674" s="582">
        <f>425198370.01-413903507.81</f>
        <v>11294862.199999988</v>
      </c>
      <c r="I674" s="595">
        <v>43521</v>
      </c>
      <c r="J674" s="626">
        <f t="shared" ca="1" si="101"/>
        <v>899</v>
      </c>
      <c r="K674" s="600" t="str">
        <f t="shared" ca="1" si="93"/>
        <v/>
      </c>
      <c r="L674" s="600" t="str">
        <f t="shared" ca="1" si="94"/>
        <v/>
      </c>
      <c r="M674" s="601" t="str">
        <f t="shared" ca="1" si="95"/>
        <v/>
      </c>
      <c r="N674" s="600" t="str">
        <f t="shared" ca="1" si="96"/>
        <v/>
      </c>
      <c r="O674" s="600" t="str">
        <f t="shared" ca="1" si="97"/>
        <v/>
      </c>
      <c r="P674" s="600">
        <f t="shared" ca="1" si="98"/>
        <v>11294862.199999988</v>
      </c>
    </row>
    <row r="675" spans="2:16">
      <c r="B675" s="617">
        <v>10000486</v>
      </c>
      <c r="C675" s="621" t="s">
        <v>10</v>
      </c>
      <c r="D675" s="561" t="s">
        <v>24</v>
      </c>
      <c r="E675" s="245" t="s">
        <v>142</v>
      </c>
      <c r="F675" s="569" t="s">
        <v>279</v>
      </c>
      <c r="G675" s="577"/>
      <c r="H675" s="582">
        <v>433978480.76333892</v>
      </c>
      <c r="I675" s="594">
        <v>43549</v>
      </c>
      <c r="J675" s="626">
        <f t="shared" ca="1" si="101"/>
        <v>871</v>
      </c>
      <c r="K675" s="600" t="str">
        <f t="shared" ca="1" si="93"/>
        <v/>
      </c>
      <c r="L675" s="600" t="str">
        <f t="shared" ca="1" si="94"/>
        <v/>
      </c>
      <c r="M675" s="601" t="str">
        <f t="shared" ca="1" si="95"/>
        <v/>
      </c>
      <c r="N675" s="600" t="str">
        <f t="shared" ca="1" si="96"/>
        <v/>
      </c>
      <c r="O675" s="600" t="str">
        <f t="shared" ca="1" si="97"/>
        <v/>
      </c>
      <c r="P675" s="600">
        <f t="shared" ca="1" si="98"/>
        <v>433978480.76333892</v>
      </c>
    </row>
    <row r="676" spans="2:16">
      <c r="B676" s="617">
        <v>10000486</v>
      </c>
      <c r="C676" s="621" t="s">
        <v>10</v>
      </c>
      <c r="D676" s="561" t="s">
        <v>24</v>
      </c>
      <c r="E676" s="245" t="s">
        <v>145</v>
      </c>
      <c r="F676" s="569" t="s">
        <v>281</v>
      </c>
      <c r="G676" s="577"/>
      <c r="H676" s="582">
        <v>456630070.87611812</v>
      </c>
      <c r="I676" s="594" t="s">
        <v>2220</v>
      </c>
      <c r="J676" s="626">
        <f t="shared" ca="1" si="101"/>
        <v>859</v>
      </c>
      <c r="K676" s="600" t="str">
        <f t="shared" ca="1" si="93"/>
        <v/>
      </c>
      <c r="L676" s="600" t="str">
        <f t="shared" ca="1" si="94"/>
        <v/>
      </c>
      <c r="M676" s="601" t="str">
        <f t="shared" ca="1" si="95"/>
        <v/>
      </c>
      <c r="N676" s="600" t="str">
        <f t="shared" ca="1" si="96"/>
        <v/>
      </c>
      <c r="O676" s="600" t="str">
        <f t="shared" ca="1" si="97"/>
        <v/>
      </c>
      <c r="P676" s="600">
        <f t="shared" ca="1" si="98"/>
        <v>456630070.87611812</v>
      </c>
    </row>
    <row r="677" spans="2:16">
      <c r="B677" s="617">
        <v>10000486</v>
      </c>
      <c r="C677" s="621" t="s">
        <v>10</v>
      </c>
      <c r="D677" s="561" t="s">
        <v>24</v>
      </c>
      <c r="E677" s="245" t="s">
        <v>148</v>
      </c>
      <c r="F677" s="569" t="s">
        <v>279</v>
      </c>
      <c r="G677" s="577"/>
      <c r="H677" s="582">
        <v>556059156.88084126</v>
      </c>
      <c r="I677" s="594">
        <v>43591</v>
      </c>
      <c r="J677" s="626">
        <f t="shared" ca="1" si="101"/>
        <v>829</v>
      </c>
      <c r="K677" s="600" t="str">
        <f t="shared" ca="1" si="93"/>
        <v/>
      </c>
      <c r="L677" s="600" t="str">
        <f t="shared" ca="1" si="94"/>
        <v/>
      </c>
      <c r="M677" s="601" t="str">
        <f t="shared" ca="1" si="95"/>
        <v/>
      </c>
      <c r="N677" s="600" t="str">
        <f t="shared" ca="1" si="96"/>
        <v/>
      </c>
      <c r="O677" s="600" t="str">
        <f t="shared" ca="1" si="97"/>
        <v/>
      </c>
      <c r="P677" s="600">
        <f t="shared" ca="1" si="98"/>
        <v>556059156.88084126</v>
      </c>
    </row>
    <row r="678" spans="2:16">
      <c r="B678" s="617">
        <v>10000486</v>
      </c>
      <c r="C678" s="621" t="s">
        <v>10</v>
      </c>
      <c r="D678" s="561" t="s">
        <v>24</v>
      </c>
      <c r="E678" s="245" t="s">
        <v>151</v>
      </c>
      <c r="F678" s="569" t="s">
        <v>84</v>
      </c>
      <c r="G678" s="577"/>
      <c r="H678" s="582">
        <v>504258852.00655121</v>
      </c>
      <c r="I678" s="594">
        <v>43621</v>
      </c>
      <c r="J678" s="626">
        <f t="shared" ca="1" si="101"/>
        <v>799</v>
      </c>
      <c r="K678" s="600" t="str">
        <f t="shared" ca="1" si="93"/>
        <v/>
      </c>
      <c r="L678" s="600" t="str">
        <f t="shared" ca="1" si="94"/>
        <v/>
      </c>
      <c r="M678" s="601" t="str">
        <f t="shared" ca="1" si="95"/>
        <v/>
      </c>
      <c r="N678" s="600" t="str">
        <f t="shared" ca="1" si="96"/>
        <v/>
      </c>
      <c r="O678" s="600" t="str">
        <f t="shared" ca="1" si="97"/>
        <v/>
      </c>
      <c r="P678" s="600">
        <f t="shared" ca="1" si="98"/>
        <v>504258852.00655121</v>
      </c>
    </row>
    <row r="679" spans="2:16">
      <c r="B679" s="617">
        <v>10000486</v>
      </c>
      <c r="C679" s="621" t="s">
        <v>10</v>
      </c>
      <c r="D679" s="561" t="s">
        <v>24</v>
      </c>
      <c r="E679" s="245" t="s">
        <v>154</v>
      </c>
      <c r="F679" s="569" t="s">
        <v>286</v>
      </c>
      <c r="G679" s="577"/>
      <c r="H679" s="582">
        <v>335487047.58588392</v>
      </c>
      <c r="I679" s="594" t="s">
        <v>2221</v>
      </c>
      <c r="J679" s="626">
        <f t="shared" ca="1" si="101"/>
        <v>767</v>
      </c>
      <c r="K679" s="600" t="str">
        <f t="shared" ca="1" si="93"/>
        <v/>
      </c>
      <c r="L679" s="600" t="str">
        <f t="shared" ca="1" si="94"/>
        <v/>
      </c>
      <c r="M679" s="601" t="str">
        <f t="shared" ca="1" si="95"/>
        <v/>
      </c>
      <c r="N679" s="600" t="str">
        <f t="shared" ca="1" si="96"/>
        <v/>
      </c>
      <c r="O679" s="600" t="str">
        <f t="shared" ca="1" si="97"/>
        <v/>
      </c>
      <c r="P679" s="600">
        <f t="shared" ca="1" si="98"/>
        <v>335487047.58588392</v>
      </c>
    </row>
    <row r="680" spans="2:16">
      <c r="B680" s="617">
        <v>10000486</v>
      </c>
      <c r="C680" s="621" t="s">
        <v>10</v>
      </c>
      <c r="D680" s="561" t="s">
        <v>24</v>
      </c>
      <c r="E680" s="245" t="s">
        <v>158</v>
      </c>
      <c r="F680" s="569" t="s">
        <v>775</v>
      </c>
      <c r="G680" s="577"/>
      <c r="H680" s="582">
        <v>503216844.55959004</v>
      </c>
      <c r="I680" s="594" t="s">
        <v>2222</v>
      </c>
      <c r="J680" s="626">
        <f t="shared" ca="1" si="101"/>
        <v>742</v>
      </c>
      <c r="K680" s="600" t="str">
        <f t="shared" ca="1" si="93"/>
        <v/>
      </c>
      <c r="L680" s="600" t="str">
        <f t="shared" ca="1" si="94"/>
        <v/>
      </c>
      <c r="M680" s="601" t="str">
        <f t="shared" ca="1" si="95"/>
        <v/>
      </c>
      <c r="N680" s="600" t="str">
        <f t="shared" ca="1" si="96"/>
        <v/>
      </c>
      <c r="O680" s="600" t="str">
        <f t="shared" ca="1" si="97"/>
        <v/>
      </c>
      <c r="P680" s="600">
        <f t="shared" ca="1" si="98"/>
        <v>503216844.55959004</v>
      </c>
    </row>
    <row r="681" spans="2:16">
      <c r="B681" s="617">
        <v>10000486</v>
      </c>
      <c r="C681" s="621" t="s">
        <v>10</v>
      </c>
      <c r="D681" s="561" t="s">
        <v>24</v>
      </c>
      <c r="E681" s="245" t="s">
        <v>162</v>
      </c>
      <c r="F681" s="569" t="s">
        <v>289</v>
      </c>
      <c r="G681" s="577"/>
      <c r="H681" s="582">
        <v>525957091.66429794</v>
      </c>
      <c r="I681" s="594" t="s">
        <v>1203</v>
      </c>
      <c r="J681" s="626">
        <f t="shared" ca="1" si="101"/>
        <v>711</v>
      </c>
      <c r="K681" s="600" t="str">
        <f t="shared" ca="1" si="93"/>
        <v/>
      </c>
      <c r="L681" s="600" t="str">
        <f t="shared" ca="1" si="94"/>
        <v/>
      </c>
      <c r="M681" s="601" t="str">
        <f t="shared" ca="1" si="95"/>
        <v/>
      </c>
      <c r="N681" s="600" t="str">
        <f t="shared" ca="1" si="96"/>
        <v/>
      </c>
      <c r="O681" s="600" t="str">
        <f t="shared" ca="1" si="97"/>
        <v/>
      </c>
      <c r="P681" s="600">
        <f t="shared" ca="1" si="98"/>
        <v>525957091.66429794</v>
      </c>
    </row>
    <row r="682" spans="2:16">
      <c r="B682" s="617">
        <v>10000486</v>
      </c>
      <c r="C682" s="621" t="s">
        <v>10</v>
      </c>
      <c r="D682" s="561" t="s">
        <v>24</v>
      </c>
      <c r="E682" s="245" t="s">
        <v>166</v>
      </c>
      <c r="F682" s="569" t="s">
        <v>777</v>
      </c>
      <c r="G682" s="577"/>
      <c r="H682" s="582">
        <v>470351278.51662302</v>
      </c>
      <c r="I682" s="594" t="s">
        <v>1330</v>
      </c>
      <c r="J682" s="626">
        <f t="shared" ca="1" si="101"/>
        <v>673</v>
      </c>
      <c r="K682" s="600" t="str">
        <f t="shared" ca="1" si="93"/>
        <v/>
      </c>
      <c r="L682" s="600" t="str">
        <f t="shared" ca="1" si="94"/>
        <v/>
      </c>
      <c r="M682" s="601" t="str">
        <f t="shared" ca="1" si="95"/>
        <v/>
      </c>
      <c r="N682" s="600" t="str">
        <f t="shared" ca="1" si="96"/>
        <v/>
      </c>
      <c r="O682" s="600" t="str">
        <f t="shared" ca="1" si="97"/>
        <v/>
      </c>
      <c r="P682" s="600">
        <f t="shared" ca="1" si="98"/>
        <v>470351278.51662302</v>
      </c>
    </row>
    <row r="683" spans="2:16">
      <c r="B683" s="617">
        <v>10000486</v>
      </c>
      <c r="C683" s="621" t="s">
        <v>10</v>
      </c>
      <c r="D683" s="561" t="s">
        <v>24</v>
      </c>
      <c r="E683" s="245" t="s">
        <v>170</v>
      </c>
      <c r="F683" s="569" t="s">
        <v>777</v>
      </c>
      <c r="G683" s="577"/>
      <c r="H683" s="582">
        <v>251761912.19656056</v>
      </c>
      <c r="I683" s="594" t="s">
        <v>2223</v>
      </c>
      <c r="J683" s="626">
        <f t="shared" ca="1" si="101"/>
        <v>645</v>
      </c>
      <c r="K683" s="600" t="str">
        <f t="shared" ca="1" si="93"/>
        <v/>
      </c>
      <c r="L683" s="600" t="str">
        <f t="shared" ca="1" si="94"/>
        <v/>
      </c>
      <c r="M683" s="601" t="str">
        <f t="shared" ca="1" si="95"/>
        <v/>
      </c>
      <c r="N683" s="600" t="str">
        <f t="shared" ca="1" si="96"/>
        <v/>
      </c>
      <c r="O683" s="600" t="str">
        <f t="shared" ca="1" si="97"/>
        <v/>
      </c>
      <c r="P683" s="600">
        <f t="shared" ca="1" si="98"/>
        <v>251761912.19656056</v>
      </c>
    </row>
    <row r="684" spans="2:16">
      <c r="B684" s="617">
        <v>10000486</v>
      </c>
      <c r="C684" s="621" t="s">
        <v>10</v>
      </c>
      <c r="D684" s="561" t="s">
        <v>24</v>
      </c>
      <c r="E684" s="245" t="s">
        <v>174</v>
      </c>
      <c r="F684" s="569" t="s">
        <v>296</v>
      </c>
      <c r="G684" s="577"/>
      <c r="H684" s="582">
        <v>228516295.60619998</v>
      </c>
      <c r="I684" s="594" t="s">
        <v>2224</v>
      </c>
      <c r="J684" s="626">
        <f t="shared" ca="1" si="101"/>
        <v>616</v>
      </c>
      <c r="K684" s="600" t="str">
        <f t="shared" ca="1" si="93"/>
        <v/>
      </c>
      <c r="L684" s="600" t="str">
        <f t="shared" ca="1" si="94"/>
        <v/>
      </c>
      <c r="M684" s="601" t="str">
        <f t="shared" ca="1" si="95"/>
        <v/>
      </c>
      <c r="N684" s="600" t="str">
        <f t="shared" ca="1" si="96"/>
        <v/>
      </c>
      <c r="O684" s="600" t="str">
        <f t="shared" ca="1" si="97"/>
        <v/>
      </c>
      <c r="P684" s="600">
        <f t="shared" ca="1" si="98"/>
        <v>228516295.60619998</v>
      </c>
    </row>
    <row r="685" spans="2:16">
      <c r="B685" s="617">
        <v>10000486</v>
      </c>
      <c r="C685" s="621" t="s">
        <v>10</v>
      </c>
      <c r="D685" s="561" t="s">
        <v>24</v>
      </c>
      <c r="E685" s="245" t="s">
        <v>778</v>
      </c>
      <c r="F685" s="569" t="s">
        <v>298</v>
      </c>
      <c r="G685" s="577"/>
      <c r="H685" s="582">
        <v>438053100.94604105</v>
      </c>
      <c r="I685" s="594" t="s">
        <v>179</v>
      </c>
      <c r="J685" s="626">
        <f t="shared" ca="1" si="101"/>
        <v>589</v>
      </c>
      <c r="K685" s="600" t="str">
        <f t="shared" ca="1" si="93"/>
        <v/>
      </c>
      <c r="L685" s="600" t="str">
        <f t="shared" ca="1" si="94"/>
        <v/>
      </c>
      <c r="M685" s="601" t="str">
        <f t="shared" ca="1" si="95"/>
        <v/>
      </c>
      <c r="N685" s="600" t="str">
        <f t="shared" ca="1" si="96"/>
        <v/>
      </c>
      <c r="O685" s="600" t="str">
        <f t="shared" ca="1" si="97"/>
        <v/>
      </c>
      <c r="P685" s="600">
        <f t="shared" ca="1" si="98"/>
        <v>438053100.94604105</v>
      </c>
    </row>
    <row r="686" spans="2:16">
      <c r="B686" s="617">
        <v>10000486</v>
      </c>
      <c r="C686" s="621" t="s">
        <v>10</v>
      </c>
      <c r="D686" s="561" t="s">
        <v>24</v>
      </c>
      <c r="E686" s="245" t="s">
        <v>1566</v>
      </c>
      <c r="F686" s="569" t="s">
        <v>299</v>
      </c>
      <c r="G686" s="577"/>
      <c r="H686" s="582">
        <v>9463492.4415313788</v>
      </c>
      <c r="I686" s="594" t="s">
        <v>716</v>
      </c>
      <c r="J686" s="626">
        <f t="shared" ca="1" si="101"/>
        <v>528</v>
      </c>
      <c r="K686" s="600" t="str">
        <f ca="1">IF(AND(J686&gt;=16,J686&lt;=30),H686,"")</f>
        <v/>
      </c>
      <c r="L686" s="600" t="str">
        <f ca="1">IF(AND(J686&gt;=31,J686&lt;=60),H686,"")</f>
        <v/>
      </c>
      <c r="M686" s="601" t="str">
        <f ca="1">IF(AND(J686&gt;=61,J686&lt;=90),H686,"")</f>
        <v/>
      </c>
      <c r="N686" s="600" t="str">
        <f ca="1">IF(AND(J686&gt;=91,J686&lt;=180),H686,"")</f>
        <v/>
      </c>
      <c r="O686" s="600" t="str">
        <f ca="1">IF(AND(J686&gt;=181,J686&lt;=360),H686,"")</f>
        <v/>
      </c>
      <c r="P686" s="600">
        <f ca="1">IF(J686&gt;=360,H686,"")</f>
        <v>9463492.4415313788</v>
      </c>
    </row>
    <row r="687" spans="2:16">
      <c r="B687" s="617"/>
      <c r="C687" s="621"/>
      <c r="D687" s="561"/>
      <c r="E687" s="245"/>
      <c r="F687" s="569"/>
      <c r="G687" s="577"/>
      <c r="H687" s="582"/>
      <c r="I687" s="591"/>
      <c r="J687" s="626"/>
      <c r="K687" s="600" t="str">
        <f>IF(AND(J687&gt;=16,J687&lt;=30),H687,"")</f>
        <v/>
      </c>
      <c r="L687" s="600" t="str">
        <f>IF(AND(J687&gt;=31,J687&lt;=60),H687,"")</f>
        <v/>
      </c>
      <c r="M687" s="601" t="str">
        <f>IF(AND(J687&gt;=61,J687&lt;=90),H687,"")</f>
        <v/>
      </c>
      <c r="N687" s="600" t="str">
        <f>IF(AND(J687&gt;=91,J687&lt;=180),H687,"")</f>
        <v/>
      </c>
      <c r="O687" s="600" t="str">
        <f>IF(AND(J687&gt;=181,J687&lt;=360),H687,"")</f>
        <v/>
      </c>
      <c r="P687" s="600" t="str">
        <f>IF(J687&gt;=360,H687,"")</f>
        <v/>
      </c>
    </row>
    <row r="688" spans="2:16" ht="19.5" thickBot="1">
      <c r="B688" s="617"/>
      <c r="C688" s="621"/>
      <c r="D688" s="561"/>
      <c r="E688" s="245"/>
      <c r="F688" s="569"/>
      <c r="G688" s="577"/>
      <c r="H688" s="582"/>
      <c r="I688" s="594"/>
      <c r="J688" s="626"/>
      <c r="K688" s="600" t="str">
        <f>IF(AND(J688&gt;=16,J688&lt;=30),H688,"")</f>
        <v/>
      </c>
      <c r="L688" s="600" t="str">
        <f>IF(AND(J688&gt;=31,J688&lt;=60),H688,"")</f>
        <v/>
      </c>
      <c r="M688" s="601" t="str">
        <f>IF(AND(J688&gt;=61,J688&lt;=90),H688,"")</f>
        <v/>
      </c>
      <c r="N688" s="600" t="str">
        <f>IF(AND(J688&gt;=91,J688&lt;=180),H688,"")</f>
        <v/>
      </c>
      <c r="O688" s="600" t="str">
        <f>IF(AND(J688&gt;=181,J688&lt;=360),H688,"")</f>
        <v/>
      </c>
      <c r="P688" s="600" t="str">
        <f>IF(J688&gt;=360,H688,"")</f>
        <v/>
      </c>
    </row>
    <row r="689" spans="2:16" s="545" customFormat="1" ht="24" thickBot="1">
      <c r="B689" s="620"/>
      <c r="C689" s="623"/>
      <c r="D689" s="596"/>
      <c r="E689" s="504" t="s">
        <v>2229</v>
      </c>
      <c r="F689" s="505"/>
      <c r="G689" s="597"/>
      <c r="H689" s="598">
        <f>SUM(H6:H686)</f>
        <v>254376136102.37238</v>
      </c>
      <c r="I689" s="583"/>
      <c r="J689" s="508"/>
      <c r="K689" s="602">
        <f ca="1">SUM(K6:K686)</f>
        <v>0</v>
      </c>
      <c r="L689" s="602">
        <f t="shared" ref="L689:P689" ca="1" si="102">SUM(L6:L686)</f>
        <v>338411100.32999998</v>
      </c>
      <c r="M689" s="602">
        <f t="shared" ca="1" si="102"/>
        <v>0</v>
      </c>
      <c r="N689" s="602">
        <f t="shared" ca="1" si="102"/>
        <v>17315591309.594193</v>
      </c>
      <c r="O689" s="602">
        <f t="shared" ca="1" si="102"/>
        <v>6671640192.7841578</v>
      </c>
      <c r="P689" s="602">
        <f t="shared" ca="1" si="102"/>
        <v>197053375967.22632</v>
      </c>
    </row>
  </sheetData>
  <conditionalFormatting sqref="J2 J5:J1048576">
    <cfRule type="cellIs" dxfId="19" priority="2" operator="greaterThan">
      <formula>44000</formula>
    </cfRule>
  </conditionalFormatting>
  <conditionalFormatting sqref="J7">
    <cfRule type="dataBar" priority="1">
      <dataBar>
        <cfvo type="num" val="0"/>
        <cfvo type="num" val="360"/>
        <color rgb="FF638EC6"/>
      </dataBar>
      <extLst>
        <ext xmlns:x14="http://schemas.microsoft.com/office/spreadsheetml/2009/9/main" uri="{B025F937-C7B1-47D3-B67F-A62EFF666E3E}">
          <x14:id>{1D348399-F5D5-4C4C-86A4-C48198914DCC}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348399-F5D5-4C4C-86A4-C48198914DCC}">
            <x14:dataBar minLength="0" maxLength="100" gradient="0">
              <x14:cfvo type="num">
                <xm:f>0</xm:f>
              </x14:cfvo>
              <x14:cfvo type="num">
                <xm:f>360</xm:f>
              </x14:cfvo>
              <x14:negativeFillColor rgb="FFFF0000"/>
              <x14:axisColor rgb="FF000000"/>
            </x14:dataBar>
          </x14:cfRule>
          <xm:sqref>J7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248"/>
  <sheetViews>
    <sheetView zoomScale="80" zoomScaleNormal="80" workbookViewId="0">
      <pane ySplit="3" topLeftCell="A4" activePane="bottomLeft" state="frozen"/>
      <selection pane="bottomLeft" activeCell="L3237" sqref="L3237"/>
    </sheetView>
  </sheetViews>
  <sheetFormatPr defaultRowHeight="12.75"/>
  <cols>
    <col min="1" max="1" width="5.7109375" style="471" customWidth="1"/>
    <col min="2" max="2" width="38.85546875" style="471" customWidth="1"/>
    <col min="3" max="3" width="48.7109375" style="8" customWidth="1"/>
    <col min="4" max="4" width="16" style="472" customWidth="1"/>
    <col min="5" max="5" width="16.42578125" style="473" customWidth="1"/>
    <col min="6" max="6" width="27.140625" style="474" customWidth="1"/>
    <col min="7" max="7" width="23.42578125" style="8" bestFit="1" customWidth="1"/>
    <col min="8" max="8" width="27.28515625" style="475" customWidth="1"/>
    <col min="9" max="9" width="16.140625" style="8" customWidth="1"/>
    <col min="10" max="10" width="26.85546875" style="8" customWidth="1"/>
    <col min="11" max="11" width="37" style="8" bestFit="1" customWidth="1"/>
    <col min="12" max="12" width="46.42578125" style="476" customWidth="1"/>
    <col min="13" max="13" width="26.42578125" style="8" bestFit="1" customWidth="1"/>
    <col min="14" max="14" width="31.5703125" style="8" customWidth="1"/>
    <col min="15" max="15" width="22.42578125" style="8" bestFit="1" customWidth="1"/>
    <col min="16" max="16" width="9.140625" style="8"/>
    <col min="17" max="17" width="11.28515625" style="8" bestFit="1" customWidth="1"/>
    <col min="18" max="16384" width="9.140625" style="8"/>
  </cols>
  <sheetData>
    <row r="1" spans="1:15" s="7" customFormat="1" ht="44.25" customHeight="1">
      <c r="A1" s="630" t="s">
        <v>127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31"/>
    </row>
    <row r="2" spans="1:15" ht="13.5" thickBot="1">
      <c r="A2" s="632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33"/>
    </row>
    <row r="3" spans="1:15" s="19" customFormat="1" ht="53.25" customHeight="1" thickBot="1">
      <c r="A3" s="9" t="s">
        <v>0</v>
      </c>
      <c r="B3" s="10" t="s">
        <v>128</v>
      </c>
      <c r="C3" s="10" t="s">
        <v>129</v>
      </c>
      <c r="D3" s="11" t="s">
        <v>130</v>
      </c>
      <c r="E3" s="12" t="s">
        <v>3</v>
      </c>
      <c r="F3" s="13" t="s">
        <v>131</v>
      </c>
      <c r="G3" s="10" t="s">
        <v>132</v>
      </c>
      <c r="H3" s="14" t="s">
        <v>133</v>
      </c>
      <c r="I3" s="15" t="s">
        <v>134</v>
      </c>
      <c r="J3" s="15" t="s">
        <v>135</v>
      </c>
      <c r="K3" s="16" t="s">
        <v>136</v>
      </c>
      <c r="L3" s="17" t="s">
        <v>137</v>
      </c>
      <c r="M3" s="18"/>
    </row>
    <row r="4" spans="1:15" s="29" customFormat="1" ht="24.75" customHeight="1">
      <c r="A4" s="20"/>
      <c r="B4" s="21" t="s">
        <v>138</v>
      </c>
      <c r="C4" s="20"/>
      <c r="D4" s="22"/>
      <c r="E4" s="23"/>
      <c r="F4" s="24"/>
      <c r="G4" s="20"/>
      <c r="H4" s="25"/>
      <c r="I4" s="26"/>
      <c r="J4" s="26"/>
      <c r="K4" s="27"/>
      <c r="L4" s="28"/>
    </row>
    <row r="5" spans="1:15" s="30" customFormat="1" ht="19.5" customHeight="1">
      <c r="A5" s="30">
        <v>1</v>
      </c>
      <c r="B5" s="30" t="s">
        <v>25</v>
      </c>
      <c r="C5" s="31" t="s">
        <v>139</v>
      </c>
      <c r="D5" s="32" t="s">
        <v>140</v>
      </c>
      <c r="E5" s="33"/>
      <c r="F5" s="34">
        <v>5956821.0199999996</v>
      </c>
      <c r="G5" s="35" t="s">
        <v>141</v>
      </c>
      <c r="H5" s="36">
        <v>5956821.0199999996</v>
      </c>
      <c r="I5" s="35"/>
      <c r="J5" s="37">
        <f t="shared" ref="J5:J31" si="0">F5-H5</f>
        <v>0</v>
      </c>
      <c r="K5" s="38"/>
      <c r="L5" s="39"/>
      <c r="M5" s="40"/>
      <c r="N5" s="40"/>
      <c r="O5" s="41"/>
    </row>
    <row r="6" spans="1:15" s="30" customFormat="1" ht="19.5" customHeight="1">
      <c r="C6" s="42" t="s">
        <v>142</v>
      </c>
      <c r="D6" s="32" t="s">
        <v>120</v>
      </c>
      <c r="E6" s="33"/>
      <c r="F6" s="34">
        <v>13526271.556333518</v>
      </c>
      <c r="G6" s="35" t="s">
        <v>143</v>
      </c>
      <c r="H6" s="36">
        <v>13526271.560000001</v>
      </c>
      <c r="I6" s="43" t="s">
        <v>144</v>
      </c>
      <c r="J6" s="37">
        <f t="shared" si="0"/>
        <v>-3.6664828658103943E-3</v>
      </c>
      <c r="K6" s="37">
        <f>J5+K5</f>
        <v>0</v>
      </c>
      <c r="L6" s="39"/>
      <c r="M6" s="40"/>
      <c r="N6" s="40"/>
      <c r="O6" s="41"/>
    </row>
    <row r="7" spans="1:15" s="30" customFormat="1" ht="19.5" customHeight="1">
      <c r="C7" s="42" t="s">
        <v>145</v>
      </c>
      <c r="D7" s="32" t="s">
        <v>146</v>
      </c>
      <c r="E7" s="33"/>
      <c r="F7" s="34">
        <v>6525525.2074399795</v>
      </c>
      <c r="G7" s="35"/>
      <c r="H7" s="36">
        <v>6525525.21</v>
      </c>
      <c r="I7" s="43" t="s">
        <v>147</v>
      </c>
      <c r="J7" s="37">
        <f t="shared" si="0"/>
        <v>-2.560020424425602E-3</v>
      </c>
      <c r="K7" s="37">
        <f>J6+K6</f>
        <v>-3.6664828658103943E-3</v>
      </c>
      <c r="L7" s="39"/>
      <c r="M7" s="40"/>
      <c r="N7" s="40"/>
      <c r="O7" s="41"/>
    </row>
    <row r="8" spans="1:15" s="30" customFormat="1" ht="19.5" customHeight="1">
      <c r="C8" s="42" t="s">
        <v>148</v>
      </c>
      <c r="D8" s="32" t="s">
        <v>80</v>
      </c>
      <c r="E8" s="33"/>
      <c r="F8" s="34">
        <v>1041110.35261821</v>
      </c>
      <c r="G8" s="35" t="s">
        <v>149</v>
      </c>
      <c r="H8" s="36">
        <v>1041110.35</v>
      </c>
      <c r="I8" s="43" t="s">
        <v>150</v>
      </c>
      <c r="J8" s="37">
        <f t="shared" si="0"/>
        <v>2.6182100409641862E-3</v>
      </c>
      <c r="K8" s="37">
        <v>-3.6664828658103943E-3</v>
      </c>
      <c r="L8" s="39"/>
      <c r="M8" s="40"/>
      <c r="N8" s="40"/>
      <c r="O8" s="41"/>
    </row>
    <row r="9" spans="1:15" s="30" customFormat="1" ht="19.5" customHeight="1">
      <c r="C9" s="42" t="s">
        <v>151</v>
      </c>
      <c r="D9" s="32" t="s">
        <v>124</v>
      </c>
      <c r="E9" s="33"/>
      <c r="F9" s="34">
        <v>2023354.9793401349</v>
      </c>
      <c r="G9" s="35" t="s">
        <v>152</v>
      </c>
      <c r="H9" s="36">
        <v>2023354.98</v>
      </c>
      <c r="I9" s="35" t="s">
        <v>153</v>
      </c>
      <c r="J9" s="37">
        <f t="shared" si="0"/>
        <v>-6.5986509434878826E-4</v>
      </c>
      <c r="K9" s="37">
        <v>-3.6664828658103943E-3</v>
      </c>
      <c r="L9" s="39"/>
      <c r="M9" s="40"/>
      <c r="N9" s="40"/>
      <c r="O9" s="41"/>
    </row>
    <row r="10" spans="1:15" s="30" customFormat="1" ht="19.5" customHeight="1">
      <c r="C10" s="42" t="s">
        <v>154</v>
      </c>
      <c r="D10" s="32" t="s">
        <v>155</v>
      </c>
      <c r="E10" s="33"/>
      <c r="F10" s="34">
        <v>2984195.1713471105</v>
      </c>
      <c r="G10" s="35" t="s">
        <v>156</v>
      </c>
      <c r="H10" s="36">
        <v>2984195.1713471105</v>
      </c>
      <c r="I10" s="35" t="s">
        <v>157</v>
      </c>
      <c r="J10" s="37">
        <f t="shared" si="0"/>
        <v>0</v>
      </c>
      <c r="K10" s="37">
        <v>-3.6664828658103943E-3</v>
      </c>
      <c r="L10" s="39"/>
      <c r="M10" s="40"/>
      <c r="N10" s="40"/>
      <c r="O10" s="41"/>
    </row>
    <row r="11" spans="1:15" s="30" customFormat="1" ht="19.5" customHeight="1">
      <c r="C11" s="42" t="s">
        <v>158</v>
      </c>
      <c r="D11" s="32" t="s">
        <v>159</v>
      </c>
      <c r="E11" s="33"/>
      <c r="F11" s="34">
        <v>2511889.2121027946</v>
      </c>
      <c r="G11" s="35" t="s">
        <v>160</v>
      </c>
      <c r="H11" s="36">
        <v>2511889.2121027946</v>
      </c>
      <c r="I11" s="35" t="s">
        <v>161</v>
      </c>
      <c r="J11" s="37">
        <f t="shared" si="0"/>
        <v>0</v>
      </c>
      <c r="K11" s="37">
        <v>-3.6664828658103943E-3</v>
      </c>
      <c r="L11" s="39"/>
      <c r="M11" s="40"/>
      <c r="N11" s="40"/>
      <c r="O11" s="41"/>
    </row>
    <row r="12" spans="1:15" s="30" customFormat="1" ht="19.5" customHeight="1">
      <c r="C12" s="42" t="s">
        <v>162</v>
      </c>
      <c r="D12" s="32" t="s">
        <v>163</v>
      </c>
      <c r="E12" s="33"/>
      <c r="F12" s="34">
        <v>3227082.4176261304</v>
      </c>
      <c r="G12" s="35" t="s">
        <v>164</v>
      </c>
      <c r="H12" s="36">
        <v>3227082.42</v>
      </c>
      <c r="I12" s="35" t="s">
        <v>165</v>
      </c>
      <c r="J12" s="37">
        <f t="shared" si="0"/>
        <v>-2.3738695308566093E-3</v>
      </c>
      <c r="K12" s="37">
        <v>-3.6664828658103943E-3</v>
      </c>
      <c r="L12" s="39"/>
      <c r="M12" s="40"/>
      <c r="N12" s="40"/>
      <c r="O12" s="41"/>
    </row>
    <row r="13" spans="1:15" s="30" customFormat="1" ht="19.5" customHeight="1">
      <c r="C13" s="42" t="s">
        <v>166</v>
      </c>
      <c r="D13" s="32" t="s">
        <v>167</v>
      </c>
      <c r="E13" s="33"/>
      <c r="F13" s="34">
        <v>3954277.8085519806</v>
      </c>
      <c r="G13" s="35" t="s">
        <v>168</v>
      </c>
      <c r="H13" s="36">
        <f>2000000+1954277.81</f>
        <v>3954277.81</v>
      </c>
      <c r="I13" s="35" t="s">
        <v>169</v>
      </c>
      <c r="J13" s="37">
        <f t="shared" si="0"/>
        <v>-1.4480194076895714E-3</v>
      </c>
      <c r="K13" s="37">
        <v>-3.6664828658103943E-3</v>
      </c>
      <c r="L13" s="39"/>
      <c r="M13" s="40"/>
      <c r="N13" s="40"/>
      <c r="O13" s="41"/>
    </row>
    <row r="14" spans="1:15" s="30" customFormat="1" ht="19.5" customHeight="1">
      <c r="C14" s="42" t="s">
        <v>170</v>
      </c>
      <c r="D14" s="32" t="s">
        <v>171</v>
      </c>
      <c r="E14" s="33"/>
      <c r="F14" s="34">
        <v>3814486.3752753451</v>
      </c>
      <c r="G14" s="35" t="s">
        <v>172</v>
      </c>
      <c r="H14" s="36">
        <v>3814486.38</v>
      </c>
      <c r="I14" s="35" t="s">
        <v>173</v>
      </c>
      <c r="J14" s="37">
        <f t="shared" si="0"/>
        <v>-4.7246548347175121E-3</v>
      </c>
      <c r="K14" s="37">
        <v>-3.6664828658103943E-3</v>
      </c>
      <c r="L14" s="39"/>
      <c r="M14" s="40"/>
      <c r="N14" s="40"/>
      <c r="O14" s="41"/>
    </row>
    <row r="15" spans="1:15" s="30" customFormat="1" ht="19.5" customHeight="1">
      <c r="C15" s="42" t="s">
        <v>174</v>
      </c>
      <c r="D15" s="32" t="s">
        <v>175</v>
      </c>
      <c r="E15" s="33"/>
      <c r="F15" s="34">
        <v>5228178.1194692701</v>
      </c>
      <c r="G15" s="35" t="s">
        <v>176</v>
      </c>
      <c r="H15" s="36">
        <v>5228178.12</v>
      </c>
      <c r="I15" s="35" t="s">
        <v>177</v>
      </c>
      <c r="J15" s="37">
        <f t="shared" si="0"/>
        <v>-5.307300016283989E-4</v>
      </c>
      <c r="K15" s="37">
        <v>-3.6664828658103943E-3</v>
      </c>
      <c r="L15" s="39"/>
      <c r="M15" s="40"/>
      <c r="N15" s="40"/>
      <c r="O15" s="41"/>
    </row>
    <row r="16" spans="1:15" s="30" customFormat="1" ht="19.5" customHeight="1">
      <c r="C16" s="42" t="s">
        <v>178</v>
      </c>
      <c r="D16" s="32" t="s">
        <v>111</v>
      </c>
      <c r="E16" s="33"/>
      <c r="F16" s="34">
        <v>7558230.8770894799</v>
      </c>
      <c r="G16" s="35" t="s">
        <v>179</v>
      </c>
      <c r="H16" s="36">
        <v>7558230.8799999999</v>
      </c>
      <c r="I16" s="35" t="s">
        <v>180</v>
      </c>
      <c r="J16" s="37">
        <f t="shared" si="0"/>
        <v>-2.9105199500918388E-3</v>
      </c>
      <c r="K16" s="37">
        <v>-3.6664828658103943E-3</v>
      </c>
      <c r="L16" s="39"/>
      <c r="M16" s="40"/>
      <c r="N16" s="40"/>
      <c r="O16" s="41"/>
    </row>
    <row r="17" spans="2:15" s="30" customFormat="1" ht="19.5" customHeight="1">
      <c r="C17" s="42" t="s">
        <v>181</v>
      </c>
      <c r="D17" s="32" t="s">
        <v>182</v>
      </c>
      <c r="E17" s="33"/>
      <c r="F17" s="34">
        <v>6002369.1056640157</v>
      </c>
      <c r="G17" s="35" t="s">
        <v>183</v>
      </c>
      <c r="H17" s="36">
        <v>6002369.1056640157</v>
      </c>
      <c r="I17" s="35" t="s">
        <v>184</v>
      </c>
      <c r="J17" s="37">
        <f t="shared" si="0"/>
        <v>0</v>
      </c>
      <c r="K17" s="37">
        <f>J16+K16</f>
        <v>-6.5770028159022331E-3</v>
      </c>
      <c r="L17" s="39"/>
      <c r="M17" s="40"/>
      <c r="N17" s="40"/>
      <c r="O17" s="41"/>
    </row>
    <row r="18" spans="2:15" s="30" customFormat="1" ht="19.5" customHeight="1">
      <c r="C18" s="42" t="s">
        <v>185</v>
      </c>
      <c r="D18" s="32" t="s">
        <v>186</v>
      </c>
      <c r="E18" s="33"/>
      <c r="F18" s="34">
        <v>7686066.2901870748</v>
      </c>
      <c r="G18" s="35" t="s">
        <v>187</v>
      </c>
      <c r="H18" s="36">
        <v>7686066.29</v>
      </c>
      <c r="I18" s="35" t="s">
        <v>188</v>
      </c>
      <c r="J18" s="37">
        <f t="shared" si="0"/>
        <v>1.8707476556301117E-4</v>
      </c>
      <c r="K18" s="37">
        <f>J17+K17</f>
        <v>-6.5770028159022331E-3</v>
      </c>
      <c r="L18" s="39"/>
      <c r="M18" s="40"/>
      <c r="N18" s="40"/>
      <c r="O18" s="41"/>
    </row>
    <row r="19" spans="2:15" s="30" customFormat="1" ht="19.5" customHeight="1">
      <c r="C19" s="42" t="s">
        <v>189</v>
      </c>
      <c r="D19" s="32" t="s">
        <v>186</v>
      </c>
      <c r="E19" s="33"/>
      <c r="F19" s="34">
        <v>8194778.3553126734</v>
      </c>
      <c r="G19" s="35" t="s">
        <v>190</v>
      </c>
      <c r="H19" s="36">
        <v>8194778.3553126734</v>
      </c>
      <c r="I19" s="35">
        <v>43871</v>
      </c>
      <c r="J19" s="37">
        <f t="shared" si="0"/>
        <v>0</v>
      </c>
      <c r="K19" s="37">
        <f>J18+K18</f>
        <v>-6.389928050339222E-3</v>
      </c>
      <c r="L19" s="39"/>
      <c r="M19" s="40"/>
      <c r="N19" s="40"/>
      <c r="O19" s="41"/>
    </row>
    <row r="20" spans="2:15" s="30" customFormat="1" ht="19.5" customHeight="1">
      <c r="C20" s="42" t="s">
        <v>191</v>
      </c>
      <c r="D20" s="32" t="s">
        <v>192</v>
      </c>
      <c r="E20" s="33">
        <v>43986</v>
      </c>
      <c r="F20" s="34">
        <v>6400713.3221964464</v>
      </c>
      <c r="G20" s="35" t="s">
        <v>193</v>
      </c>
      <c r="H20" s="36">
        <v>6400713.3200000003</v>
      </c>
      <c r="I20" s="35" t="s">
        <v>194</v>
      </c>
      <c r="J20" s="37">
        <f t="shared" si="0"/>
        <v>2.1964460611343384E-3</v>
      </c>
      <c r="K20" s="37">
        <f t="shared" ref="K20:K32" si="1">J19+K19</f>
        <v>-6.389928050339222E-3</v>
      </c>
      <c r="L20" s="39"/>
      <c r="M20" s="40"/>
      <c r="N20" s="40"/>
      <c r="O20" s="41"/>
    </row>
    <row r="21" spans="2:15" s="30" customFormat="1" ht="19.5" customHeight="1">
      <c r="C21" s="42" t="s">
        <v>195</v>
      </c>
      <c r="D21" s="32" t="s">
        <v>196</v>
      </c>
      <c r="E21" s="33" t="s">
        <v>197</v>
      </c>
      <c r="F21" s="34">
        <v>6459068.3658222742</v>
      </c>
      <c r="G21" s="35" t="s">
        <v>198</v>
      </c>
      <c r="H21" s="36">
        <v>6459068.3700000001</v>
      </c>
      <c r="I21" s="35">
        <v>43868</v>
      </c>
      <c r="J21" s="37">
        <f t="shared" si="0"/>
        <v>-4.1777258738875389E-3</v>
      </c>
      <c r="K21" s="37">
        <f t="shared" si="1"/>
        <v>-4.1934819892048836E-3</v>
      </c>
      <c r="L21" s="39"/>
      <c r="M21" s="40"/>
      <c r="N21" s="40"/>
      <c r="O21" s="41"/>
    </row>
    <row r="22" spans="2:15" s="30" customFormat="1" ht="19.5" customHeight="1">
      <c r="C22" s="42" t="s">
        <v>199</v>
      </c>
      <c r="D22" s="32" t="s">
        <v>41</v>
      </c>
      <c r="E22" s="44">
        <v>44049</v>
      </c>
      <c r="F22" s="34">
        <v>5370765.3533246992</v>
      </c>
      <c r="G22" s="44">
        <v>43897</v>
      </c>
      <c r="H22" s="36">
        <f>1370765.35+2000000+2000000</f>
        <v>5370765.3499999996</v>
      </c>
      <c r="I22" s="35" t="s">
        <v>200</v>
      </c>
      <c r="J22" s="37">
        <f t="shared" si="0"/>
        <v>3.3246995881199837E-3</v>
      </c>
      <c r="K22" s="37">
        <f t="shared" si="1"/>
        <v>-8.3712078630924225E-3</v>
      </c>
      <c r="L22" s="39"/>
      <c r="M22" s="40"/>
      <c r="N22" s="40"/>
      <c r="O22" s="41"/>
    </row>
    <row r="23" spans="2:15" s="30" customFormat="1" ht="19.5" customHeight="1">
      <c r="C23" s="42" t="s">
        <v>201</v>
      </c>
      <c r="D23" s="32" t="s">
        <v>202</v>
      </c>
      <c r="E23" s="44">
        <v>44081</v>
      </c>
      <c r="F23" s="34">
        <v>6387900.2563214991</v>
      </c>
      <c r="G23" s="44">
        <v>44020</v>
      </c>
      <c r="H23" s="36">
        <v>6387900.2563214991</v>
      </c>
      <c r="I23" s="35">
        <v>43871</v>
      </c>
      <c r="J23" s="37">
        <f t="shared" si="0"/>
        <v>0</v>
      </c>
      <c r="K23" s="37">
        <f t="shared" si="1"/>
        <v>-5.0465082749724388E-3</v>
      </c>
      <c r="L23" s="39"/>
      <c r="M23" s="40"/>
      <c r="N23" s="40"/>
      <c r="O23" s="41"/>
    </row>
    <row r="24" spans="2:15" s="30" customFormat="1" ht="19.5" customHeight="1">
      <c r="C24" s="42" t="s">
        <v>203</v>
      </c>
      <c r="D24" s="32" t="s">
        <v>204</v>
      </c>
      <c r="E24" s="44">
        <v>44112</v>
      </c>
      <c r="F24" s="34">
        <v>6097990.2136208797</v>
      </c>
      <c r="G24" s="44" t="s">
        <v>205</v>
      </c>
      <c r="H24" s="36">
        <v>6097990.2136208797</v>
      </c>
      <c r="I24" s="35" t="s">
        <v>206</v>
      </c>
      <c r="J24" s="37">
        <f t="shared" si="0"/>
        <v>0</v>
      </c>
      <c r="K24" s="37">
        <f t="shared" si="1"/>
        <v>-5.0465082749724388E-3</v>
      </c>
      <c r="L24" s="39"/>
      <c r="M24" s="40"/>
      <c r="N24" s="40"/>
      <c r="O24" s="41"/>
    </row>
    <row r="25" spans="2:15" s="30" customFormat="1" ht="19.5" customHeight="1">
      <c r="C25" s="42" t="s">
        <v>207</v>
      </c>
      <c r="D25" s="32" t="s">
        <v>208</v>
      </c>
      <c r="E25" s="44" t="s">
        <v>209</v>
      </c>
      <c r="F25" s="34">
        <v>8179026.2547148988</v>
      </c>
      <c r="G25" s="44" t="s">
        <v>210</v>
      </c>
      <c r="H25" s="36">
        <v>8179026.25</v>
      </c>
      <c r="I25" s="35" t="s">
        <v>211</v>
      </c>
      <c r="J25" s="37">
        <f t="shared" si="0"/>
        <v>4.7148987650871277E-3</v>
      </c>
      <c r="K25" s="37">
        <f t="shared" si="1"/>
        <v>-5.0465082749724388E-3</v>
      </c>
      <c r="L25" s="39"/>
      <c r="M25" s="40"/>
      <c r="N25" s="40"/>
      <c r="O25" s="41"/>
    </row>
    <row r="26" spans="2:15" s="30" customFormat="1" ht="19.5" customHeight="1">
      <c r="C26" s="42" t="s">
        <v>212</v>
      </c>
      <c r="D26" s="32" t="s">
        <v>52</v>
      </c>
      <c r="E26" s="44">
        <v>44084</v>
      </c>
      <c r="F26" s="34">
        <v>8947266.9063989501</v>
      </c>
      <c r="G26" s="44" t="s">
        <v>213</v>
      </c>
      <c r="H26" s="36">
        <v>8947266.9000000004</v>
      </c>
      <c r="I26" s="35" t="s">
        <v>48</v>
      </c>
      <c r="J26" s="37">
        <f t="shared" si="0"/>
        <v>6.3989497721195221E-3</v>
      </c>
      <c r="K26" s="37">
        <f t="shared" si="1"/>
        <v>-3.3160950988531113E-4</v>
      </c>
      <c r="L26" s="39"/>
      <c r="M26" s="40"/>
      <c r="N26" s="40"/>
      <c r="O26" s="41"/>
    </row>
    <row r="27" spans="2:15" s="30" customFormat="1" ht="19.5" customHeight="1">
      <c r="C27" s="42" t="s">
        <v>214</v>
      </c>
      <c r="D27" s="32" t="s">
        <v>215</v>
      </c>
      <c r="E27" s="44">
        <v>43962</v>
      </c>
      <c r="F27" s="34">
        <v>4621694.1004910655</v>
      </c>
      <c r="G27" s="44" t="s">
        <v>216</v>
      </c>
      <c r="H27" s="36">
        <v>4621694.0999999996</v>
      </c>
      <c r="I27" s="35" t="s">
        <v>217</v>
      </c>
      <c r="J27" s="37">
        <f t="shared" si="0"/>
        <v>4.9106590449810028E-4</v>
      </c>
      <c r="K27" s="37">
        <f t="shared" si="1"/>
        <v>6.067340262234211E-3</v>
      </c>
      <c r="L27" s="39"/>
      <c r="M27" s="40"/>
      <c r="N27" s="40"/>
      <c r="O27" s="41"/>
    </row>
    <row r="28" spans="2:15" s="30" customFormat="1" ht="19.5" customHeight="1">
      <c r="C28" s="42" t="s">
        <v>218</v>
      </c>
      <c r="D28" s="32" t="s">
        <v>65</v>
      </c>
      <c r="E28" s="44">
        <v>44024</v>
      </c>
      <c r="F28" s="34">
        <v>4766843.5593435327</v>
      </c>
      <c r="G28" s="44">
        <v>44531</v>
      </c>
      <c r="H28" s="36">
        <v>4766843.5599999996</v>
      </c>
      <c r="I28" s="35" t="s">
        <v>217</v>
      </c>
      <c r="J28" s="37">
        <f t="shared" si="0"/>
        <v>-6.5646693110466003E-4</v>
      </c>
      <c r="K28" s="37">
        <f t="shared" si="1"/>
        <v>6.5584061667323112E-3</v>
      </c>
      <c r="L28" s="39"/>
      <c r="M28" s="40"/>
      <c r="N28" s="40"/>
      <c r="O28" s="41"/>
    </row>
    <row r="29" spans="2:15" s="30" customFormat="1" ht="19.5" customHeight="1">
      <c r="C29" s="42" t="s">
        <v>219</v>
      </c>
      <c r="D29" s="32" t="s">
        <v>71</v>
      </c>
      <c r="E29" s="44">
        <v>44409</v>
      </c>
      <c r="F29" s="34">
        <v>4738495.668060367</v>
      </c>
      <c r="G29" s="44" t="s">
        <v>220</v>
      </c>
      <c r="H29" s="36">
        <v>4738495.67</v>
      </c>
      <c r="I29" s="35" t="s">
        <v>47</v>
      </c>
      <c r="J29" s="37">
        <f t="shared" si="0"/>
        <v>-1.9396329298615456E-3</v>
      </c>
      <c r="K29" s="37">
        <f t="shared" si="1"/>
        <v>5.9019392356276512E-3</v>
      </c>
      <c r="L29" s="39"/>
      <c r="M29" s="40"/>
      <c r="N29" s="40"/>
      <c r="O29" s="41"/>
    </row>
    <row r="30" spans="2:15" s="30" customFormat="1" ht="19.5" customHeight="1">
      <c r="C30" s="42" t="s">
        <v>221</v>
      </c>
      <c r="D30" s="32" t="s">
        <v>26</v>
      </c>
      <c r="E30" s="44">
        <v>44471</v>
      </c>
      <c r="F30" s="34">
        <v>5808334.548620834</v>
      </c>
      <c r="G30" s="44" t="s">
        <v>27</v>
      </c>
      <c r="H30" s="36"/>
      <c r="I30" s="35"/>
      <c r="J30" s="37">
        <f t="shared" si="0"/>
        <v>5808334.548620834</v>
      </c>
      <c r="K30" s="37">
        <f t="shared" si="1"/>
        <v>3.9623063057661057E-3</v>
      </c>
      <c r="L30" s="39"/>
      <c r="M30" s="40"/>
      <c r="N30" s="40"/>
      <c r="O30" s="41"/>
    </row>
    <row r="31" spans="2:15" s="30" customFormat="1" ht="19.5" customHeight="1">
      <c r="C31" s="42" t="s">
        <v>222</v>
      </c>
      <c r="D31" s="32" t="s">
        <v>223</v>
      </c>
      <c r="E31" s="44">
        <v>44319</v>
      </c>
      <c r="F31" s="34">
        <v>3884828.5404569022</v>
      </c>
      <c r="G31" s="44" t="s">
        <v>224</v>
      </c>
      <c r="H31" s="36"/>
      <c r="I31" s="35"/>
      <c r="J31" s="37">
        <f t="shared" si="0"/>
        <v>3884828.5404569022</v>
      </c>
      <c r="K31" s="37">
        <f t="shared" si="1"/>
        <v>5808334.5525831403</v>
      </c>
      <c r="L31" s="39"/>
      <c r="M31" s="40"/>
      <c r="N31" s="40"/>
      <c r="O31" s="41"/>
    </row>
    <row r="32" spans="2:15" s="30" customFormat="1" ht="19.5" customHeight="1">
      <c r="B32" s="30" t="s">
        <v>225</v>
      </c>
      <c r="C32" s="31"/>
      <c r="D32" s="32"/>
      <c r="E32" s="33"/>
      <c r="F32" s="34"/>
      <c r="G32" s="35"/>
      <c r="H32" s="36"/>
      <c r="I32" s="35"/>
      <c r="J32" s="37"/>
      <c r="K32" s="38">
        <f t="shared" si="1"/>
        <v>9693163.0930400416</v>
      </c>
      <c r="L32" s="39"/>
      <c r="M32" s="40"/>
      <c r="N32" s="40"/>
      <c r="O32" s="41"/>
    </row>
    <row r="33" spans="1:15" s="30" customFormat="1" ht="19.5" customHeight="1">
      <c r="C33" s="31"/>
      <c r="D33" s="45"/>
      <c r="E33" s="33"/>
      <c r="F33" s="34"/>
      <c r="G33" s="35"/>
      <c r="H33" s="36"/>
      <c r="I33" s="35"/>
      <c r="J33" s="37"/>
      <c r="K33" s="38"/>
      <c r="L33" s="39"/>
      <c r="M33" s="40"/>
      <c r="N33" s="40"/>
      <c r="O33" s="41"/>
    </row>
    <row r="34" spans="1:15" s="7" customFormat="1" ht="15">
      <c r="A34" s="30">
        <v>2</v>
      </c>
      <c r="B34" s="46" t="s">
        <v>28</v>
      </c>
      <c r="C34" s="31" t="s">
        <v>226</v>
      </c>
      <c r="D34" s="45" t="s">
        <v>113</v>
      </c>
      <c r="E34" s="33"/>
      <c r="F34" s="34">
        <f>37609016.45*1.05</f>
        <v>39489467.272500008</v>
      </c>
      <c r="G34" s="35"/>
      <c r="H34" s="47">
        <v>39489467.270000003</v>
      </c>
      <c r="I34" s="35" t="s">
        <v>227</v>
      </c>
      <c r="J34" s="37">
        <f>F34-H34</f>
        <v>2.5000050663948059E-3</v>
      </c>
      <c r="K34" s="38"/>
      <c r="L34" s="39"/>
      <c r="M34" s="40"/>
      <c r="N34" s="40"/>
      <c r="O34" s="41"/>
    </row>
    <row r="35" spans="1:15" s="7" customFormat="1" ht="15">
      <c r="A35" s="30"/>
      <c r="B35" s="46"/>
      <c r="C35" s="31" t="s">
        <v>228</v>
      </c>
      <c r="D35" s="45" t="s">
        <v>229</v>
      </c>
      <c r="E35" s="33"/>
      <c r="F35" s="34">
        <v>52922850.869999997</v>
      </c>
      <c r="G35" s="35"/>
      <c r="H35" s="47">
        <v>52922850.869999997</v>
      </c>
      <c r="I35" s="35" t="s">
        <v>230</v>
      </c>
      <c r="J35" s="37">
        <f t="shared" ref="J35:J71" si="2">F35-H35</f>
        <v>0</v>
      </c>
      <c r="K35" s="38">
        <f>J34+K34</f>
        <v>2.5000050663948059E-3</v>
      </c>
      <c r="L35" s="39"/>
      <c r="M35" s="40"/>
      <c r="N35" s="40"/>
      <c r="O35" s="41"/>
    </row>
    <row r="36" spans="1:15" s="7" customFormat="1" ht="15">
      <c r="A36" s="30"/>
      <c r="B36" s="46"/>
      <c r="C36" s="31" t="s">
        <v>231</v>
      </c>
      <c r="D36" s="45" t="s">
        <v>232</v>
      </c>
      <c r="E36" s="33"/>
      <c r="F36" s="34">
        <v>74124431.908317015</v>
      </c>
      <c r="G36" s="35"/>
      <c r="H36" s="47">
        <v>74124431.908317015</v>
      </c>
      <c r="I36" s="35" t="s">
        <v>233</v>
      </c>
      <c r="J36" s="37">
        <f t="shared" si="2"/>
        <v>0</v>
      </c>
      <c r="K36" s="37">
        <f t="shared" ref="K36:K71" si="3">J35+K35</f>
        <v>2.5000050663948059E-3</v>
      </c>
      <c r="L36" s="39"/>
      <c r="M36" s="40"/>
      <c r="N36" s="40"/>
      <c r="O36" s="41"/>
    </row>
    <row r="37" spans="1:15" s="7" customFormat="1" ht="15">
      <c r="A37" s="30"/>
      <c r="B37" s="46"/>
      <c r="C37" s="31" t="s">
        <v>234</v>
      </c>
      <c r="D37" s="45" t="s">
        <v>235</v>
      </c>
      <c r="E37" s="33"/>
      <c r="F37" s="34">
        <v>63957166.07</v>
      </c>
      <c r="G37" s="35"/>
      <c r="H37" s="47">
        <v>63957166.07</v>
      </c>
      <c r="I37" s="35" t="s">
        <v>233</v>
      </c>
      <c r="J37" s="37">
        <f t="shared" si="2"/>
        <v>0</v>
      </c>
      <c r="K37" s="37">
        <f t="shared" si="3"/>
        <v>2.5000050663948059E-3</v>
      </c>
      <c r="L37" s="39"/>
      <c r="M37" s="40"/>
      <c r="N37" s="40"/>
      <c r="O37" s="41"/>
    </row>
    <row r="38" spans="1:15" s="7" customFormat="1" ht="15">
      <c r="A38" s="30"/>
      <c r="B38" s="46"/>
      <c r="C38" s="31" t="s">
        <v>236</v>
      </c>
      <c r="D38" s="45" t="s">
        <v>237</v>
      </c>
      <c r="E38" s="33"/>
      <c r="F38" s="34">
        <v>66914114.546916008</v>
      </c>
      <c r="G38" s="35"/>
      <c r="H38" s="48">
        <v>66914114.546916008</v>
      </c>
      <c r="I38" s="35" t="s">
        <v>233</v>
      </c>
      <c r="J38" s="37">
        <f t="shared" si="2"/>
        <v>0</v>
      </c>
      <c r="K38" s="37">
        <f t="shared" si="3"/>
        <v>2.5000050663948059E-3</v>
      </c>
      <c r="L38" s="39"/>
      <c r="M38" s="40"/>
      <c r="N38" s="40"/>
      <c r="O38" s="41"/>
    </row>
    <row r="39" spans="1:15" s="7" customFormat="1" ht="15">
      <c r="A39" s="30"/>
      <c r="B39" s="46"/>
      <c r="C39" s="31" t="s">
        <v>238</v>
      </c>
      <c r="D39" s="45" t="s">
        <v>33</v>
      </c>
      <c r="E39" s="33"/>
      <c r="F39" s="34">
        <v>87132346.140377998</v>
      </c>
      <c r="G39" s="35"/>
      <c r="H39" s="47">
        <v>87132346.140000001</v>
      </c>
      <c r="I39" s="35" t="s">
        <v>239</v>
      </c>
      <c r="J39" s="37">
        <f t="shared" si="2"/>
        <v>3.779977560043335E-4</v>
      </c>
      <c r="K39" s="37">
        <f t="shared" si="3"/>
        <v>2.5000050663948059E-3</v>
      </c>
      <c r="L39" s="39"/>
      <c r="M39" s="40"/>
      <c r="N39" s="40"/>
      <c r="O39" s="41"/>
    </row>
    <row r="40" spans="1:15" s="7" customFormat="1" ht="15">
      <c r="A40" s="30"/>
      <c r="B40" s="46"/>
      <c r="C40" s="31" t="s">
        <v>240</v>
      </c>
      <c r="D40" s="45" t="s">
        <v>241</v>
      </c>
      <c r="E40" s="33"/>
      <c r="F40" s="34">
        <v>69767919.365676016</v>
      </c>
      <c r="G40" s="35"/>
      <c r="H40" s="47">
        <v>69767919.365676016</v>
      </c>
      <c r="I40" s="35" t="s">
        <v>242</v>
      </c>
      <c r="J40" s="37">
        <f t="shared" si="2"/>
        <v>0</v>
      </c>
      <c r="K40" s="37">
        <f t="shared" si="3"/>
        <v>2.8780028223991394E-3</v>
      </c>
      <c r="L40" s="39"/>
      <c r="M40" s="40"/>
      <c r="N40" s="40"/>
      <c r="O40" s="41"/>
    </row>
    <row r="41" spans="1:15" s="7" customFormat="1" ht="15">
      <c r="A41" s="30"/>
      <c r="B41" s="46"/>
      <c r="C41" s="31" t="s">
        <v>243</v>
      </c>
      <c r="D41" s="45" t="s">
        <v>244</v>
      </c>
      <c r="E41" s="33"/>
      <c r="F41" s="34">
        <v>74495613.067890003</v>
      </c>
      <c r="G41" s="35"/>
      <c r="H41" s="47">
        <v>74495613.069999993</v>
      </c>
      <c r="I41" s="35" t="s">
        <v>245</v>
      </c>
      <c r="J41" s="37">
        <f t="shared" si="2"/>
        <v>-2.1099895238876343E-3</v>
      </c>
      <c r="K41" s="37">
        <f t="shared" si="3"/>
        <v>2.8780028223991394E-3</v>
      </c>
      <c r="L41" s="39"/>
      <c r="M41" s="40"/>
      <c r="N41" s="40"/>
      <c r="O41" s="41"/>
    </row>
    <row r="42" spans="1:15" s="7" customFormat="1" ht="15">
      <c r="A42" s="30"/>
      <c r="B42" s="46"/>
      <c r="C42" s="31" t="s">
        <v>246</v>
      </c>
      <c r="D42" s="45" t="s">
        <v>57</v>
      </c>
      <c r="E42" s="33"/>
      <c r="F42" s="34">
        <v>80691661.186248004</v>
      </c>
      <c r="G42" s="35"/>
      <c r="H42" s="47">
        <v>80691661.186248004</v>
      </c>
      <c r="I42" s="35" t="s">
        <v>247</v>
      </c>
      <c r="J42" s="37">
        <f t="shared" si="2"/>
        <v>0</v>
      </c>
      <c r="K42" s="37">
        <f t="shared" si="3"/>
        <v>7.6801329851150513E-4</v>
      </c>
      <c r="L42" s="39"/>
      <c r="M42" s="40"/>
      <c r="N42" s="40"/>
      <c r="O42" s="41"/>
    </row>
    <row r="43" spans="1:15" s="7" customFormat="1" ht="15">
      <c r="A43" s="30"/>
      <c r="B43" s="46"/>
      <c r="C43" s="31" t="s">
        <v>248</v>
      </c>
      <c r="D43" s="45" t="s">
        <v>249</v>
      </c>
      <c r="E43" s="33"/>
      <c r="F43" s="34">
        <v>78939605.489471987</v>
      </c>
      <c r="G43" s="35"/>
      <c r="H43" s="47">
        <v>78939605.489471987</v>
      </c>
      <c r="I43" s="35" t="s">
        <v>247</v>
      </c>
      <c r="J43" s="37">
        <f t="shared" si="2"/>
        <v>0</v>
      </c>
      <c r="K43" s="37">
        <f t="shared" si="3"/>
        <v>7.6801329851150513E-4</v>
      </c>
      <c r="L43" s="39"/>
      <c r="M43" s="40"/>
      <c r="N43" s="40"/>
      <c r="O43" s="41"/>
    </row>
    <row r="44" spans="1:15" s="7" customFormat="1" ht="15">
      <c r="A44" s="30"/>
      <c r="B44" s="46"/>
      <c r="C44" s="31" t="s">
        <v>250</v>
      </c>
      <c r="D44" s="45" t="s">
        <v>251</v>
      </c>
      <c r="E44" s="33"/>
      <c r="F44" s="34">
        <v>78813901.379999995</v>
      </c>
      <c r="G44" s="35"/>
      <c r="H44" s="47">
        <v>78813901.379999995</v>
      </c>
      <c r="I44" s="35" t="s">
        <v>252</v>
      </c>
      <c r="J44" s="37">
        <f t="shared" si="2"/>
        <v>0</v>
      </c>
      <c r="K44" s="37">
        <f t="shared" si="3"/>
        <v>7.6801329851150513E-4</v>
      </c>
      <c r="L44" s="39"/>
      <c r="M44" s="40"/>
      <c r="N44" s="40"/>
      <c r="O44" s="41"/>
    </row>
    <row r="45" spans="1:15" s="7" customFormat="1" ht="15">
      <c r="A45" s="30"/>
      <c r="B45" s="46"/>
      <c r="C45" s="31" t="s">
        <v>139</v>
      </c>
      <c r="D45" s="45" t="s">
        <v>253</v>
      </c>
      <c r="E45" s="33"/>
      <c r="F45" s="34">
        <v>59356696.225312501</v>
      </c>
      <c r="G45" s="35"/>
      <c r="H45" s="47">
        <v>59356696.225312501</v>
      </c>
      <c r="I45" s="35" t="s">
        <v>252</v>
      </c>
      <c r="J45" s="37">
        <f t="shared" si="2"/>
        <v>0</v>
      </c>
      <c r="K45" s="37">
        <f t="shared" si="3"/>
        <v>7.6801329851150513E-4</v>
      </c>
      <c r="L45" s="39"/>
      <c r="M45" s="40"/>
      <c r="N45" s="40"/>
      <c r="O45" s="41"/>
    </row>
    <row r="46" spans="1:15" s="7" customFormat="1" ht="15">
      <c r="A46" s="30"/>
      <c r="B46" s="49"/>
      <c r="C46" s="31" t="s">
        <v>254</v>
      </c>
      <c r="D46" s="45" t="s">
        <v>255</v>
      </c>
      <c r="E46" s="33"/>
      <c r="F46" s="34">
        <v>71411261.203737006</v>
      </c>
      <c r="G46" s="35"/>
      <c r="H46" s="47">
        <v>71411261.203737006</v>
      </c>
      <c r="I46" s="35" t="s">
        <v>256</v>
      </c>
      <c r="J46" s="37">
        <f t="shared" si="2"/>
        <v>0</v>
      </c>
      <c r="K46" s="37">
        <f t="shared" si="3"/>
        <v>7.6801329851150513E-4</v>
      </c>
      <c r="L46" s="39"/>
      <c r="M46" s="40"/>
      <c r="N46" s="40"/>
      <c r="O46" s="41"/>
    </row>
    <row r="47" spans="1:15" s="7" customFormat="1" ht="15">
      <c r="A47" s="30"/>
      <c r="B47" s="46"/>
      <c r="C47" s="31" t="s">
        <v>257</v>
      </c>
      <c r="D47" s="45" t="s">
        <v>258</v>
      </c>
      <c r="E47" s="33"/>
      <c r="F47" s="34">
        <v>76161194.627552986</v>
      </c>
      <c r="G47" s="35"/>
      <c r="H47" s="47">
        <v>76161194.627552986</v>
      </c>
      <c r="I47" s="35" t="s">
        <v>256</v>
      </c>
      <c r="J47" s="37">
        <f t="shared" si="2"/>
        <v>0</v>
      </c>
      <c r="K47" s="37">
        <f t="shared" si="3"/>
        <v>7.6801329851150513E-4</v>
      </c>
      <c r="L47" s="39"/>
      <c r="M47" s="40"/>
      <c r="N47" s="40"/>
      <c r="O47" s="41"/>
    </row>
    <row r="48" spans="1:15" s="7" customFormat="1" ht="15">
      <c r="A48" s="30"/>
      <c r="B48" s="46"/>
      <c r="C48" s="31" t="s">
        <v>259</v>
      </c>
      <c r="D48" s="45" t="s">
        <v>260</v>
      </c>
      <c r="E48" s="33"/>
      <c r="F48" s="34">
        <v>72766156.784685001</v>
      </c>
      <c r="G48" s="35"/>
      <c r="H48" s="47">
        <v>72766156.784685001</v>
      </c>
      <c r="I48" s="35" t="s">
        <v>261</v>
      </c>
      <c r="J48" s="37">
        <f t="shared" si="2"/>
        <v>0</v>
      </c>
      <c r="K48" s="37">
        <f t="shared" si="3"/>
        <v>7.6801329851150513E-4</v>
      </c>
      <c r="L48" s="39"/>
      <c r="M48" s="40"/>
      <c r="N48" s="40"/>
      <c r="O48" s="41"/>
    </row>
    <row r="49" spans="1:15" s="7" customFormat="1" ht="15">
      <c r="A49" s="30"/>
      <c r="B49" s="46"/>
      <c r="C49" s="31" t="s">
        <v>262</v>
      </c>
      <c r="D49" s="45" t="s">
        <v>263</v>
      </c>
      <c r="E49" s="33"/>
      <c r="F49" s="34">
        <v>67215434.074141502</v>
      </c>
      <c r="G49" s="35"/>
      <c r="H49" s="47">
        <v>67215434.074141502</v>
      </c>
      <c r="I49" s="35" t="s">
        <v>261</v>
      </c>
      <c r="J49" s="37">
        <f t="shared" si="2"/>
        <v>0</v>
      </c>
      <c r="K49" s="37">
        <f t="shared" si="3"/>
        <v>7.6801329851150513E-4</v>
      </c>
      <c r="L49" s="39"/>
      <c r="M49" s="40"/>
      <c r="N49" s="40"/>
      <c r="O49" s="41"/>
    </row>
    <row r="50" spans="1:15" s="7" customFormat="1" ht="15">
      <c r="A50" s="30"/>
      <c r="B50" s="46"/>
      <c r="C50" s="31" t="s">
        <v>264</v>
      </c>
      <c r="D50" s="45" t="s">
        <v>265</v>
      </c>
      <c r="E50" s="33"/>
      <c r="F50" s="34">
        <v>82190273.644174486</v>
      </c>
      <c r="G50" s="35"/>
      <c r="H50" s="47">
        <v>82190273.644174486</v>
      </c>
      <c r="I50" s="35" t="s">
        <v>160</v>
      </c>
      <c r="J50" s="37">
        <f t="shared" si="2"/>
        <v>0</v>
      </c>
      <c r="K50" s="37">
        <f t="shared" si="3"/>
        <v>7.6801329851150513E-4</v>
      </c>
      <c r="L50" s="39"/>
      <c r="M50" s="40"/>
      <c r="N50" s="40"/>
      <c r="O50" s="41"/>
    </row>
    <row r="51" spans="1:15" s="7" customFormat="1" ht="15">
      <c r="A51" s="30"/>
      <c r="B51" s="46"/>
      <c r="C51" s="31" t="s">
        <v>266</v>
      </c>
      <c r="D51" s="45" t="s">
        <v>267</v>
      </c>
      <c r="E51" s="33"/>
      <c r="F51" s="34">
        <v>80139163.596628502</v>
      </c>
      <c r="G51" s="35"/>
      <c r="H51" s="47">
        <v>80139163.596628502</v>
      </c>
      <c r="I51" s="35" t="s">
        <v>160</v>
      </c>
      <c r="J51" s="37">
        <f t="shared" si="2"/>
        <v>0</v>
      </c>
      <c r="K51" s="37">
        <f t="shared" si="3"/>
        <v>7.6801329851150513E-4</v>
      </c>
      <c r="L51" s="39"/>
      <c r="M51" s="40"/>
      <c r="N51" s="40"/>
      <c r="O51" s="41"/>
    </row>
    <row r="52" spans="1:15" s="7" customFormat="1" ht="15">
      <c r="A52" s="30"/>
      <c r="B52" s="46"/>
      <c r="C52" s="31" t="s">
        <v>162</v>
      </c>
      <c r="D52" s="45" t="s">
        <v>268</v>
      </c>
      <c r="E52" s="33"/>
      <c r="F52" s="34">
        <v>85214857.248485997</v>
      </c>
      <c r="G52" s="35" t="s">
        <v>164</v>
      </c>
      <c r="H52" s="47">
        <v>85214857.248485997</v>
      </c>
      <c r="I52" s="35" t="s">
        <v>269</v>
      </c>
      <c r="J52" s="37">
        <f t="shared" si="2"/>
        <v>0</v>
      </c>
      <c r="K52" s="37">
        <f t="shared" si="3"/>
        <v>7.6801329851150513E-4</v>
      </c>
      <c r="L52" s="39"/>
      <c r="M52" s="40"/>
      <c r="N52" s="40"/>
      <c r="O52" s="41"/>
    </row>
    <row r="53" spans="1:15" s="7" customFormat="1" ht="15">
      <c r="A53" s="30"/>
      <c r="B53" s="46"/>
      <c r="C53" s="31" t="s">
        <v>166</v>
      </c>
      <c r="D53" s="45" t="s">
        <v>122</v>
      </c>
      <c r="E53" s="33"/>
      <c r="F53" s="34">
        <v>80146410.156098992</v>
      </c>
      <c r="G53" s="35" t="s">
        <v>168</v>
      </c>
      <c r="H53" s="47">
        <v>80146410.156098992</v>
      </c>
      <c r="I53" s="35" t="s">
        <v>270</v>
      </c>
      <c r="J53" s="37">
        <f t="shared" si="2"/>
        <v>0</v>
      </c>
      <c r="K53" s="37">
        <f t="shared" si="3"/>
        <v>7.6801329851150513E-4</v>
      </c>
      <c r="L53" s="39"/>
      <c r="M53" s="40"/>
      <c r="N53" s="40"/>
      <c r="O53" s="41"/>
    </row>
    <row r="54" spans="1:15" s="7" customFormat="1" ht="15">
      <c r="A54" s="30"/>
      <c r="B54" s="46"/>
      <c r="C54" s="31" t="s">
        <v>170</v>
      </c>
      <c r="D54" s="45" t="s">
        <v>271</v>
      </c>
      <c r="E54" s="33"/>
      <c r="F54" s="34">
        <v>83542934.339581504</v>
      </c>
      <c r="G54" s="35" t="s">
        <v>172</v>
      </c>
      <c r="H54" s="47">
        <v>83542934.340000004</v>
      </c>
      <c r="I54" s="35" t="s">
        <v>272</v>
      </c>
      <c r="J54" s="37">
        <f t="shared" si="2"/>
        <v>-4.1849911212921143E-4</v>
      </c>
      <c r="K54" s="37">
        <f t="shared" si="3"/>
        <v>7.6801329851150513E-4</v>
      </c>
      <c r="L54" s="39"/>
      <c r="M54" s="40"/>
      <c r="N54" s="40"/>
      <c r="O54" s="41"/>
    </row>
    <row r="55" spans="1:15" s="7" customFormat="1" ht="15">
      <c r="A55" s="30"/>
      <c r="B55" s="46"/>
      <c r="C55" s="31" t="s">
        <v>174</v>
      </c>
      <c r="D55" s="45" t="s">
        <v>273</v>
      </c>
      <c r="E55" s="33"/>
      <c r="F55" s="34">
        <v>87755884.931893498</v>
      </c>
      <c r="G55" s="35" t="s">
        <v>176</v>
      </c>
      <c r="H55" s="47">
        <v>87755884.930000007</v>
      </c>
      <c r="I55" s="35" t="s">
        <v>274</v>
      </c>
      <c r="J55" s="37">
        <f t="shared" si="2"/>
        <v>1.8934905529022217E-3</v>
      </c>
      <c r="K55" s="37">
        <f t="shared" si="3"/>
        <v>3.495141863822937E-4</v>
      </c>
      <c r="L55" s="39"/>
      <c r="M55" s="40"/>
      <c r="N55" s="40"/>
      <c r="O55" s="41"/>
    </row>
    <row r="56" spans="1:15" s="7" customFormat="1" ht="15">
      <c r="A56" s="30"/>
      <c r="B56" s="46"/>
      <c r="C56" s="31" t="s">
        <v>178</v>
      </c>
      <c r="D56" s="45" t="s">
        <v>275</v>
      </c>
      <c r="E56" s="33"/>
      <c r="F56" s="34">
        <v>66469415.978069998</v>
      </c>
      <c r="G56" s="35" t="s">
        <v>179</v>
      </c>
      <c r="H56" s="47">
        <v>66469415.978069998</v>
      </c>
      <c r="I56" s="35" t="s">
        <v>276</v>
      </c>
      <c r="J56" s="37">
        <f t="shared" si="2"/>
        <v>0</v>
      </c>
      <c r="K56" s="37">
        <f t="shared" si="3"/>
        <v>2.2430047392845154E-3</v>
      </c>
      <c r="L56" s="39"/>
      <c r="M56" s="40"/>
      <c r="N56" s="40"/>
      <c r="O56" s="41"/>
    </row>
    <row r="57" spans="1:15" s="7" customFormat="1" ht="15">
      <c r="A57" s="30"/>
      <c r="B57" s="46"/>
      <c r="C57" s="31" t="s">
        <v>181</v>
      </c>
      <c r="D57" s="45" t="s">
        <v>277</v>
      </c>
      <c r="E57" s="33"/>
      <c r="F57" s="34">
        <v>59326696.698643506</v>
      </c>
      <c r="G57" s="35" t="s">
        <v>183</v>
      </c>
      <c r="H57" s="47">
        <v>59326696.700000003</v>
      </c>
      <c r="I57" s="35" t="s">
        <v>278</v>
      </c>
      <c r="J57" s="37">
        <f t="shared" si="2"/>
        <v>-1.3564974069595337E-3</v>
      </c>
      <c r="K57" s="37">
        <f t="shared" si="3"/>
        <v>2.2430047392845154E-3</v>
      </c>
      <c r="L57" s="39"/>
      <c r="M57" s="40"/>
      <c r="N57" s="40"/>
      <c r="O57" s="41"/>
    </row>
    <row r="58" spans="1:15" s="7" customFormat="1" ht="15">
      <c r="A58" s="30"/>
      <c r="B58" s="46"/>
      <c r="C58" s="31" t="s">
        <v>185</v>
      </c>
      <c r="D58" s="45" t="s">
        <v>279</v>
      </c>
      <c r="E58" s="33"/>
      <c r="F58" s="34">
        <v>53667220.596002996</v>
      </c>
      <c r="G58" s="35" t="s">
        <v>187</v>
      </c>
      <c r="H58" s="47">
        <v>53667220.596002996</v>
      </c>
      <c r="I58" s="35" t="s">
        <v>280</v>
      </c>
      <c r="J58" s="37">
        <f t="shared" si="2"/>
        <v>0</v>
      </c>
      <c r="K58" s="37">
        <f t="shared" si="3"/>
        <v>8.8650733232498169E-4</v>
      </c>
      <c r="L58" s="39"/>
      <c r="M58" s="40"/>
      <c r="N58" s="40"/>
      <c r="O58" s="41"/>
    </row>
    <row r="59" spans="1:15" s="7" customFormat="1" ht="15">
      <c r="A59" s="30"/>
      <c r="B59" s="46"/>
      <c r="C59" s="31" t="s">
        <v>189</v>
      </c>
      <c r="D59" s="45" t="s">
        <v>281</v>
      </c>
      <c r="E59" s="33"/>
      <c r="F59" s="34">
        <v>66620277.295577243</v>
      </c>
      <c r="G59" s="35" t="s">
        <v>190</v>
      </c>
      <c r="H59" s="47">
        <v>66620277.295577243</v>
      </c>
      <c r="I59" s="35" t="s">
        <v>282</v>
      </c>
      <c r="J59" s="37">
        <f t="shared" si="2"/>
        <v>0</v>
      </c>
      <c r="K59" s="37">
        <f t="shared" si="3"/>
        <v>8.8650733232498169E-4</v>
      </c>
      <c r="L59" s="39"/>
      <c r="M59" s="40"/>
      <c r="N59" s="40"/>
      <c r="O59" s="41"/>
    </row>
    <row r="60" spans="1:15" s="7" customFormat="1" ht="18.75">
      <c r="A60" s="30"/>
      <c r="B60" s="46"/>
      <c r="C60" s="31" t="s">
        <v>191</v>
      </c>
      <c r="D60" s="45" t="s">
        <v>283</v>
      </c>
      <c r="E60" s="44">
        <v>43986</v>
      </c>
      <c r="F60" s="34">
        <v>103912264.911567</v>
      </c>
      <c r="G60" s="35" t="s">
        <v>193</v>
      </c>
      <c r="H60" s="47">
        <f>52000000+51912264.91</f>
        <v>103912264.91</v>
      </c>
      <c r="I60" s="35" t="s">
        <v>284</v>
      </c>
      <c r="J60" s="37">
        <f t="shared" si="2"/>
        <v>1.5670061111450195E-3</v>
      </c>
      <c r="K60" s="37">
        <f t="shared" si="3"/>
        <v>8.8650733232498169E-4</v>
      </c>
      <c r="L60" s="39"/>
      <c r="M60" s="40"/>
      <c r="N60" s="40"/>
      <c r="O60" s="41"/>
    </row>
    <row r="61" spans="1:15" s="7" customFormat="1" ht="18.75">
      <c r="A61" s="30"/>
      <c r="B61" s="46"/>
      <c r="C61" s="31" t="s">
        <v>195</v>
      </c>
      <c r="D61" s="45" t="s">
        <v>84</v>
      </c>
      <c r="E61" s="44" t="s">
        <v>197</v>
      </c>
      <c r="F61" s="34">
        <v>117219442.48333201</v>
      </c>
      <c r="G61" s="35" t="s">
        <v>198</v>
      </c>
      <c r="H61" s="47">
        <v>102000000</v>
      </c>
      <c r="I61" s="35" t="s">
        <v>285</v>
      </c>
      <c r="J61" s="37">
        <f t="shared" si="2"/>
        <v>15219442.483332008</v>
      </c>
      <c r="K61" s="37">
        <f t="shared" si="3"/>
        <v>2.4535134434700012E-3</v>
      </c>
      <c r="L61" s="39"/>
      <c r="M61" s="40"/>
      <c r="N61" s="40"/>
      <c r="O61" s="41"/>
    </row>
    <row r="62" spans="1:15" s="7" customFormat="1" ht="18.75">
      <c r="A62" s="30"/>
      <c r="B62" s="46"/>
      <c r="C62" s="31" t="s">
        <v>199</v>
      </c>
      <c r="D62" s="45" t="s">
        <v>286</v>
      </c>
      <c r="E62" s="44">
        <v>44049</v>
      </c>
      <c r="F62" s="34">
        <v>85453740.887339994</v>
      </c>
      <c r="G62" s="44">
        <v>43897</v>
      </c>
      <c r="H62" s="47">
        <f>54542446.45+7249692.9</f>
        <v>61792139.350000001</v>
      </c>
      <c r="I62" s="35" t="s">
        <v>287</v>
      </c>
      <c r="J62" s="37">
        <f t="shared" si="2"/>
        <v>23661601.537339993</v>
      </c>
      <c r="K62" s="37">
        <f t="shared" si="3"/>
        <v>15219442.485785522</v>
      </c>
      <c r="L62" s="39"/>
      <c r="M62" s="40"/>
      <c r="N62" s="40"/>
      <c r="O62" s="41"/>
    </row>
    <row r="63" spans="1:15" s="7" customFormat="1" ht="18.75">
      <c r="A63" s="30"/>
      <c r="B63" s="46"/>
      <c r="C63" s="31" t="s">
        <v>201</v>
      </c>
      <c r="D63" s="45" t="s">
        <v>253</v>
      </c>
      <c r="E63" s="44">
        <v>44081</v>
      </c>
      <c r="F63" s="34">
        <v>85112625.51309</v>
      </c>
      <c r="G63" s="44">
        <v>44020</v>
      </c>
      <c r="H63" s="47">
        <v>85112625.510000005</v>
      </c>
      <c r="I63" s="35" t="s">
        <v>288</v>
      </c>
      <c r="J63" s="37">
        <f t="shared" si="2"/>
        <v>3.0899941921234131E-3</v>
      </c>
      <c r="K63" s="37">
        <f t="shared" si="3"/>
        <v>38881044.023125514</v>
      </c>
      <c r="L63" s="39"/>
      <c r="M63" s="40"/>
      <c r="N63" s="40"/>
      <c r="O63" s="41"/>
    </row>
    <row r="64" spans="1:15" s="7" customFormat="1" ht="18.75">
      <c r="A64" s="30"/>
      <c r="B64" s="46"/>
      <c r="C64" s="31" t="s">
        <v>203</v>
      </c>
      <c r="D64" s="45" t="s">
        <v>289</v>
      </c>
      <c r="E64" s="44">
        <v>43990</v>
      </c>
      <c r="F64" s="34">
        <v>79339154.434335992</v>
      </c>
      <c r="G64" s="44" t="s">
        <v>290</v>
      </c>
      <c r="H64" s="47">
        <v>79339154.430000007</v>
      </c>
      <c r="I64" s="35" t="s">
        <v>291</v>
      </c>
      <c r="J64" s="37">
        <f t="shared" si="2"/>
        <v>4.3359845876693726E-3</v>
      </c>
      <c r="K64" s="37">
        <f t="shared" si="3"/>
        <v>38881044.026215509</v>
      </c>
      <c r="L64" s="39"/>
      <c r="M64" s="40"/>
      <c r="N64" s="40"/>
      <c r="O64" s="41"/>
    </row>
    <row r="65" spans="1:15" s="7" customFormat="1" ht="18.75">
      <c r="A65" s="30"/>
      <c r="B65" s="46"/>
      <c r="C65" s="31" t="s">
        <v>207</v>
      </c>
      <c r="D65" s="45" t="s">
        <v>260</v>
      </c>
      <c r="E65" s="44" t="s">
        <v>292</v>
      </c>
      <c r="F65" s="34">
        <v>105490022.58683999</v>
      </c>
      <c r="G65" s="44" t="s">
        <v>293</v>
      </c>
      <c r="H65" s="47">
        <f>45759488.42+79146804.68</f>
        <v>124906293.10000001</v>
      </c>
      <c r="I65" s="35" t="s">
        <v>294</v>
      </c>
      <c r="J65" s="37">
        <f t="shared" si="2"/>
        <v>-19416270.51316002</v>
      </c>
      <c r="K65" s="37">
        <f t="shared" si="3"/>
        <v>38881044.030551493</v>
      </c>
      <c r="L65" s="39"/>
      <c r="M65" s="40"/>
      <c r="N65" s="40"/>
      <c r="O65" s="41"/>
    </row>
    <row r="66" spans="1:15" s="7" customFormat="1" ht="18.75">
      <c r="A66" s="30"/>
      <c r="B66" s="46"/>
      <c r="C66" s="31" t="s">
        <v>212</v>
      </c>
      <c r="D66" s="45" t="s">
        <v>74</v>
      </c>
      <c r="E66" s="44">
        <v>44084</v>
      </c>
      <c r="F66" s="34">
        <v>95241970.829600245</v>
      </c>
      <c r="G66" s="44" t="s">
        <v>213</v>
      </c>
      <c r="H66" s="47">
        <f>47760376.53+82612082.19</f>
        <v>130372458.72</v>
      </c>
      <c r="I66" s="35" t="s">
        <v>295</v>
      </c>
      <c r="J66" s="37">
        <f t="shared" si="2"/>
        <v>-35130487.890399754</v>
      </c>
      <c r="K66" s="37">
        <f t="shared" si="3"/>
        <v>19464773.517391473</v>
      </c>
      <c r="L66" s="39"/>
      <c r="M66" s="40"/>
      <c r="N66" s="40"/>
      <c r="O66" s="41"/>
    </row>
    <row r="67" spans="1:15" s="7" customFormat="1" ht="18.75">
      <c r="A67" s="30"/>
      <c r="B67" s="46"/>
      <c r="C67" s="31" t="s">
        <v>214</v>
      </c>
      <c r="D67" s="45" t="s">
        <v>296</v>
      </c>
      <c r="E67" s="44">
        <v>43962</v>
      </c>
      <c r="F67" s="34">
        <v>103570032.35841198</v>
      </c>
      <c r="G67" s="44" t="s">
        <v>216</v>
      </c>
      <c r="H67" s="47">
        <v>74295219.590000004</v>
      </c>
      <c r="I67" s="35" t="s">
        <v>297</v>
      </c>
      <c r="J67" s="37">
        <f t="shared" si="2"/>
        <v>29274812.768411979</v>
      </c>
      <c r="K67" s="37">
        <f t="shared" si="3"/>
        <v>-15665714.373008281</v>
      </c>
      <c r="L67" s="39"/>
      <c r="M67" s="40"/>
      <c r="N67" s="40"/>
      <c r="O67" s="41"/>
    </row>
    <row r="68" spans="1:15" s="7" customFormat="1" ht="18.75">
      <c r="A68" s="30"/>
      <c r="B68" s="46"/>
      <c r="C68" s="31" t="s">
        <v>218</v>
      </c>
      <c r="D68" s="45" t="s">
        <v>298</v>
      </c>
      <c r="E68" s="44">
        <v>44024</v>
      </c>
      <c r="F68" s="34">
        <v>79146804.688442498</v>
      </c>
      <c r="G68" s="44">
        <v>44531</v>
      </c>
      <c r="H68" s="47">
        <v>99623212.689999998</v>
      </c>
      <c r="I68" s="35">
        <v>44200</v>
      </c>
      <c r="J68" s="37">
        <f t="shared" si="2"/>
        <v>-20476408.001557499</v>
      </c>
      <c r="K68" s="37">
        <f t="shared" si="3"/>
        <v>13609098.395403698</v>
      </c>
      <c r="L68" s="39"/>
      <c r="M68" s="40"/>
      <c r="N68" s="40"/>
      <c r="O68" s="41"/>
    </row>
    <row r="69" spans="1:15" s="7" customFormat="1" ht="18.75">
      <c r="A69" s="30"/>
      <c r="B69" s="46"/>
      <c r="C69" s="31" t="s">
        <v>219</v>
      </c>
      <c r="D69" s="45" t="s">
        <v>299</v>
      </c>
      <c r="E69" s="44">
        <v>44409</v>
      </c>
      <c r="F69" s="34">
        <v>82612082.187766999</v>
      </c>
      <c r="G69" s="44" t="s">
        <v>220</v>
      </c>
      <c r="H69" s="47">
        <v>93461130.140000001</v>
      </c>
      <c r="I69" s="35" t="s">
        <v>300</v>
      </c>
      <c r="J69" s="37">
        <f t="shared" si="2"/>
        <v>-10849047.952233002</v>
      </c>
      <c r="K69" s="37">
        <f t="shared" si="3"/>
        <v>-6867309.6061538011</v>
      </c>
      <c r="L69" s="39"/>
      <c r="M69" s="40"/>
      <c r="N69" s="40"/>
      <c r="O69" s="41"/>
    </row>
    <row r="70" spans="1:15" s="7" customFormat="1" ht="18.75">
      <c r="A70" s="30"/>
      <c r="B70" s="46"/>
      <c r="C70" s="31" t="s">
        <v>221</v>
      </c>
      <c r="D70" s="45" t="s">
        <v>29</v>
      </c>
      <c r="E70" s="44">
        <v>44410</v>
      </c>
      <c r="F70" s="34">
        <v>74295219.597810745</v>
      </c>
      <c r="G70" s="44">
        <v>44258</v>
      </c>
      <c r="H70" s="47"/>
      <c r="I70" s="35"/>
      <c r="J70" s="37">
        <f t="shared" si="2"/>
        <v>74295219.597810745</v>
      </c>
      <c r="K70" s="37">
        <f t="shared" si="3"/>
        <v>-17716357.558386803</v>
      </c>
      <c r="L70" s="39"/>
      <c r="M70" s="40"/>
      <c r="N70" s="40"/>
      <c r="O70" s="41"/>
    </row>
    <row r="71" spans="1:15" s="7" customFormat="1" ht="18.75">
      <c r="A71" s="30"/>
      <c r="B71" s="46"/>
      <c r="C71" s="31" t="s">
        <v>222</v>
      </c>
      <c r="D71" s="45" t="s">
        <v>301</v>
      </c>
      <c r="E71" s="44">
        <v>44319</v>
      </c>
      <c r="F71" s="34">
        <v>99623212.688884497</v>
      </c>
      <c r="G71" s="44" t="s">
        <v>224</v>
      </c>
      <c r="H71" s="47"/>
      <c r="I71" s="35"/>
      <c r="J71" s="37">
        <f t="shared" si="2"/>
        <v>99623212.688884497</v>
      </c>
      <c r="K71" s="37">
        <f t="shared" si="3"/>
        <v>56578862.039423943</v>
      </c>
      <c r="L71" s="39"/>
      <c r="M71" s="40"/>
      <c r="N71" s="40"/>
      <c r="O71" s="41"/>
    </row>
    <row r="72" spans="1:15" s="7" customFormat="1" ht="15">
      <c r="A72" s="30"/>
      <c r="B72" s="46" t="s">
        <v>302</v>
      </c>
      <c r="C72" s="31"/>
      <c r="D72" s="45"/>
      <c r="E72" s="33"/>
      <c r="F72" s="34">
        <f>SUM(F70:F71)</f>
        <v>173918432.28669524</v>
      </c>
      <c r="H72" s="485">
        <f>F72+K70</f>
        <v>156202074.72830844</v>
      </c>
      <c r="I72" s="35"/>
      <c r="J72" s="37"/>
      <c r="K72" s="38">
        <f>J71+K71</f>
        <v>156202074.72830844</v>
      </c>
      <c r="L72" s="39"/>
      <c r="M72" s="40"/>
      <c r="N72" s="40"/>
      <c r="O72" s="41"/>
    </row>
    <row r="73" spans="1:15" s="7" customFormat="1" ht="15">
      <c r="A73" s="30"/>
      <c r="B73" s="50"/>
      <c r="D73" s="51"/>
      <c r="E73" s="52"/>
      <c r="F73" s="53"/>
      <c r="H73" s="54"/>
      <c r="L73" s="55"/>
    </row>
    <row r="74" spans="1:15" s="7" customFormat="1" ht="15">
      <c r="A74" s="30">
        <v>3</v>
      </c>
      <c r="B74" s="46" t="s">
        <v>30</v>
      </c>
      <c r="C74" s="31" t="s">
        <v>226</v>
      </c>
      <c r="D74" s="45" t="s">
        <v>303</v>
      </c>
      <c r="E74" s="33"/>
      <c r="F74" s="34">
        <v>12874636.300000001</v>
      </c>
      <c r="G74" s="35"/>
      <c r="H74" s="36">
        <v>12874636.300000001</v>
      </c>
      <c r="I74" s="35"/>
      <c r="J74" s="37">
        <f>F74-H74</f>
        <v>0</v>
      </c>
      <c r="K74" s="37">
        <f>J74</f>
        <v>0</v>
      </c>
      <c r="L74" s="39"/>
      <c r="M74" s="40"/>
      <c r="N74" s="40"/>
      <c r="O74" s="41"/>
    </row>
    <row r="75" spans="1:15" s="7" customFormat="1" ht="15">
      <c r="A75" s="30"/>
      <c r="B75" s="46"/>
      <c r="C75" s="31" t="s">
        <v>228</v>
      </c>
      <c r="D75" s="45" t="s">
        <v>304</v>
      </c>
      <c r="E75" s="33"/>
      <c r="F75" s="34">
        <v>12556944.93</v>
      </c>
      <c r="H75" s="47">
        <v>12556944.93</v>
      </c>
      <c r="I75" s="35"/>
      <c r="J75" s="37">
        <f t="shared" ref="J75:J112" si="4">F75-H75</f>
        <v>0</v>
      </c>
      <c r="K75" s="37">
        <f>J75+K74</f>
        <v>0</v>
      </c>
      <c r="L75" s="39"/>
      <c r="M75" s="40"/>
      <c r="N75" s="40"/>
      <c r="O75" s="41"/>
    </row>
    <row r="76" spans="1:15" s="7" customFormat="1" ht="15">
      <c r="A76" s="30"/>
      <c r="B76" s="46"/>
      <c r="C76" s="31" t="s">
        <v>231</v>
      </c>
      <c r="D76" s="45" t="s">
        <v>305</v>
      </c>
      <c r="E76" s="33"/>
      <c r="F76" s="34">
        <v>12787159.052913001</v>
      </c>
      <c r="H76" s="47">
        <v>12787159.052913001</v>
      </c>
      <c r="I76" s="35"/>
      <c r="J76" s="37">
        <f t="shared" si="4"/>
        <v>0</v>
      </c>
      <c r="K76" s="37">
        <f t="shared" ref="K76:K92" si="5">J76+K75</f>
        <v>0</v>
      </c>
      <c r="L76" s="39"/>
      <c r="M76" s="40"/>
      <c r="N76" s="40"/>
      <c r="O76" s="41"/>
    </row>
    <row r="77" spans="1:15" s="7" customFormat="1" ht="15">
      <c r="A77" s="30"/>
      <c r="B77" s="46"/>
      <c r="C77" s="31" t="s">
        <v>234</v>
      </c>
      <c r="D77" s="45" t="s">
        <v>306</v>
      </c>
      <c r="E77" s="33"/>
      <c r="F77" s="34">
        <v>14385655.787821503</v>
      </c>
      <c r="H77" s="47">
        <v>14385655.787821503</v>
      </c>
      <c r="I77" s="35"/>
      <c r="J77" s="37">
        <f t="shared" si="4"/>
        <v>0</v>
      </c>
      <c r="K77" s="37">
        <f t="shared" si="5"/>
        <v>0</v>
      </c>
      <c r="L77" s="39"/>
      <c r="M77" s="40"/>
      <c r="N77" s="40"/>
      <c r="O77" s="41"/>
    </row>
    <row r="78" spans="1:15" s="7" customFormat="1" ht="15">
      <c r="A78" s="30"/>
      <c r="B78" s="46"/>
      <c r="C78" s="31" t="s">
        <v>236</v>
      </c>
      <c r="D78" s="45" t="s">
        <v>307</v>
      </c>
      <c r="E78" s="33"/>
      <c r="F78" s="34">
        <v>15641614.421433</v>
      </c>
      <c r="H78" s="47">
        <v>15641614.42</v>
      </c>
      <c r="I78" s="35"/>
      <c r="J78" s="37">
        <f t="shared" si="4"/>
        <v>1.4329999685287476E-3</v>
      </c>
      <c r="K78" s="37">
        <f t="shared" si="5"/>
        <v>1.4329999685287476E-3</v>
      </c>
      <c r="L78" s="39"/>
      <c r="M78" s="40"/>
      <c r="N78" s="40"/>
      <c r="O78" s="41"/>
    </row>
    <row r="79" spans="1:15" s="7" customFormat="1" ht="15">
      <c r="A79" s="30"/>
      <c r="B79" s="46"/>
      <c r="C79" s="31" t="s">
        <v>238</v>
      </c>
      <c r="D79" s="45" t="s">
        <v>308</v>
      </c>
      <c r="E79" s="33"/>
      <c r="F79" s="34">
        <v>14417025.016317001</v>
      </c>
      <c r="H79" s="47">
        <v>14417025.02</v>
      </c>
      <c r="I79" s="35"/>
      <c r="J79" s="37">
        <f t="shared" si="4"/>
        <v>-3.6829989403486252E-3</v>
      </c>
      <c r="K79" s="37">
        <f t="shared" si="5"/>
        <v>-2.2499989718198776E-3</v>
      </c>
      <c r="L79" s="39"/>
      <c r="M79" s="40"/>
      <c r="N79" s="40"/>
      <c r="O79" s="41"/>
    </row>
    <row r="80" spans="1:15" s="7" customFormat="1" ht="15">
      <c r="A80" s="30"/>
      <c r="B80" s="46"/>
      <c r="C80" s="31" t="s">
        <v>240</v>
      </c>
      <c r="D80" s="45" t="s">
        <v>309</v>
      </c>
      <c r="E80" s="33"/>
      <c r="F80" s="34">
        <v>12621332.723758502</v>
      </c>
      <c r="H80" s="47">
        <v>12621332.720000001</v>
      </c>
      <c r="I80" s="35"/>
      <c r="J80" s="37">
        <f t="shared" si="4"/>
        <v>3.758501261472702E-3</v>
      </c>
      <c r="K80" s="37">
        <f t="shared" si="5"/>
        <v>1.5085022896528244E-3</v>
      </c>
      <c r="L80" s="39"/>
      <c r="M80" s="40"/>
      <c r="N80" s="40"/>
      <c r="O80" s="41"/>
    </row>
    <row r="81" spans="1:15" s="7" customFormat="1" ht="15">
      <c r="A81" s="30"/>
      <c r="B81" s="46"/>
      <c r="C81" s="31" t="s">
        <v>243</v>
      </c>
      <c r="D81" s="45" t="s">
        <v>310</v>
      </c>
      <c r="E81" s="33"/>
      <c r="F81" s="34">
        <v>12609303.48825</v>
      </c>
      <c r="H81" s="47"/>
      <c r="I81" s="35"/>
      <c r="J81" s="37">
        <f t="shared" si="4"/>
        <v>12609303.48825</v>
      </c>
      <c r="K81" s="37">
        <f t="shared" si="5"/>
        <v>12609303.489758503</v>
      </c>
      <c r="L81" s="39"/>
      <c r="M81" s="40"/>
      <c r="N81" s="40"/>
      <c r="O81" s="41"/>
    </row>
    <row r="82" spans="1:15" s="7" customFormat="1" ht="15">
      <c r="A82" s="30"/>
      <c r="B82" s="46"/>
      <c r="C82" s="31" t="s">
        <v>246</v>
      </c>
      <c r="D82" s="45" t="s">
        <v>311</v>
      </c>
      <c r="E82" s="33"/>
      <c r="F82" s="34">
        <v>15405927.216288</v>
      </c>
      <c r="H82" s="47">
        <f>12609303.49+15405927.22</f>
        <v>28015230.710000001</v>
      </c>
      <c r="I82" s="35"/>
      <c r="J82" s="37">
        <f t="shared" si="4"/>
        <v>-12609303.493712001</v>
      </c>
      <c r="K82" s="37">
        <f t="shared" si="5"/>
        <v>-3.9534978568553925E-3</v>
      </c>
      <c r="L82" s="39"/>
      <c r="M82" s="40"/>
      <c r="N82" s="40"/>
      <c r="O82" s="41"/>
    </row>
    <row r="83" spans="1:15" s="7" customFormat="1" ht="15">
      <c r="A83" s="30"/>
      <c r="B83" s="46"/>
      <c r="C83" s="31" t="s">
        <v>248</v>
      </c>
      <c r="D83" s="45" t="s">
        <v>296</v>
      </c>
      <c r="E83" s="33"/>
      <c r="F83" s="34">
        <v>16502493.323861998</v>
      </c>
      <c r="H83" s="47">
        <v>16502493.323861998</v>
      </c>
      <c r="I83" s="35"/>
      <c r="J83" s="37">
        <f t="shared" si="4"/>
        <v>0</v>
      </c>
      <c r="K83" s="37">
        <f t="shared" si="5"/>
        <v>-3.9534978568553925E-3</v>
      </c>
      <c r="L83" s="39"/>
      <c r="M83" s="40"/>
      <c r="N83" s="40"/>
      <c r="O83" s="41"/>
    </row>
    <row r="84" spans="1:15" s="7" customFormat="1" ht="15">
      <c r="A84" s="30"/>
      <c r="B84" s="46"/>
      <c r="C84" s="31" t="s">
        <v>250</v>
      </c>
      <c r="D84" s="45" t="s">
        <v>298</v>
      </c>
      <c r="E84" s="33"/>
      <c r="F84" s="34">
        <v>9262728.0899999999</v>
      </c>
      <c r="H84" s="47">
        <v>9262728.0899999999</v>
      </c>
      <c r="I84" s="35"/>
      <c r="J84" s="37">
        <f t="shared" si="4"/>
        <v>0</v>
      </c>
      <c r="K84" s="37">
        <f t="shared" si="5"/>
        <v>-3.9534978568553925E-3</v>
      </c>
      <c r="L84" s="39"/>
      <c r="M84" s="40"/>
      <c r="N84" s="40"/>
      <c r="O84" s="41"/>
    </row>
    <row r="85" spans="1:15" s="7" customFormat="1" ht="15">
      <c r="A85" s="30"/>
      <c r="B85" s="46"/>
      <c r="C85" s="31" t="s">
        <v>139</v>
      </c>
      <c r="D85" s="45" t="s">
        <v>299</v>
      </c>
      <c r="E85" s="33"/>
      <c r="F85" s="34">
        <v>13711110.874335002</v>
      </c>
      <c r="H85" s="47">
        <v>13711110.869999999</v>
      </c>
      <c r="I85" s="35"/>
      <c r="J85" s="37">
        <f t="shared" si="4"/>
        <v>4.3350029736757278E-3</v>
      </c>
      <c r="K85" s="37">
        <f t="shared" si="5"/>
        <v>3.8150511682033539E-4</v>
      </c>
      <c r="L85" s="39"/>
      <c r="M85" s="40"/>
      <c r="N85" s="40"/>
      <c r="O85" s="41"/>
    </row>
    <row r="86" spans="1:15" s="7" customFormat="1" ht="15">
      <c r="A86" s="30"/>
      <c r="B86" s="46"/>
      <c r="C86" s="31" t="s">
        <v>254</v>
      </c>
      <c r="D86" s="45" t="s">
        <v>29</v>
      </c>
      <c r="E86" s="33"/>
      <c r="F86" s="34">
        <v>14579160.912130501</v>
      </c>
      <c r="H86" s="47">
        <v>14579160.912130501</v>
      </c>
      <c r="I86" s="35" t="s">
        <v>312</v>
      </c>
      <c r="J86" s="37">
        <f t="shared" si="4"/>
        <v>0</v>
      </c>
      <c r="K86" s="37">
        <f t="shared" si="5"/>
        <v>3.8150511682033539E-4</v>
      </c>
      <c r="L86" s="39"/>
      <c r="M86" s="40"/>
      <c r="N86" s="40"/>
      <c r="O86" s="41"/>
    </row>
    <row r="87" spans="1:15" s="7" customFormat="1" ht="15">
      <c r="A87" s="30"/>
      <c r="B87" s="46"/>
      <c r="C87" s="31" t="s">
        <v>257</v>
      </c>
      <c r="D87" s="45" t="s">
        <v>301</v>
      </c>
      <c r="E87" s="33"/>
      <c r="F87" s="34">
        <v>9315652.4216280021</v>
      </c>
      <c r="H87" s="47">
        <v>9315652.4216280021</v>
      </c>
      <c r="I87" s="35"/>
      <c r="J87" s="37">
        <f t="shared" si="4"/>
        <v>0</v>
      </c>
      <c r="K87" s="37">
        <f t="shared" si="5"/>
        <v>3.8150511682033539E-4</v>
      </c>
      <c r="L87" s="39"/>
      <c r="M87" s="40"/>
      <c r="N87" s="40"/>
      <c r="O87" s="41"/>
    </row>
    <row r="88" spans="1:15" s="7" customFormat="1" ht="15">
      <c r="A88" s="30"/>
      <c r="B88" s="46"/>
      <c r="C88" s="31" t="s">
        <v>259</v>
      </c>
      <c r="D88" s="45" t="s">
        <v>313</v>
      </c>
      <c r="E88" s="33"/>
      <c r="F88" s="34">
        <v>14427756.995158499</v>
      </c>
      <c r="H88" s="47">
        <v>14427756.995158499</v>
      </c>
      <c r="I88" s="35"/>
      <c r="J88" s="37">
        <f t="shared" si="4"/>
        <v>0</v>
      </c>
      <c r="K88" s="37">
        <f t="shared" si="5"/>
        <v>3.8150511682033539E-4</v>
      </c>
      <c r="L88" s="39"/>
      <c r="M88" s="40"/>
      <c r="N88" s="40"/>
      <c r="O88" s="41"/>
    </row>
    <row r="89" spans="1:15" s="7" customFormat="1" ht="15">
      <c r="A89" s="30"/>
      <c r="B89" s="46"/>
      <c r="C89" s="31" t="s">
        <v>262</v>
      </c>
      <c r="D89" s="45" t="s">
        <v>314</v>
      </c>
      <c r="E89" s="33"/>
      <c r="F89" s="34">
        <v>13377886.533553502</v>
      </c>
      <c r="H89" s="47">
        <v>13377886.533553502</v>
      </c>
      <c r="I89" s="35"/>
      <c r="J89" s="37">
        <f t="shared" si="4"/>
        <v>0</v>
      </c>
      <c r="K89" s="37">
        <f t="shared" si="5"/>
        <v>3.8150511682033539E-4</v>
      </c>
      <c r="L89" s="39"/>
      <c r="M89" s="40"/>
      <c r="N89" s="40"/>
      <c r="O89" s="41"/>
    </row>
    <row r="90" spans="1:15" s="7" customFormat="1" ht="15">
      <c r="A90" s="30"/>
      <c r="B90" s="46"/>
      <c r="C90" s="31" t="s">
        <v>264</v>
      </c>
      <c r="D90" s="45" t="s">
        <v>315</v>
      </c>
      <c r="E90" s="33"/>
      <c r="F90" s="34">
        <v>17582091.883398</v>
      </c>
      <c r="H90" s="47">
        <v>17582091.879999999</v>
      </c>
      <c r="I90" s="35"/>
      <c r="J90" s="37">
        <f t="shared" si="4"/>
        <v>3.3980011940002441E-3</v>
      </c>
      <c r="K90" s="37">
        <f t="shared" si="5"/>
        <v>3.7795063108205795E-3</v>
      </c>
      <c r="L90" s="39"/>
      <c r="M90" s="40"/>
      <c r="N90" s="40"/>
      <c r="O90" s="41"/>
    </row>
    <row r="91" spans="1:15" s="7" customFormat="1" ht="15">
      <c r="A91" s="30"/>
      <c r="C91" s="31" t="s">
        <v>266</v>
      </c>
      <c r="D91" s="45" t="s">
        <v>316</v>
      </c>
      <c r="E91" s="33"/>
      <c r="F91" s="34">
        <v>15601522.0069905</v>
      </c>
      <c r="H91" s="47">
        <v>15601522.01</v>
      </c>
      <c r="I91" s="35"/>
      <c r="J91" s="37">
        <f t="shared" si="4"/>
        <v>-3.0094999819993973E-3</v>
      </c>
      <c r="K91" s="37">
        <f t="shared" si="5"/>
        <v>7.7000632882118225E-4</v>
      </c>
      <c r="L91" s="39"/>
      <c r="M91" s="40"/>
      <c r="N91" s="40"/>
      <c r="O91" s="41"/>
    </row>
    <row r="92" spans="1:15" s="7" customFormat="1" ht="15">
      <c r="A92" s="30"/>
      <c r="C92" s="31" t="s">
        <v>162</v>
      </c>
      <c r="D92" s="45" t="s">
        <v>317</v>
      </c>
      <c r="E92" s="33"/>
      <c r="F92" s="34">
        <v>16780317.3936405</v>
      </c>
      <c r="G92" s="7" t="s">
        <v>164</v>
      </c>
      <c r="H92" s="47">
        <v>16780317.390000001</v>
      </c>
      <c r="I92" s="35" t="s">
        <v>318</v>
      </c>
      <c r="J92" s="37">
        <f t="shared" si="4"/>
        <v>3.6404989659786224E-3</v>
      </c>
      <c r="K92" s="37">
        <f t="shared" si="5"/>
        <v>4.4105052947998047E-3</v>
      </c>
      <c r="L92" s="39"/>
      <c r="M92" s="40"/>
      <c r="N92" s="40"/>
      <c r="O92" s="41"/>
    </row>
    <row r="93" spans="1:15" s="7" customFormat="1" ht="15">
      <c r="A93" s="30"/>
      <c r="C93" s="31" t="s">
        <v>166</v>
      </c>
      <c r="D93" s="45" t="s">
        <v>319</v>
      </c>
      <c r="E93" s="33"/>
      <c r="F93" s="34">
        <v>15264746.314461</v>
      </c>
      <c r="G93" s="7" t="s">
        <v>168</v>
      </c>
      <c r="H93" s="47">
        <v>15264746.310000001</v>
      </c>
      <c r="I93" s="35" t="s">
        <v>320</v>
      </c>
      <c r="J93" s="37">
        <f t="shared" si="4"/>
        <v>4.4609997421503067E-3</v>
      </c>
      <c r="K93" s="37">
        <v>3.8150511682033539E-4</v>
      </c>
      <c r="L93" s="39"/>
      <c r="M93" s="40"/>
      <c r="N93" s="40"/>
      <c r="O93" s="41"/>
    </row>
    <row r="94" spans="1:15" s="7" customFormat="1" ht="15">
      <c r="A94" s="30"/>
      <c r="C94" s="31" t="s">
        <v>170</v>
      </c>
      <c r="D94" s="45" t="s">
        <v>321</v>
      </c>
      <c r="E94" s="33"/>
      <c r="F94" s="34">
        <v>14769429.003273001</v>
      </c>
      <c r="G94" s="7" t="s">
        <v>172</v>
      </c>
      <c r="H94" s="47">
        <v>14769429</v>
      </c>
      <c r="I94" s="35" t="s">
        <v>322</v>
      </c>
      <c r="J94" s="37">
        <f t="shared" si="4"/>
        <v>3.2730009406805038E-3</v>
      </c>
      <c r="K94" s="37">
        <v>3.8150511682033539E-4</v>
      </c>
      <c r="L94" s="39"/>
      <c r="M94" s="40"/>
      <c r="N94" s="40"/>
      <c r="O94" s="41"/>
    </row>
    <row r="95" spans="1:15" s="7" customFormat="1" ht="15">
      <c r="A95" s="30"/>
      <c r="B95" s="51"/>
      <c r="C95" s="31" t="s">
        <v>174</v>
      </c>
      <c r="D95" s="45" t="s">
        <v>323</v>
      </c>
      <c r="E95" s="33"/>
      <c r="F95" s="34">
        <v>16708011.858405001</v>
      </c>
      <c r="G95" s="7" t="s">
        <v>176</v>
      </c>
      <c r="H95" s="47">
        <v>16708011.858405001</v>
      </c>
      <c r="I95" s="35" t="s">
        <v>324</v>
      </c>
      <c r="J95" s="37">
        <f t="shared" si="4"/>
        <v>0</v>
      </c>
      <c r="K95" s="37">
        <v>3.8150511682033539E-4</v>
      </c>
      <c r="L95" s="39"/>
      <c r="M95" s="40"/>
      <c r="N95" s="40"/>
      <c r="O95" s="41"/>
    </row>
    <row r="96" spans="1:15" s="7" customFormat="1" ht="15">
      <c r="A96" s="30"/>
      <c r="B96" s="51"/>
      <c r="C96" s="42" t="s">
        <v>178</v>
      </c>
      <c r="D96" s="45" t="s">
        <v>44</v>
      </c>
      <c r="E96" s="33"/>
      <c r="F96" s="34">
        <v>17357986.649999999</v>
      </c>
      <c r="G96" s="7" t="s">
        <v>179</v>
      </c>
      <c r="H96" s="47">
        <v>17357986.649999999</v>
      </c>
      <c r="I96" s="35" t="s">
        <v>325</v>
      </c>
      <c r="J96" s="37">
        <f t="shared" si="4"/>
        <v>0</v>
      </c>
      <c r="K96" s="37">
        <v>3.8150511682033539E-4</v>
      </c>
      <c r="L96" s="39"/>
      <c r="M96" s="40"/>
      <c r="N96" s="40"/>
      <c r="O96" s="41"/>
    </row>
    <row r="97" spans="1:15" s="7" customFormat="1" ht="15">
      <c r="A97" s="30"/>
      <c r="B97" s="51"/>
      <c r="C97" s="42" t="s">
        <v>181</v>
      </c>
      <c r="D97" s="45" t="s">
        <v>326</v>
      </c>
      <c r="E97" s="33"/>
      <c r="F97" s="34">
        <v>14707160.582394</v>
      </c>
      <c r="G97" s="7" t="s">
        <v>183</v>
      </c>
      <c r="H97" s="47">
        <v>14707160.58</v>
      </c>
      <c r="I97" s="35" t="s">
        <v>327</v>
      </c>
      <c r="J97" s="37">
        <f t="shared" si="4"/>
        <v>2.3940000683069229E-3</v>
      </c>
      <c r="K97" s="37">
        <v>3.8150511682033539E-4</v>
      </c>
      <c r="L97" s="39"/>
      <c r="M97" s="40"/>
      <c r="N97" s="40"/>
      <c r="O97" s="41"/>
    </row>
    <row r="98" spans="1:15" s="7" customFormat="1" ht="15">
      <c r="A98" s="30"/>
      <c r="B98" s="51"/>
      <c r="C98" s="42" t="s">
        <v>185</v>
      </c>
      <c r="D98" s="45" t="s">
        <v>328</v>
      </c>
      <c r="E98" s="33"/>
      <c r="F98" s="34">
        <v>13322205.626845498</v>
      </c>
      <c r="G98" s="7" t="s">
        <v>187</v>
      </c>
      <c r="H98" s="47">
        <v>13322205.626845498</v>
      </c>
      <c r="I98" s="35" t="s">
        <v>329</v>
      </c>
      <c r="J98" s="37">
        <f t="shared" si="4"/>
        <v>0</v>
      </c>
      <c r="K98" s="37">
        <v>3.8150511682033539E-4</v>
      </c>
      <c r="L98" s="39"/>
      <c r="M98" s="40"/>
      <c r="N98" s="40"/>
      <c r="O98" s="41"/>
    </row>
    <row r="99" spans="1:15" s="7" customFormat="1" ht="15">
      <c r="A99" s="30"/>
      <c r="B99" s="51"/>
      <c r="C99" s="42" t="s">
        <v>189</v>
      </c>
      <c r="D99" s="45" t="s">
        <v>330</v>
      </c>
      <c r="E99" s="33"/>
      <c r="F99" s="34">
        <v>13425084.602023501</v>
      </c>
      <c r="G99" s="7" t="s">
        <v>190</v>
      </c>
      <c r="H99" s="47">
        <v>13425084.6</v>
      </c>
      <c r="I99" s="35" t="s">
        <v>331</v>
      </c>
      <c r="J99" s="37">
        <f t="shared" si="4"/>
        <v>2.0235013216733932E-3</v>
      </c>
      <c r="K99" s="37">
        <v>3.8150511682033539E-4</v>
      </c>
      <c r="L99" s="39"/>
      <c r="M99" s="40"/>
      <c r="N99" s="40"/>
      <c r="O99" s="41"/>
    </row>
    <row r="100" spans="1:15" s="7" customFormat="1" ht="18.75">
      <c r="A100" s="30"/>
      <c r="B100" s="51"/>
      <c r="C100" s="42" t="s">
        <v>191</v>
      </c>
      <c r="D100" s="45" t="s">
        <v>332</v>
      </c>
      <c r="E100" s="44">
        <v>43986</v>
      </c>
      <c r="F100" s="34">
        <v>16425197.057387998</v>
      </c>
      <c r="G100" s="7" t="s">
        <v>193</v>
      </c>
      <c r="H100" s="47">
        <f>8000000+8425197.06</f>
        <v>16425197.060000001</v>
      </c>
      <c r="I100" s="44">
        <v>43898</v>
      </c>
      <c r="J100" s="37">
        <f t="shared" si="4"/>
        <v>-2.6120021939277649E-3</v>
      </c>
      <c r="K100" s="37">
        <f t="shared" ref="K100:K113" si="6">J99+K99</f>
        <v>2.4050064384937286E-3</v>
      </c>
      <c r="L100" s="39"/>
      <c r="M100" s="40"/>
      <c r="N100" s="40"/>
      <c r="O100" s="41"/>
    </row>
    <row r="101" spans="1:15" s="7" customFormat="1" ht="16.5" customHeight="1">
      <c r="A101" s="30"/>
      <c r="B101" s="51"/>
      <c r="C101" s="42" t="s">
        <v>195</v>
      </c>
      <c r="D101" s="45" t="s">
        <v>333</v>
      </c>
      <c r="E101" s="44" t="s">
        <v>197</v>
      </c>
      <c r="F101" s="34">
        <v>1409055.1222282501</v>
      </c>
      <c r="G101" s="7" t="s">
        <v>334</v>
      </c>
      <c r="H101" s="47">
        <v>1310748.95</v>
      </c>
      <c r="I101" s="35" t="s">
        <v>285</v>
      </c>
      <c r="J101" s="37">
        <f t="shared" si="4"/>
        <v>98306.172228250187</v>
      </c>
      <c r="K101" s="37">
        <f t="shared" si="6"/>
        <v>-2.0699575543403625E-4</v>
      </c>
      <c r="L101" s="39"/>
      <c r="M101" s="40"/>
      <c r="N101" s="40"/>
      <c r="O101" s="41"/>
    </row>
    <row r="102" spans="1:15" s="7" customFormat="1" ht="18.75">
      <c r="A102" s="30"/>
      <c r="B102" s="51"/>
      <c r="C102" s="42" t="s">
        <v>199</v>
      </c>
      <c r="D102" s="45" t="s">
        <v>335</v>
      </c>
      <c r="E102" s="44">
        <v>44049</v>
      </c>
      <c r="F102" s="34">
        <v>11075839.998510001</v>
      </c>
      <c r="G102" s="44" t="s">
        <v>336</v>
      </c>
      <c r="H102" s="47">
        <v>9929896.0199999996</v>
      </c>
      <c r="I102" s="35" t="s">
        <v>285</v>
      </c>
      <c r="J102" s="37">
        <f t="shared" si="4"/>
        <v>1145943.9785100017</v>
      </c>
      <c r="K102" s="37">
        <f t="shared" si="6"/>
        <v>98306.172021254431</v>
      </c>
      <c r="L102" s="39"/>
      <c r="M102" s="40"/>
      <c r="N102" s="40"/>
      <c r="O102" s="41"/>
    </row>
    <row r="103" spans="1:15" s="7" customFormat="1" ht="18.75">
      <c r="A103" s="30"/>
      <c r="B103" s="51"/>
      <c r="C103" s="42" t="s">
        <v>201</v>
      </c>
      <c r="D103" s="45" t="s">
        <v>337</v>
      </c>
      <c r="E103" s="44">
        <v>44081</v>
      </c>
      <c r="F103" s="34">
        <v>16596296.444070002</v>
      </c>
      <c r="G103" s="44">
        <v>44020</v>
      </c>
      <c r="H103" s="47">
        <v>16596296.439999999</v>
      </c>
      <c r="I103" s="35" t="s">
        <v>285</v>
      </c>
      <c r="J103" s="37">
        <f t="shared" si="4"/>
        <v>4.0700025856494904E-3</v>
      </c>
      <c r="K103" s="37">
        <f t="shared" si="6"/>
        <v>1244250.1505312561</v>
      </c>
      <c r="L103" s="39"/>
      <c r="M103" s="40"/>
      <c r="N103" s="40"/>
      <c r="O103" s="41"/>
    </row>
    <row r="104" spans="1:15" s="7" customFormat="1" ht="18.75">
      <c r="A104" s="30"/>
      <c r="B104" s="51"/>
      <c r="C104" s="42" t="s">
        <v>203</v>
      </c>
      <c r="D104" s="45" t="s">
        <v>338</v>
      </c>
      <c r="E104" s="44">
        <v>43990</v>
      </c>
      <c r="F104" s="34">
        <v>17423450.198319998</v>
      </c>
      <c r="G104" s="44" t="s">
        <v>290</v>
      </c>
      <c r="H104" s="47">
        <v>6207860.6500000004</v>
      </c>
      <c r="I104" s="35" t="s">
        <v>339</v>
      </c>
      <c r="J104" s="37">
        <f t="shared" si="4"/>
        <v>11215589.548319997</v>
      </c>
      <c r="K104" s="37">
        <f t="shared" si="6"/>
        <v>1244250.1546012587</v>
      </c>
      <c r="L104" s="39"/>
      <c r="M104" s="40"/>
      <c r="N104" s="40"/>
      <c r="O104" s="41"/>
    </row>
    <row r="105" spans="1:15" s="7" customFormat="1" ht="18.75">
      <c r="A105" s="30"/>
      <c r="B105" s="51"/>
      <c r="C105" s="42" t="s">
        <v>207</v>
      </c>
      <c r="D105" s="45" t="s">
        <v>340</v>
      </c>
      <c r="E105" s="44" t="s">
        <v>292</v>
      </c>
      <c r="F105" s="34">
        <v>16464152.47194</v>
      </c>
      <c r="G105" s="44" t="s">
        <v>293</v>
      </c>
      <c r="H105" s="47"/>
      <c r="I105" s="35"/>
      <c r="J105" s="37">
        <f t="shared" si="4"/>
        <v>16464152.47194</v>
      </c>
      <c r="K105" s="37">
        <f t="shared" si="6"/>
        <v>12459839.702921256</v>
      </c>
      <c r="L105" s="39"/>
      <c r="M105" s="40"/>
      <c r="N105" s="40"/>
      <c r="O105" s="41"/>
    </row>
    <row r="106" spans="1:15" s="7" customFormat="1" ht="18.75">
      <c r="A106" s="30"/>
      <c r="B106" s="51"/>
      <c r="C106" s="42" t="s">
        <v>212</v>
      </c>
      <c r="D106" s="45" t="s">
        <v>341</v>
      </c>
      <c r="E106" s="44">
        <v>44084</v>
      </c>
      <c r="F106" s="34">
        <v>21597012.181749996</v>
      </c>
      <c r="G106" s="44" t="s">
        <v>213</v>
      </c>
      <c r="H106" s="47">
        <v>21597012.18</v>
      </c>
      <c r="I106" s="35" t="s">
        <v>342</v>
      </c>
      <c r="J106" s="37">
        <f t="shared" si="4"/>
        <v>1.7499960958957672E-3</v>
      </c>
      <c r="K106" s="37">
        <f>J105+K105</f>
        <v>28923992.174861256</v>
      </c>
      <c r="L106" s="39"/>
      <c r="M106" s="40"/>
      <c r="N106" s="40"/>
      <c r="O106" s="41"/>
    </row>
    <row r="107" spans="1:15" s="7" customFormat="1" ht="18.75">
      <c r="A107" s="30"/>
      <c r="B107" s="51"/>
      <c r="C107" s="42" t="s">
        <v>214</v>
      </c>
      <c r="D107" s="45" t="s">
        <v>343</v>
      </c>
      <c r="E107" s="44">
        <v>43962</v>
      </c>
      <c r="F107" s="34">
        <v>20293978.604593497</v>
      </c>
      <c r="G107" s="44" t="s">
        <v>216</v>
      </c>
      <c r="H107" s="47">
        <v>20293978.600000001</v>
      </c>
      <c r="I107" s="35" t="s">
        <v>291</v>
      </c>
      <c r="J107" s="37">
        <f t="shared" si="4"/>
        <v>4.5934952795505524E-3</v>
      </c>
      <c r="K107" s="37">
        <f t="shared" si="6"/>
        <v>28923992.176611252</v>
      </c>
      <c r="L107" s="39"/>
      <c r="M107" s="40"/>
      <c r="N107" s="40"/>
      <c r="O107" s="41"/>
    </row>
    <row r="108" spans="1:15" s="7" customFormat="1" ht="18.75">
      <c r="A108" s="30"/>
      <c r="B108" s="51"/>
      <c r="C108" s="42" t="s">
        <v>218</v>
      </c>
      <c r="D108" s="45" t="s">
        <v>344</v>
      </c>
      <c r="E108" s="44">
        <v>44024</v>
      </c>
      <c r="F108" s="34">
        <v>21535575.214542251</v>
      </c>
      <c r="G108" s="44">
        <v>44531</v>
      </c>
      <c r="H108" s="47">
        <v>21535575.210000001</v>
      </c>
      <c r="I108" s="35" t="s">
        <v>294</v>
      </c>
      <c r="J108" s="37">
        <f t="shared" si="4"/>
        <v>4.5422501862049103E-3</v>
      </c>
      <c r="K108" s="37">
        <f t="shared" si="6"/>
        <v>28923992.181204747</v>
      </c>
      <c r="L108" s="39"/>
      <c r="M108" s="40"/>
      <c r="N108" s="40"/>
      <c r="O108" s="41"/>
    </row>
    <row r="109" spans="1:15" s="7" customFormat="1" ht="18.75">
      <c r="A109" s="30"/>
      <c r="B109" s="51"/>
      <c r="C109" s="42" t="s">
        <v>219</v>
      </c>
      <c r="D109" s="45" t="s">
        <v>345</v>
      </c>
      <c r="E109" s="44">
        <v>44409</v>
      </c>
      <c r="F109" s="34">
        <v>22634681.375978746</v>
      </c>
      <c r="G109" s="44" t="s">
        <v>220</v>
      </c>
      <c r="H109" s="47">
        <v>22634681.379999999</v>
      </c>
      <c r="I109" s="35" t="s">
        <v>295</v>
      </c>
      <c r="J109" s="37">
        <f t="shared" si="4"/>
        <v>-4.0212534368038177E-3</v>
      </c>
      <c r="K109" s="37">
        <f t="shared" si="6"/>
        <v>28923992.185746998</v>
      </c>
      <c r="L109" s="39"/>
      <c r="M109" s="40"/>
      <c r="N109" s="40"/>
      <c r="O109" s="41"/>
    </row>
    <row r="110" spans="1:15" s="7" customFormat="1" ht="18.75">
      <c r="A110" s="30"/>
      <c r="B110" s="51"/>
      <c r="C110" s="42" t="s">
        <v>221</v>
      </c>
      <c r="D110" s="45" t="s">
        <v>346</v>
      </c>
      <c r="E110" s="44">
        <v>44441</v>
      </c>
      <c r="F110" s="34">
        <v>20746825.447540499</v>
      </c>
      <c r="G110" s="44">
        <v>44289</v>
      </c>
      <c r="H110" s="47">
        <v>20746825.449999999</v>
      </c>
      <c r="I110" s="35" t="s">
        <v>297</v>
      </c>
      <c r="J110" s="37">
        <f t="shared" si="4"/>
        <v>-2.4594999849796295E-3</v>
      </c>
      <c r="K110" s="37">
        <f t="shared" si="6"/>
        <v>28923992.181725744</v>
      </c>
      <c r="L110" s="39"/>
      <c r="M110" s="40"/>
      <c r="N110" s="40"/>
      <c r="O110" s="41"/>
    </row>
    <row r="111" spans="1:15" s="7" customFormat="1" ht="18.75">
      <c r="A111" s="30"/>
      <c r="B111" s="51"/>
      <c r="C111" s="42" t="s">
        <v>222</v>
      </c>
      <c r="D111" s="45" t="s">
        <v>347</v>
      </c>
      <c r="E111" s="44">
        <v>44319</v>
      </c>
      <c r="F111" s="34">
        <v>19163213.227273498</v>
      </c>
      <c r="G111" s="44" t="s">
        <v>224</v>
      </c>
      <c r="H111" s="47">
        <v>19163213.23</v>
      </c>
      <c r="I111" s="35" t="s">
        <v>348</v>
      </c>
      <c r="J111" s="37">
        <f t="shared" si="4"/>
        <v>-2.7265027165412903E-3</v>
      </c>
      <c r="K111" s="37">
        <f t="shared" si="6"/>
        <v>28923992.179266244</v>
      </c>
      <c r="L111" s="39"/>
      <c r="M111" s="40"/>
      <c r="N111" s="40"/>
      <c r="O111" s="41"/>
    </row>
    <row r="112" spans="1:15" s="7" customFormat="1" ht="18.75">
      <c r="A112" s="30"/>
      <c r="B112" s="51"/>
      <c r="C112" s="42" t="s">
        <v>349</v>
      </c>
      <c r="D112" s="45" t="s">
        <v>350</v>
      </c>
      <c r="E112" s="44">
        <v>44381</v>
      </c>
      <c r="F112" s="34">
        <v>25667252.992631249</v>
      </c>
      <c r="G112" s="44" t="s">
        <v>351</v>
      </c>
      <c r="H112" s="47">
        <v>25667252.989999998</v>
      </c>
      <c r="I112" s="35" t="s">
        <v>352</v>
      </c>
      <c r="J112" s="37">
        <f t="shared" si="4"/>
        <v>2.6312507688999176E-3</v>
      </c>
      <c r="K112" s="37">
        <f t="shared" si="6"/>
        <v>28923992.176539741</v>
      </c>
      <c r="L112" s="39"/>
      <c r="M112" s="40"/>
      <c r="N112" s="40"/>
      <c r="O112" s="41"/>
    </row>
    <row r="113" spans="1:15" s="7" customFormat="1" ht="15">
      <c r="A113" s="30"/>
      <c r="B113" s="46" t="s">
        <v>353</v>
      </c>
      <c r="C113" s="31"/>
      <c r="D113" s="45"/>
      <c r="E113" s="33"/>
      <c r="F113" s="34"/>
      <c r="G113" s="35"/>
      <c r="H113" s="36"/>
      <c r="I113" s="35"/>
      <c r="J113" s="37"/>
      <c r="K113" s="38">
        <f t="shared" si="6"/>
        <v>28923992.179170992</v>
      </c>
      <c r="L113" s="39"/>
      <c r="M113" s="40"/>
      <c r="N113" s="40"/>
      <c r="O113" s="41"/>
    </row>
    <row r="114" spans="1:15" s="7" customFormat="1" ht="15">
      <c r="A114" s="30"/>
      <c r="B114" s="46"/>
      <c r="C114" s="31"/>
      <c r="D114" s="45"/>
      <c r="E114" s="33"/>
      <c r="F114" s="34"/>
      <c r="G114" s="35"/>
      <c r="H114" s="36"/>
      <c r="I114" s="35"/>
      <c r="J114" s="37"/>
      <c r="K114" s="38"/>
      <c r="L114" s="39"/>
      <c r="M114" s="40"/>
      <c r="N114" s="40"/>
      <c r="O114" s="41"/>
    </row>
    <row r="115" spans="1:15" s="7" customFormat="1" ht="15">
      <c r="A115" s="56">
        <v>4</v>
      </c>
      <c r="B115" s="57" t="s">
        <v>354</v>
      </c>
      <c r="C115" s="29" t="s">
        <v>355</v>
      </c>
      <c r="D115" s="32" t="s">
        <v>196</v>
      </c>
      <c r="E115" s="33"/>
      <c r="F115" s="34">
        <v>1143678.7254270001</v>
      </c>
      <c r="G115" s="58"/>
      <c r="H115" s="47">
        <v>5028285.5999999996</v>
      </c>
      <c r="I115" s="35" t="s">
        <v>356</v>
      </c>
      <c r="J115" s="37">
        <f>F115-H115</f>
        <v>-3884606.8745729998</v>
      </c>
      <c r="K115" s="59">
        <v>0</v>
      </c>
      <c r="L115" s="60"/>
      <c r="M115" s="41"/>
      <c r="N115" s="41"/>
      <c r="O115" s="41"/>
    </row>
    <row r="116" spans="1:15" s="7" customFormat="1" ht="15">
      <c r="A116" s="56"/>
      <c r="B116" s="57"/>
      <c r="C116" s="29" t="s">
        <v>357</v>
      </c>
      <c r="D116" s="32" t="s">
        <v>41</v>
      </c>
      <c r="E116" s="33"/>
      <c r="F116" s="34">
        <v>2870935.9927500002</v>
      </c>
      <c r="G116" s="58"/>
      <c r="H116" s="47">
        <v>5028285.5999999996</v>
      </c>
      <c r="I116" s="61" t="s">
        <v>358</v>
      </c>
      <c r="J116" s="37">
        <f>F116-H116</f>
        <v>-2157349.6072499994</v>
      </c>
      <c r="K116" s="59">
        <f t="shared" ref="K116:K146" si="7">J115+K115</f>
        <v>-3884606.8745729998</v>
      </c>
      <c r="L116" s="60"/>
      <c r="M116" s="41"/>
      <c r="N116" s="41"/>
      <c r="O116" s="41"/>
    </row>
    <row r="117" spans="1:15" s="7" customFormat="1" ht="15">
      <c r="A117" s="56"/>
      <c r="B117" s="57"/>
      <c r="C117" s="29" t="s">
        <v>236</v>
      </c>
      <c r="D117" s="32" t="s">
        <v>359</v>
      </c>
      <c r="E117" s="33"/>
      <c r="F117" s="34">
        <v>2946444.8746949998</v>
      </c>
      <c r="G117" s="58"/>
      <c r="H117" s="47">
        <v>5028285.5999999996</v>
      </c>
      <c r="I117" s="61" t="s">
        <v>360</v>
      </c>
      <c r="J117" s="37">
        <f>F117-H117</f>
        <v>-2081840.7253049999</v>
      </c>
      <c r="K117" s="59">
        <f t="shared" si="7"/>
        <v>-6041956.4818229992</v>
      </c>
      <c r="L117" s="60"/>
      <c r="M117" s="41"/>
      <c r="N117" s="41"/>
      <c r="O117" s="41"/>
    </row>
    <row r="118" spans="1:15" s="7" customFormat="1" ht="15">
      <c r="A118" s="56"/>
      <c r="B118" s="57"/>
      <c r="C118" s="29" t="s">
        <v>361</v>
      </c>
      <c r="D118" s="32" t="s">
        <v>202</v>
      </c>
      <c r="E118" s="33"/>
      <c r="F118" s="34">
        <v>591643.309488</v>
      </c>
      <c r="G118" s="58"/>
      <c r="H118" s="47"/>
      <c r="I118" s="35"/>
      <c r="J118" s="37">
        <f>F118-H118</f>
        <v>591643.309488</v>
      </c>
      <c r="K118" s="59">
        <f t="shared" si="7"/>
        <v>-8123797.2071279995</v>
      </c>
      <c r="L118" s="60"/>
      <c r="M118" s="41"/>
      <c r="N118" s="41"/>
      <c r="O118" s="41"/>
    </row>
    <row r="119" spans="1:15" s="7" customFormat="1" ht="15">
      <c r="A119" s="56"/>
      <c r="B119" s="57"/>
      <c r="C119" s="29" t="s">
        <v>250</v>
      </c>
      <c r="D119" s="32" t="s">
        <v>215</v>
      </c>
      <c r="E119" s="33"/>
      <c r="F119" s="34">
        <v>482373.45</v>
      </c>
      <c r="G119" s="58" t="s">
        <v>362</v>
      </c>
      <c r="H119" s="47"/>
      <c r="I119" s="35"/>
      <c r="J119" s="37">
        <f>F119-H119</f>
        <v>482373.45</v>
      </c>
      <c r="K119" s="59">
        <f t="shared" si="7"/>
        <v>-7532153.8976399992</v>
      </c>
      <c r="L119" s="60"/>
      <c r="M119" s="41"/>
      <c r="N119" s="41"/>
      <c r="O119" s="41"/>
    </row>
    <row r="120" spans="1:15" s="7" customFormat="1" ht="15">
      <c r="A120" s="56"/>
      <c r="B120" s="57"/>
      <c r="C120" s="29" t="s">
        <v>139</v>
      </c>
      <c r="D120" s="32" t="s">
        <v>65</v>
      </c>
      <c r="E120" s="33"/>
      <c r="F120" s="34">
        <v>5606957.8600000003</v>
      </c>
      <c r="G120" s="58" t="s">
        <v>363</v>
      </c>
      <c r="H120" s="47"/>
      <c r="I120" s="35"/>
      <c r="J120" s="37">
        <f t="shared" ref="J120:J140" si="8">F120-H120</f>
        <v>5606957.8600000003</v>
      </c>
      <c r="K120" s="59">
        <f t="shared" si="7"/>
        <v>-7049780.447639999</v>
      </c>
      <c r="L120" s="60"/>
      <c r="M120" s="41"/>
      <c r="N120" s="41"/>
      <c r="O120" s="41"/>
    </row>
    <row r="121" spans="1:15" s="7" customFormat="1" ht="15">
      <c r="A121" s="56"/>
      <c r="B121" s="57"/>
      <c r="C121" s="62" t="s">
        <v>142</v>
      </c>
      <c r="D121" s="32" t="s">
        <v>71</v>
      </c>
      <c r="E121" s="33"/>
      <c r="F121" s="34">
        <v>2544149.8098450005</v>
      </c>
      <c r="G121" s="58" t="s">
        <v>364</v>
      </c>
      <c r="H121" s="47"/>
      <c r="I121" s="35"/>
      <c r="J121" s="37">
        <f t="shared" si="8"/>
        <v>2544149.8098450005</v>
      </c>
      <c r="K121" s="59">
        <f t="shared" si="7"/>
        <v>-1442822.5876399986</v>
      </c>
      <c r="L121" s="60"/>
      <c r="M121" s="41"/>
      <c r="N121" s="41"/>
      <c r="O121" s="41"/>
    </row>
    <row r="122" spans="1:15" s="7" customFormat="1" ht="15">
      <c r="A122" s="56"/>
      <c r="B122" s="57"/>
      <c r="C122" s="62" t="s">
        <v>145</v>
      </c>
      <c r="D122" s="32" t="s">
        <v>26</v>
      </c>
      <c r="E122" s="33"/>
      <c r="F122" s="34">
        <v>1190773.1367629999</v>
      </c>
      <c r="G122" s="58" t="s">
        <v>364</v>
      </c>
      <c r="H122" s="47">
        <v>1190773.1367629999</v>
      </c>
      <c r="I122" s="35" t="s">
        <v>365</v>
      </c>
      <c r="J122" s="37">
        <f t="shared" si="8"/>
        <v>0</v>
      </c>
      <c r="K122" s="59">
        <f t="shared" si="7"/>
        <v>1101327.2222050019</v>
      </c>
      <c r="L122" s="60"/>
      <c r="M122" s="41"/>
      <c r="N122" s="41"/>
      <c r="O122" s="41"/>
    </row>
    <row r="123" spans="1:15" s="7" customFormat="1" ht="15">
      <c r="A123" s="56"/>
      <c r="B123" s="57"/>
      <c r="C123" s="62" t="s">
        <v>148</v>
      </c>
      <c r="D123" s="32" t="s">
        <v>223</v>
      </c>
      <c r="E123" s="33"/>
      <c r="F123" s="34">
        <v>2405766.8571089995</v>
      </c>
      <c r="G123" s="58" t="s">
        <v>366</v>
      </c>
      <c r="H123" s="47">
        <v>2405766.86</v>
      </c>
      <c r="I123" s="35">
        <v>43595</v>
      </c>
      <c r="J123" s="37">
        <f t="shared" si="8"/>
        <v>-2.891000360250473E-3</v>
      </c>
      <c r="K123" s="59">
        <f t="shared" si="7"/>
        <v>1101327.2222050019</v>
      </c>
      <c r="L123" s="60"/>
      <c r="M123" s="41"/>
      <c r="N123" s="41"/>
      <c r="O123" s="41"/>
    </row>
    <row r="124" spans="1:15" s="7" customFormat="1" ht="15">
      <c r="A124" s="56"/>
      <c r="B124" s="57"/>
      <c r="C124" s="62" t="s">
        <v>151</v>
      </c>
      <c r="D124" s="32" t="s">
        <v>367</v>
      </c>
      <c r="E124" s="33"/>
      <c r="F124" s="34">
        <v>3237861.6293624998</v>
      </c>
      <c r="G124" s="58" t="s">
        <v>152</v>
      </c>
      <c r="H124" s="47">
        <v>3237861.63</v>
      </c>
      <c r="I124" s="35" t="s">
        <v>261</v>
      </c>
      <c r="J124" s="37">
        <f t="shared" si="8"/>
        <v>-6.3750008121132851E-4</v>
      </c>
      <c r="K124" s="59">
        <f t="shared" si="7"/>
        <v>1101327.2193140015</v>
      </c>
      <c r="L124" s="60"/>
      <c r="M124" s="41"/>
      <c r="N124" s="41"/>
      <c r="O124" s="41"/>
    </row>
    <row r="125" spans="1:15" s="7" customFormat="1" ht="15">
      <c r="A125" s="56"/>
      <c r="B125" s="57"/>
      <c r="C125" s="62" t="s">
        <v>154</v>
      </c>
      <c r="D125" s="32" t="s">
        <v>368</v>
      </c>
      <c r="E125" s="33"/>
      <c r="F125" s="34">
        <v>73599.358549500001</v>
      </c>
      <c r="G125" s="58" t="s">
        <v>156</v>
      </c>
      <c r="H125" s="47">
        <v>4285157.96</v>
      </c>
      <c r="I125" s="35" t="s">
        <v>369</v>
      </c>
      <c r="J125" s="37">
        <f t="shared" si="8"/>
        <v>-4211558.6014505001</v>
      </c>
      <c r="K125" s="59">
        <f t="shared" si="7"/>
        <v>1101327.2186765014</v>
      </c>
      <c r="L125" s="60"/>
      <c r="M125" s="41"/>
      <c r="N125" s="41"/>
      <c r="O125" s="41"/>
    </row>
    <row r="126" spans="1:15" s="7" customFormat="1" ht="15">
      <c r="A126" s="56"/>
      <c r="B126" s="57"/>
      <c r="C126" s="62" t="s">
        <v>158</v>
      </c>
      <c r="D126" s="32" t="s">
        <v>370</v>
      </c>
      <c r="E126" s="33"/>
      <c r="F126" s="34">
        <v>4211558.6029754998</v>
      </c>
      <c r="G126" s="58" t="s">
        <v>160</v>
      </c>
      <c r="H126" s="47">
        <v>4768832</v>
      </c>
      <c r="I126" s="35" t="s">
        <v>161</v>
      </c>
      <c r="J126" s="37">
        <f t="shared" si="8"/>
        <v>-557273.39702450018</v>
      </c>
      <c r="K126" s="59">
        <f t="shared" si="7"/>
        <v>-3110231.3827739987</v>
      </c>
      <c r="L126" s="60"/>
      <c r="M126" s="41"/>
      <c r="N126" s="41"/>
      <c r="O126" s="41"/>
    </row>
    <row r="127" spans="1:15" s="7" customFormat="1" ht="15">
      <c r="A127" s="56"/>
      <c r="B127" s="57"/>
      <c r="C127" s="62" t="s">
        <v>162</v>
      </c>
      <c r="D127" s="32" t="s">
        <v>371</v>
      </c>
      <c r="E127" s="33"/>
      <c r="F127" s="34">
        <v>15706.443879</v>
      </c>
      <c r="G127" s="58" t="s">
        <v>164</v>
      </c>
      <c r="H127" s="47"/>
      <c r="I127" s="35"/>
      <c r="J127" s="37">
        <f t="shared" si="8"/>
        <v>15706.443879</v>
      </c>
      <c r="K127" s="59">
        <f t="shared" si="7"/>
        <v>-3667504.7797984988</v>
      </c>
      <c r="L127" s="60"/>
      <c r="M127" s="41"/>
      <c r="N127" s="41"/>
      <c r="O127" s="41"/>
    </row>
    <row r="128" spans="1:15" s="7" customFormat="1" ht="15">
      <c r="A128" s="56"/>
      <c r="B128" s="57"/>
      <c r="C128" s="62" t="s">
        <v>166</v>
      </c>
      <c r="D128" s="32" t="s">
        <v>372</v>
      </c>
      <c r="E128" s="33"/>
      <c r="F128" s="34">
        <v>3493123.1404335001</v>
      </c>
      <c r="G128" s="58" t="s">
        <v>168</v>
      </c>
      <c r="H128" s="47">
        <v>3493123.1404335001</v>
      </c>
      <c r="I128" s="35" t="s">
        <v>172</v>
      </c>
      <c r="J128" s="37">
        <f t="shared" si="8"/>
        <v>0</v>
      </c>
      <c r="K128" s="59">
        <f t="shared" si="7"/>
        <v>-3651798.3359194989</v>
      </c>
      <c r="L128" s="60"/>
      <c r="M128" s="41"/>
      <c r="N128" s="41"/>
      <c r="O128" s="41"/>
    </row>
    <row r="129" spans="1:15" s="7" customFormat="1" ht="15">
      <c r="A129" s="56"/>
      <c r="B129" s="57"/>
      <c r="C129" s="62" t="s">
        <v>170</v>
      </c>
      <c r="D129" s="32" t="s">
        <v>373</v>
      </c>
      <c r="E129" s="33"/>
      <c r="F129" s="34">
        <v>1430725.9281209998</v>
      </c>
      <c r="G129" s="58" t="s">
        <v>172</v>
      </c>
      <c r="H129" s="47">
        <v>1430725.9281209998</v>
      </c>
      <c r="I129" s="35" t="s">
        <v>172</v>
      </c>
      <c r="J129" s="37">
        <f t="shared" si="8"/>
        <v>0</v>
      </c>
      <c r="K129" s="59">
        <f t="shared" si="7"/>
        <v>-3651798.3359194989</v>
      </c>
      <c r="L129" s="60"/>
      <c r="M129" s="41"/>
      <c r="N129" s="41"/>
      <c r="O129" s="41"/>
    </row>
    <row r="130" spans="1:15" s="7" customFormat="1" ht="15">
      <c r="A130" s="56"/>
      <c r="B130" s="57"/>
      <c r="C130" s="62" t="s">
        <v>174</v>
      </c>
      <c r="D130" s="32" t="s">
        <v>92</v>
      </c>
      <c r="E130" s="33"/>
      <c r="F130" s="34">
        <v>4122931.1717160004</v>
      </c>
      <c r="G130" s="58" t="s">
        <v>176</v>
      </c>
      <c r="H130" s="54"/>
      <c r="J130" s="37">
        <f t="shared" si="8"/>
        <v>4122931.1717160004</v>
      </c>
      <c r="K130" s="59">
        <f t="shared" si="7"/>
        <v>-3651798.3359194989</v>
      </c>
      <c r="L130" s="60"/>
      <c r="M130" s="41"/>
      <c r="N130" s="41"/>
      <c r="O130" s="41"/>
    </row>
    <row r="131" spans="1:15" s="7" customFormat="1" ht="15">
      <c r="A131" s="56"/>
      <c r="B131" s="57"/>
      <c r="C131" s="62" t="s">
        <v>178</v>
      </c>
      <c r="D131" s="32" t="s">
        <v>63</v>
      </c>
      <c r="E131" s="33"/>
      <c r="F131" s="34">
        <v>4653378.3122189995</v>
      </c>
      <c r="G131" s="58" t="s">
        <v>179</v>
      </c>
      <c r="H131" s="47"/>
      <c r="I131" s="35"/>
      <c r="J131" s="37">
        <f t="shared" si="8"/>
        <v>4653378.3122189995</v>
      </c>
      <c r="K131" s="59">
        <f t="shared" si="7"/>
        <v>471132.83579650149</v>
      </c>
      <c r="L131" s="60"/>
      <c r="M131" s="41"/>
      <c r="N131" s="41"/>
      <c r="O131" s="41"/>
    </row>
    <row r="132" spans="1:15" s="7" customFormat="1" ht="15">
      <c r="A132" s="56"/>
      <c r="B132" s="57"/>
      <c r="C132" s="62" t="s">
        <v>181</v>
      </c>
      <c r="D132" s="32" t="s">
        <v>374</v>
      </c>
      <c r="E132" s="33"/>
      <c r="F132" s="34">
        <v>7365702.7015425004</v>
      </c>
      <c r="G132" s="58" t="s">
        <v>183</v>
      </c>
      <c r="H132" s="47">
        <v>7365702.7000000002</v>
      </c>
      <c r="I132" s="35" t="s">
        <v>375</v>
      </c>
      <c r="J132" s="37">
        <f t="shared" si="8"/>
        <v>1.5425002202391624E-3</v>
      </c>
      <c r="K132" s="59">
        <f t="shared" si="7"/>
        <v>5124511.148015501</v>
      </c>
      <c r="L132" s="60"/>
      <c r="M132" s="41"/>
      <c r="N132" s="41"/>
      <c r="O132" s="41"/>
    </row>
    <row r="133" spans="1:15" s="7" customFormat="1" ht="15">
      <c r="A133" s="56"/>
      <c r="B133" s="57"/>
      <c r="C133" s="62" t="s">
        <v>185</v>
      </c>
      <c r="D133" s="32" t="s">
        <v>376</v>
      </c>
      <c r="E133" s="33"/>
      <c r="F133" s="34">
        <v>8309264.1853829995</v>
      </c>
      <c r="G133" s="58" t="s">
        <v>187</v>
      </c>
      <c r="H133" s="54"/>
      <c r="J133" s="37">
        <f t="shared" si="8"/>
        <v>8309264.1853829995</v>
      </c>
      <c r="K133" s="59">
        <f t="shared" si="7"/>
        <v>5124511.1495580012</v>
      </c>
      <c r="L133" s="60"/>
      <c r="M133" s="41"/>
      <c r="N133" s="41"/>
      <c r="O133" s="41"/>
    </row>
    <row r="134" spans="1:15" s="7" customFormat="1" ht="15">
      <c r="A134" s="56"/>
      <c r="B134" s="57"/>
      <c r="C134" s="62" t="s">
        <v>189</v>
      </c>
      <c r="D134" s="32" t="s">
        <v>54</v>
      </c>
      <c r="E134" s="33"/>
      <c r="F134" s="34">
        <v>11689256.043937501</v>
      </c>
      <c r="G134" s="58" t="s">
        <v>377</v>
      </c>
      <c r="H134" s="47">
        <v>11689256.043937501</v>
      </c>
      <c r="I134" s="35" t="s">
        <v>378</v>
      </c>
      <c r="J134" s="37">
        <f t="shared" si="8"/>
        <v>0</v>
      </c>
      <c r="K134" s="59">
        <f t="shared" si="7"/>
        <v>13433775.334941</v>
      </c>
      <c r="L134" s="60"/>
      <c r="M134" s="41"/>
      <c r="N134" s="41"/>
      <c r="O134" s="41"/>
    </row>
    <row r="135" spans="1:15" s="7" customFormat="1" ht="18.75">
      <c r="A135" s="56"/>
      <c r="B135" s="57"/>
      <c r="C135" s="62" t="s">
        <v>191</v>
      </c>
      <c r="D135" s="32" t="s">
        <v>379</v>
      </c>
      <c r="E135" s="44">
        <v>43986</v>
      </c>
      <c r="F135" s="34">
        <v>14488404.590745751</v>
      </c>
      <c r="G135" s="58" t="s">
        <v>193</v>
      </c>
      <c r="H135" s="47">
        <v>14488404.59</v>
      </c>
      <c r="I135" s="35" t="s">
        <v>380</v>
      </c>
      <c r="J135" s="37">
        <f t="shared" si="8"/>
        <v>7.4575096368789673E-4</v>
      </c>
      <c r="K135" s="59">
        <f t="shared" si="7"/>
        <v>13433775.334941</v>
      </c>
      <c r="L135" s="60"/>
      <c r="M135" s="41"/>
      <c r="N135" s="41"/>
      <c r="O135" s="41"/>
    </row>
    <row r="136" spans="1:15" s="7" customFormat="1" ht="18.75">
      <c r="A136" s="56"/>
      <c r="B136" s="57"/>
      <c r="C136" s="62" t="s">
        <v>199</v>
      </c>
      <c r="D136" s="32" t="s">
        <v>381</v>
      </c>
      <c r="E136" s="44">
        <v>44049</v>
      </c>
      <c r="F136" s="34">
        <v>7737000.1262399992</v>
      </c>
      <c r="G136" s="44">
        <v>43897</v>
      </c>
      <c r="H136" s="47">
        <v>7737000.1299999999</v>
      </c>
      <c r="I136" s="35" t="s">
        <v>382</v>
      </c>
      <c r="J136" s="37">
        <f t="shared" si="8"/>
        <v>-3.7600006908178329E-3</v>
      </c>
      <c r="K136" s="59">
        <f t="shared" si="7"/>
        <v>13433775.335686751</v>
      </c>
      <c r="L136" s="60"/>
      <c r="M136" s="41"/>
      <c r="N136" s="41"/>
      <c r="O136" s="41"/>
    </row>
    <row r="137" spans="1:15" s="7" customFormat="1" ht="18.75">
      <c r="A137" s="56"/>
      <c r="B137" s="57"/>
      <c r="C137" s="62" t="s">
        <v>201</v>
      </c>
      <c r="D137" s="32" t="s">
        <v>383</v>
      </c>
      <c r="E137" s="44">
        <v>44081</v>
      </c>
      <c r="F137" s="34">
        <v>12636964.61349</v>
      </c>
      <c r="G137" s="44">
        <v>44020</v>
      </c>
      <c r="H137" s="47">
        <v>12636964.609999999</v>
      </c>
      <c r="I137" s="35" t="s">
        <v>382</v>
      </c>
      <c r="J137" s="37">
        <f t="shared" si="8"/>
        <v>3.4900009632110596E-3</v>
      </c>
      <c r="K137" s="59">
        <f t="shared" si="7"/>
        <v>13433775.33192675</v>
      </c>
      <c r="L137" s="60"/>
      <c r="M137" s="41"/>
      <c r="N137" s="41"/>
      <c r="O137" s="41"/>
    </row>
    <row r="138" spans="1:15" s="7" customFormat="1" ht="18.75">
      <c r="A138" s="56"/>
      <c r="B138" s="57"/>
      <c r="C138" s="62" t="s">
        <v>203</v>
      </c>
      <c r="D138" s="32" t="s">
        <v>384</v>
      </c>
      <c r="E138" s="44">
        <v>43990</v>
      </c>
      <c r="F138" s="34">
        <v>12875734.674128002</v>
      </c>
      <c r="G138" s="44" t="s">
        <v>290</v>
      </c>
      <c r="H138" s="47"/>
      <c r="I138" s="35"/>
      <c r="J138" s="37">
        <f t="shared" si="8"/>
        <v>12875734.674128002</v>
      </c>
      <c r="K138" s="59">
        <f t="shared" si="7"/>
        <v>13433775.335416751</v>
      </c>
      <c r="L138" s="60"/>
      <c r="M138" s="41"/>
      <c r="N138" s="41"/>
      <c r="O138" s="41"/>
    </row>
    <row r="139" spans="1:15" s="7" customFormat="1" ht="18.75">
      <c r="A139" s="56"/>
      <c r="B139" s="57"/>
      <c r="C139" s="62" t="s">
        <v>207</v>
      </c>
      <c r="D139" s="32" t="s">
        <v>385</v>
      </c>
      <c r="E139" s="44" t="s">
        <v>292</v>
      </c>
      <c r="F139" s="34">
        <v>19627291.690980002</v>
      </c>
      <c r="G139" s="44" t="s">
        <v>293</v>
      </c>
      <c r="H139" s="47"/>
      <c r="I139" s="35"/>
      <c r="J139" s="37">
        <f t="shared" si="8"/>
        <v>19627291.690980002</v>
      </c>
      <c r="K139" s="59">
        <f t="shared" si="7"/>
        <v>26309510.009544753</v>
      </c>
      <c r="L139" s="60"/>
      <c r="M139" s="41"/>
      <c r="N139" s="41"/>
      <c r="O139" s="41"/>
    </row>
    <row r="140" spans="1:15" s="7" customFormat="1" ht="18.75">
      <c r="A140" s="56"/>
      <c r="B140" s="57"/>
      <c r="C140" s="62" t="s">
        <v>212</v>
      </c>
      <c r="D140" s="32" t="s">
        <v>386</v>
      </c>
      <c r="E140" s="44">
        <v>44084</v>
      </c>
      <c r="F140" s="34">
        <v>23664591.489806753</v>
      </c>
      <c r="G140" s="44" t="s">
        <v>213</v>
      </c>
      <c r="H140" s="47">
        <v>57639664.729999997</v>
      </c>
      <c r="I140" s="35" t="s">
        <v>387</v>
      </c>
      <c r="J140" s="37">
        <f t="shared" si="8"/>
        <v>-33975073.240193248</v>
      </c>
      <c r="K140" s="59">
        <f t="shared" si="7"/>
        <v>45936801.700524755</v>
      </c>
      <c r="L140" s="60"/>
      <c r="M140" s="41"/>
      <c r="N140" s="41"/>
      <c r="O140" s="41"/>
    </row>
    <row r="141" spans="1:15" s="7" customFormat="1" ht="18.75">
      <c r="A141" s="56"/>
      <c r="B141" s="57"/>
      <c r="C141" s="62" t="s">
        <v>214</v>
      </c>
      <c r="D141" s="32" t="s">
        <v>388</v>
      </c>
      <c r="E141" s="44">
        <v>43962</v>
      </c>
      <c r="F141" s="34">
        <v>24808405.798336249</v>
      </c>
      <c r="G141" s="44" t="s">
        <v>216</v>
      </c>
      <c r="H141" s="47">
        <v>24808405.800000001</v>
      </c>
      <c r="I141" s="35" t="s">
        <v>389</v>
      </c>
      <c r="J141" s="37">
        <f>F141-H141</f>
        <v>-1.6637519001960754E-3</v>
      </c>
      <c r="K141" s="59">
        <f t="shared" si="7"/>
        <v>11961728.460331507</v>
      </c>
      <c r="L141" s="60"/>
      <c r="M141" s="41"/>
      <c r="N141" s="41"/>
      <c r="O141" s="41"/>
    </row>
    <row r="142" spans="1:15" s="7" customFormat="1" ht="18.75">
      <c r="A142" s="56"/>
      <c r="B142" s="57"/>
      <c r="C142" s="62" t="s">
        <v>218</v>
      </c>
      <c r="D142" s="32" t="s">
        <v>39</v>
      </c>
      <c r="E142" s="44">
        <v>44024</v>
      </c>
      <c r="F142" s="34">
        <v>13659639.038073748</v>
      </c>
      <c r="G142" s="44">
        <v>44531</v>
      </c>
      <c r="H142" s="47"/>
      <c r="I142" s="35"/>
      <c r="J142" s="37">
        <f>F142-H142</f>
        <v>13659639.038073748</v>
      </c>
      <c r="K142" s="59">
        <f t="shared" si="7"/>
        <v>11961728.458667755</v>
      </c>
      <c r="L142" s="60"/>
      <c r="M142" s="41"/>
      <c r="N142" s="41"/>
      <c r="O142" s="41"/>
    </row>
    <row r="143" spans="1:15" s="7" customFormat="1" ht="18.75">
      <c r="A143" s="56"/>
      <c r="B143" s="57"/>
      <c r="C143" s="62" t="s">
        <v>219</v>
      </c>
      <c r="D143" s="32" t="s">
        <v>390</v>
      </c>
      <c r="E143" s="44">
        <v>44409</v>
      </c>
      <c r="F143" s="34">
        <v>9786995.4431269988</v>
      </c>
      <c r="G143" s="44" t="s">
        <v>220</v>
      </c>
      <c r="H143" s="47">
        <v>9786995.4431269988</v>
      </c>
      <c r="I143" s="35" t="s">
        <v>391</v>
      </c>
      <c r="J143" s="37">
        <f>F143-H143</f>
        <v>0</v>
      </c>
      <c r="K143" s="59">
        <f t="shared" si="7"/>
        <v>25621367.496741503</v>
      </c>
      <c r="L143" s="60"/>
      <c r="M143" s="41"/>
      <c r="N143" s="41"/>
      <c r="O143" s="41"/>
    </row>
    <row r="144" spans="1:15" s="7" customFormat="1" ht="18.75">
      <c r="A144" s="56"/>
      <c r="B144" s="57"/>
      <c r="C144" s="62" t="s">
        <v>221</v>
      </c>
      <c r="D144" s="32" t="s">
        <v>392</v>
      </c>
      <c r="E144" s="44">
        <v>44410</v>
      </c>
      <c r="F144" s="34">
        <v>5998151.5215929989</v>
      </c>
      <c r="G144" s="44">
        <v>44258</v>
      </c>
      <c r="H144" s="47">
        <v>5998151.5199999996</v>
      </c>
      <c r="I144" s="35" t="s">
        <v>391</v>
      </c>
      <c r="J144" s="37">
        <f>F144-H144</f>
        <v>1.5929993242025375E-3</v>
      </c>
      <c r="K144" s="59">
        <f t="shared" si="7"/>
        <v>25621367.496741503</v>
      </c>
      <c r="L144" s="60"/>
      <c r="M144" s="41"/>
      <c r="N144" s="41"/>
      <c r="O144" s="41"/>
    </row>
    <row r="145" spans="1:15" s="7" customFormat="1" ht="18.75">
      <c r="A145" s="56"/>
      <c r="B145" s="57"/>
      <c r="C145" s="62" t="s">
        <v>222</v>
      </c>
      <c r="D145" s="32" t="s">
        <v>393</v>
      </c>
      <c r="E145" s="44">
        <v>44319</v>
      </c>
      <c r="F145" s="34">
        <v>17537324.554827001</v>
      </c>
      <c r="G145" s="44" t="s">
        <v>224</v>
      </c>
      <c r="H145" s="47"/>
      <c r="I145" s="35"/>
      <c r="J145" s="37">
        <f>F145-H145</f>
        <v>17537324.554827001</v>
      </c>
      <c r="K145" s="59">
        <f t="shared" si="7"/>
        <v>25621367.498334505</v>
      </c>
      <c r="L145" s="60"/>
      <c r="M145" s="41"/>
      <c r="N145" s="41"/>
      <c r="O145" s="41"/>
    </row>
    <row r="146" spans="1:15" s="7" customFormat="1" ht="21.75" customHeight="1">
      <c r="A146" s="56"/>
      <c r="B146" s="57" t="s">
        <v>394</v>
      </c>
      <c r="C146" s="41"/>
      <c r="D146" s="32"/>
      <c r="E146" s="33"/>
      <c r="F146" s="34"/>
      <c r="G146" s="58"/>
      <c r="H146" s="63"/>
      <c r="I146" s="35"/>
      <c r="J146" s="37"/>
      <c r="K146" s="64">
        <f t="shared" si="7"/>
        <v>43158692.053161502</v>
      </c>
      <c r="L146" s="60"/>
      <c r="M146" s="41"/>
      <c r="N146" s="41"/>
      <c r="O146" s="41"/>
    </row>
    <row r="147" spans="1:15" s="7" customFormat="1" ht="18.75" customHeight="1">
      <c r="A147" s="56"/>
      <c r="B147" s="57"/>
      <c r="C147" s="41"/>
      <c r="D147" s="32"/>
      <c r="E147" s="33"/>
      <c r="F147" s="34"/>
      <c r="G147" s="58"/>
      <c r="H147" s="63"/>
      <c r="I147" s="35"/>
      <c r="J147" s="37"/>
      <c r="K147" s="64"/>
      <c r="L147" s="60"/>
      <c r="M147" s="41"/>
      <c r="N147" s="41"/>
      <c r="O147" s="41"/>
    </row>
    <row r="148" spans="1:15" s="7" customFormat="1" ht="22.5" customHeight="1">
      <c r="A148" s="30">
        <v>5</v>
      </c>
      <c r="B148" s="65" t="s">
        <v>395</v>
      </c>
      <c r="C148" s="66" t="s">
        <v>396</v>
      </c>
      <c r="D148" s="67"/>
      <c r="E148" s="68"/>
      <c r="F148" s="69">
        <f>-1949441.08+2786.1+2659.69+5111.82+13032.15+2654.76+7709.64+5335.06+2532.82+3435.22+3640.48+6394.81+4172.08+2432.25+2022.73+4714.58+6892.14+2488.08+14313.36+4565.82+8409.28+3816.67+2245.9271967+3022.27+21974.7+8418.27+2741.3+37190.63+21974.42+31146.93+2851.1+17540.76+86831.28+6429.82+22278.97+19075.87+35515.35+14390.25+1642.11+1437530.13+37800.85</f>
        <v>-29720.602803299764</v>
      </c>
      <c r="G148" s="70"/>
      <c r="H148" s="54">
        <v>0</v>
      </c>
      <c r="I148" s="70"/>
      <c r="J148" s="37">
        <f t="shared" ref="J148:J183" si="9">F148-H148</f>
        <v>-29720.602803299764</v>
      </c>
      <c r="K148" s="41">
        <v>0</v>
      </c>
      <c r="L148" s="71" t="s">
        <v>397</v>
      </c>
      <c r="M148" s="72"/>
      <c r="N148" s="72"/>
    </row>
    <row r="149" spans="1:15" s="7" customFormat="1" ht="18.75">
      <c r="A149" s="30"/>
      <c r="B149" s="65"/>
      <c r="C149" s="66" t="s">
        <v>398</v>
      </c>
      <c r="D149" s="67" t="s">
        <v>399</v>
      </c>
      <c r="E149" s="44"/>
      <c r="F149" s="69">
        <v>48264.6</v>
      </c>
      <c r="G149" s="70" t="s">
        <v>400</v>
      </c>
      <c r="H149" s="54">
        <v>0</v>
      </c>
      <c r="I149" s="70"/>
      <c r="J149" s="37">
        <f t="shared" si="9"/>
        <v>48264.6</v>
      </c>
      <c r="K149" s="73">
        <f>K148+J148</f>
        <v>-29720.602803299764</v>
      </c>
      <c r="L149" s="71"/>
      <c r="M149" s="72"/>
      <c r="N149" s="72"/>
    </row>
    <row r="150" spans="1:15" s="7" customFormat="1" ht="18.75">
      <c r="A150" s="30"/>
      <c r="B150" s="65"/>
      <c r="C150" s="74" t="s">
        <v>401</v>
      </c>
      <c r="D150" s="32" t="s">
        <v>402</v>
      </c>
      <c r="E150" s="44"/>
      <c r="F150" s="34">
        <v>22634.87</v>
      </c>
      <c r="G150" s="75" t="s">
        <v>403</v>
      </c>
      <c r="H150" s="54">
        <v>0</v>
      </c>
      <c r="I150" s="70"/>
      <c r="J150" s="37">
        <f t="shared" si="9"/>
        <v>22634.87</v>
      </c>
      <c r="K150" s="73">
        <f t="shared" ref="K150:K159" si="10">K149+J149</f>
        <v>18543.997196700235</v>
      </c>
      <c r="L150" s="71"/>
      <c r="M150" s="72"/>
      <c r="N150" s="72"/>
    </row>
    <row r="151" spans="1:15" s="7" customFormat="1" ht="18.75">
      <c r="A151" s="30"/>
      <c r="B151" s="65"/>
      <c r="C151" s="74" t="s">
        <v>404</v>
      </c>
      <c r="D151" s="32" t="s">
        <v>402</v>
      </c>
      <c r="E151" s="44"/>
      <c r="F151" s="34">
        <v>22237.15</v>
      </c>
      <c r="G151" s="76" t="s">
        <v>405</v>
      </c>
      <c r="H151" s="54">
        <v>0</v>
      </c>
      <c r="I151" s="70"/>
      <c r="J151" s="37">
        <f t="shared" si="9"/>
        <v>22237.15</v>
      </c>
      <c r="K151" s="73">
        <f t="shared" si="10"/>
        <v>41178.86719670023</v>
      </c>
      <c r="L151" s="71"/>
      <c r="M151" s="72"/>
      <c r="N151" s="72"/>
    </row>
    <row r="152" spans="1:15" s="7" customFormat="1" ht="18.75">
      <c r="A152" s="30"/>
      <c r="B152" s="65"/>
      <c r="C152" s="74" t="s">
        <v>406</v>
      </c>
      <c r="D152" s="32" t="s">
        <v>407</v>
      </c>
      <c r="E152" s="44"/>
      <c r="F152" s="34">
        <v>32127.69</v>
      </c>
      <c r="G152" s="58" t="s">
        <v>408</v>
      </c>
      <c r="H152" s="54">
        <v>0</v>
      </c>
      <c r="I152" s="70"/>
      <c r="J152" s="37">
        <f t="shared" si="9"/>
        <v>32127.69</v>
      </c>
      <c r="K152" s="73">
        <f t="shared" si="10"/>
        <v>63416.017196700232</v>
      </c>
      <c r="L152" s="71"/>
      <c r="M152" s="72"/>
      <c r="N152" s="72"/>
    </row>
    <row r="153" spans="1:15" s="7" customFormat="1" ht="18.75">
      <c r="A153" s="30"/>
      <c r="B153" s="65"/>
      <c r="C153" s="74" t="s">
        <v>409</v>
      </c>
      <c r="D153" s="32" t="s">
        <v>410</v>
      </c>
      <c r="E153" s="44"/>
      <c r="F153" s="34">
        <v>9670</v>
      </c>
      <c r="G153" s="58" t="s">
        <v>408</v>
      </c>
      <c r="H153" s="54">
        <v>0</v>
      </c>
      <c r="I153" s="70"/>
      <c r="J153" s="37">
        <f t="shared" si="9"/>
        <v>9670</v>
      </c>
      <c r="K153" s="73">
        <f t="shared" si="10"/>
        <v>95543.707196700227</v>
      </c>
      <c r="L153" s="71"/>
      <c r="M153" s="72"/>
      <c r="N153" s="72"/>
    </row>
    <row r="154" spans="1:15" s="7" customFormat="1" ht="18.75">
      <c r="A154" s="30"/>
      <c r="B154" s="65"/>
      <c r="C154" s="41" t="s">
        <v>411</v>
      </c>
      <c r="D154" s="32" t="s">
        <v>412</v>
      </c>
      <c r="E154" s="44"/>
      <c r="F154" s="34">
        <v>16638.39</v>
      </c>
      <c r="G154" s="76" t="s">
        <v>413</v>
      </c>
      <c r="H154" s="54">
        <v>0</v>
      </c>
      <c r="I154" s="70"/>
      <c r="J154" s="37">
        <f t="shared" si="9"/>
        <v>16638.39</v>
      </c>
      <c r="K154" s="73">
        <f t="shared" si="10"/>
        <v>105213.70719670023</v>
      </c>
      <c r="L154" s="71"/>
      <c r="M154" s="72"/>
      <c r="N154" s="72"/>
    </row>
    <row r="155" spans="1:15" s="7" customFormat="1" ht="18.75">
      <c r="A155" s="30"/>
      <c r="B155" s="65"/>
      <c r="C155" s="41" t="s">
        <v>414</v>
      </c>
      <c r="D155" s="32" t="s">
        <v>415</v>
      </c>
      <c r="E155" s="44"/>
      <c r="F155" s="34">
        <v>1690</v>
      </c>
      <c r="G155" s="75">
        <v>42653</v>
      </c>
      <c r="H155" s="47">
        <v>1000000</v>
      </c>
      <c r="I155" s="70" t="s">
        <v>356</v>
      </c>
      <c r="J155" s="37">
        <f t="shared" si="9"/>
        <v>-998310</v>
      </c>
      <c r="K155" s="73">
        <f t="shared" si="10"/>
        <v>121852.09719670023</v>
      </c>
      <c r="L155" s="71"/>
      <c r="M155" s="72"/>
      <c r="N155" s="72"/>
    </row>
    <row r="156" spans="1:15" s="7" customFormat="1" ht="18.75">
      <c r="A156" s="30"/>
      <c r="B156" s="65"/>
      <c r="C156" s="77" t="s">
        <v>416</v>
      </c>
      <c r="D156" s="32" t="s">
        <v>417</v>
      </c>
      <c r="E156" s="44"/>
      <c r="F156" s="34">
        <v>1344948.1465875001</v>
      </c>
      <c r="G156" s="75"/>
      <c r="H156" s="47"/>
      <c r="I156" s="70"/>
      <c r="J156" s="37">
        <f t="shared" si="9"/>
        <v>1344948.1465875001</v>
      </c>
      <c r="K156" s="73">
        <f t="shared" si="10"/>
        <v>-876457.90280329972</v>
      </c>
      <c r="L156" s="71"/>
      <c r="M156" s="72"/>
      <c r="N156" s="72"/>
    </row>
    <row r="157" spans="1:15" s="7" customFormat="1" ht="18.75">
      <c r="A157" s="30"/>
      <c r="B157" s="65"/>
      <c r="C157" s="77" t="s">
        <v>418</v>
      </c>
      <c r="D157" s="32" t="s">
        <v>419</v>
      </c>
      <c r="E157" s="44"/>
      <c r="F157" s="34">
        <v>347358.62699999998</v>
      </c>
      <c r="G157" s="75"/>
      <c r="H157" s="47"/>
      <c r="I157" s="70"/>
      <c r="J157" s="37">
        <f t="shared" si="9"/>
        <v>347358.62699999998</v>
      </c>
      <c r="K157" s="73">
        <f t="shared" si="10"/>
        <v>468490.2437842004</v>
      </c>
      <c r="L157" s="71"/>
      <c r="M157" s="72"/>
      <c r="N157" s="72"/>
    </row>
    <row r="158" spans="1:15" s="7" customFormat="1" ht="18.75">
      <c r="A158" s="30"/>
      <c r="B158" s="65"/>
      <c r="C158" s="77" t="s">
        <v>420</v>
      </c>
      <c r="D158" s="32" t="s">
        <v>421</v>
      </c>
      <c r="E158" s="44"/>
      <c r="F158" s="78">
        <v>339463.35149999999</v>
      </c>
      <c r="G158" s="75"/>
      <c r="H158" s="47"/>
      <c r="I158" s="70"/>
      <c r="J158" s="37">
        <f t="shared" si="9"/>
        <v>339463.35149999999</v>
      </c>
      <c r="K158" s="73">
        <f t="shared" si="10"/>
        <v>815848.87078420038</v>
      </c>
      <c r="L158" s="71"/>
      <c r="M158" s="72"/>
      <c r="N158" s="72"/>
    </row>
    <row r="159" spans="1:15" s="7" customFormat="1" ht="18.75">
      <c r="A159" s="30"/>
      <c r="B159" s="65"/>
      <c r="C159" s="77" t="s">
        <v>422</v>
      </c>
      <c r="D159" s="32" t="s">
        <v>423</v>
      </c>
      <c r="E159" s="44"/>
      <c r="F159" s="78">
        <v>17909.358075</v>
      </c>
      <c r="G159" s="75" t="s">
        <v>424</v>
      </c>
      <c r="H159" s="47"/>
      <c r="I159" s="70"/>
      <c r="J159" s="37">
        <f t="shared" si="9"/>
        <v>17909.358075</v>
      </c>
      <c r="K159" s="73">
        <f t="shared" si="10"/>
        <v>1155312.2222842004</v>
      </c>
      <c r="L159" s="71"/>
      <c r="M159" s="72"/>
      <c r="N159" s="72"/>
    </row>
    <row r="160" spans="1:15" s="7" customFormat="1" ht="18.75">
      <c r="A160" s="30"/>
      <c r="B160" s="65"/>
      <c r="C160" s="77" t="s">
        <v>425</v>
      </c>
      <c r="D160" s="32" t="s">
        <v>426</v>
      </c>
      <c r="E160" s="44"/>
      <c r="F160" s="78">
        <v>78866.220300000001</v>
      </c>
      <c r="G160" s="75"/>
      <c r="H160" s="47"/>
      <c r="I160" s="70"/>
      <c r="J160" s="37">
        <f t="shared" si="9"/>
        <v>78866.220300000001</v>
      </c>
      <c r="K160" s="73">
        <f>K159+J159</f>
        <v>1173221.5803592005</v>
      </c>
      <c r="L160" s="71"/>
      <c r="M160" s="72"/>
      <c r="N160" s="72"/>
    </row>
    <row r="161" spans="1:14" s="7" customFormat="1" ht="18.75">
      <c r="A161" s="30"/>
      <c r="B161" s="65"/>
      <c r="C161" s="77" t="s">
        <v>250</v>
      </c>
      <c r="D161" s="32" t="s">
        <v>427</v>
      </c>
      <c r="E161" s="44"/>
      <c r="F161" s="78">
        <v>12041.98</v>
      </c>
      <c r="G161" s="75" t="s">
        <v>362</v>
      </c>
      <c r="H161" s="47"/>
      <c r="I161" s="70"/>
      <c r="J161" s="37">
        <f t="shared" si="9"/>
        <v>12041.98</v>
      </c>
      <c r="K161" s="73">
        <f t="shared" ref="K161:K189" si="11">K160+J160</f>
        <v>1252087.8006592004</v>
      </c>
      <c r="L161" s="71"/>
      <c r="M161" s="72"/>
      <c r="N161" s="72"/>
    </row>
    <row r="162" spans="1:14" s="7" customFormat="1" ht="18.75">
      <c r="A162" s="30"/>
      <c r="B162" s="65"/>
      <c r="C162" s="77" t="s">
        <v>139</v>
      </c>
      <c r="D162" s="32" t="s">
        <v>428</v>
      </c>
      <c r="E162" s="44"/>
      <c r="F162" s="78">
        <v>206886.88</v>
      </c>
      <c r="G162" s="75" t="s">
        <v>363</v>
      </c>
      <c r="H162" s="47"/>
      <c r="I162" s="70"/>
      <c r="J162" s="37">
        <f t="shared" si="9"/>
        <v>206886.88</v>
      </c>
      <c r="K162" s="73">
        <f t="shared" si="11"/>
        <v>1264129.7806592004</v>
      </c>
      <c r="L162" s="71"/>
      <c r="M162" s="72"/>
      <c r="N162" s="72"/>
    </row>
    <row r="163" spans="1:14" s="7" customFormat="1" ht="18.75">
      <c r="A163" s="30"/>
      <c r="B163" s="65"/>
      <c r="C163" s="62" t="s">
        <v>142</v>
      </c>
      <c r="D163" s="32" t="s">
        <v>429</v>
      </c>
      <c r="E163" s="44"/>
      <c r="F163" s="78">
        <v>12706.595128499999</v>
      </c>
      <c r="G163" s="75"/>
      <c r="H163" s="47"/>
      <c r="I163" s="70"/>
      <c r="J163" s="37">
        <f t="shared" si="9"/>
        <v>12706.595128499999</v>
      </c>
      <c r="K163" s="73">
        <f t="shared" si="11"/>
        <v>1471016.6606592005</v>
      </c>
      <c r="L163" s="71"/>
      <c r="M163" s="72"/>
      <c r="N163" s="72"/>
    </row>
    <row r="164" spans="1:14" s="7" customFormat="1" ht="18.75">
      <c r="A164" s="30"/>
      <c r="B164" s="65"/>
      <c r="C164" s="62" t="s">
        <v>145</v>
      </c>
      <c r="D164" s="32" t="s">
        <v>430</v>
      </c>
      <c r="E164" s="44"/>
      <c r="F164" s="78">
        <v>10491.729475499998</v>
      </c>
      <c r="G164" s="75" t="s">
        <v>431</v>
      </c>
      <c r="H164" s="47"/>
      <c r="I164" s="70"/>
      <c r="J164" s="37">
        <f t="shared" si="9"/>
        <v>10491.729475499998</v>
      </c>
      <c r="K164" s="73">
        <f t="shared" si="11"/>
        <v>1483723.2557877004</v>
      </c>
      <c r="L164" s="71"/>
      <c r="M164" s="72"/>
      <c r="N164" s="72"/>
    </row>
    <row r="165" spans="1:14" s="7" customFormat="1" ht="18.75">
      <c r="A165" s="30"/>
      <c r="B165" s="65"/>
      <c r="C165" s="62" t="s">
        <v>148</v>
      </c>
      <c r="D165" s="32" t="s">
        <v>432</v>
      </c>
      <c r="E165" s="44"/>
      <c r="F165" s="78">
        <v>19298.159107499996</v>
      </c>
      <c r="G165" s="75" t="s">
        <v>433</v>
      </c>
      <c r="H165" s="47"/>
      <c r="I165" s="70"/>
      <c r="J165" s="37">
        <f t="shared" si="9"/>
        <v>19298.159107499996</v>
      </c>
      <c r="K165" s="73">
        <f t="shared" si="11"/>
        <v>1494214.9852632005</v>
      </c>
      <c r="L165" s="71"/>
      <c r="M165" s="72"/>
      <c r="N165" s="72"/>
    </row>
    <row r="166" spans="1:14" s="7" customFormat="1" ht="18.75">
      <c r="A166" s="30"/>
      <c r="B166" s="65"/>
      <c r="C166" s="62" t="s">
        <v>151</v>
      </c>
      <c r="D166" s="32" t="s">
        <v>434</v>
      </c>
      <c r="E166" s="44"/>
      <c r="F166" s="78">
        <v>18770.047159499998</v>
      </c>
      <c r="G166" s="75" t="s">
        <v>152</v>
      </c>
      <c r="H166" s="47"/>
      <c r="I166" s="70"/>
      <c r="J166" s="37">
        <f t="shared" si="9"/>
        <v>18770.047159499998</v>
      </c>
      <c r="K166" s="73">
        <f t="shared" si="11"/>
        <v>1513513.1443707005</v>
      </c>
      <c r="L166" s="71"/>
      <c r="M166" s="72"/>
      <c r="N166" s="72"/>
    </row>
    <row r="167" spans="1:14" s="7" customFormat="1" ht="18.75">
      <c r="A167" s="30"/>
      <c r="B167" s="65"/>
      <c r="C167" s="62" t="s">
        <v>154</v>
      </c>
      <c r="D167" s="32" t="s">
        <v>435</v>
      </c>
      <c r="E167" s="44"/>
      <c r="F167" s="78">
        <v>20115.388019999999</v>
      </c>
      <c r="G167" s="75" t="s">
        <v>156</v>
      </c>
      <c r="H167" s="47"/>
      <c r="I167" s="70"/>
      <c r="J167" s="37">
        <f t="shared" si="9"/>
        <v>20115.388019999999</v>
      </c>
      <c r="K167" s="73">
        <f t="shared" si="11"/>
        <v>1532283.1915302004</v>
      </c>
      <c r="L167" s="71"/>
      <c r="M167" s="72"/>
      <c r="N167" s="72"/>
    </row>
    <row r="168" spans="1:14" s="7" customFormat="1" ht="18.75">
      <c r="A168" s="30"/>
      <c r="B168" s="65"/>
      <c r="C168" s="62" t="s">
        <v>158</v>
      </c>
      <c r="D168" s="32" t="s">
        <v>436</v>
      </c>
      <c r="E168" s="44"/>
      <c r="F168" s="78">
        <v>20402.584019999998</v>
      </c>
      <c r="G168" s="75" t="s">
        <v>160</v>
      </c>
      <c r="H168" s="47"/>
      <c r="I168" s="70"/>
      <c r="J168" s="37">
        <f t="shared" si="9"/>
        <v>20402.584019999998</v>
      </c>
      <c r="K168" s="73">
        <f t="shared" si="11"/>
        <v>1552398.5795502004</v>
      </c>
      <c r="L168" s="71"/>
      <c r="M168" s="72"/>
      <c r="N168" s="72"/>
    </row>
    <row r="169" spans="1:14" s="7" customFormat="1" ht="18.75">
      <c r="A169" s="30"/>
      <c r="B169" s="65"/>
      <c r="C169" s="62" t="s">
        <v>162</v>
      </c>
      <c r="D169" s="32" t="s">
        <v>437</v>
      </c>
      <c r="E169" s="44"/>
      <c r="F169" s="78">
        <v>23602.224177</v>
      </c>
      <c r="G169" s="75" t="s">
        <v>164</v>
      </c>
      <c r="H169" s="47"/>
      <c r="I169" s="70"/>
      <c r="J169" s="37">
        <f t="shared" si="9"/>
        <v>23602.224177</v>
      </c>
      <c r="K169" s="73">
        <f t="shared" si="11"/>
        <v>1572801.1635702003</v>
      </c>
      <c r="L169" s="71"/>
      <c r="M169" s="72"/>
      <c r="N169" s="72"/>
    </row>
    <row r="170" spans="1:14" s="7" customFormat="1" ht="18.75">
      <c r="A170" s="30"/>
      <c r="B170" s="65"/>
      <c r="C170" s="62" t="s">
        <v>166</v>
      </c>
      <c r="D170" s="32" t="s">
        <v>438</v>
      </c>
      <c r="E170" s="44"/>
      <c r="F170" s="78">
        <v>23896.452898500003</v>
      </c>
      <c r="G170" s="75" t="s">
        <v>168</v>
      </c>
      <c r="H170" s="47"/>
      <c r="I170" s="70"/>
      <c r="J170" s="37">
        <f t="shared" si="9"/>
        <v>23896.452898500003</v>
      </c>
      <c r="K170" s="73">
        <f t="shared" si="11"/>
        <v>1596403.3877472004</v>
      </c>
      <c r="L170" s="71"/>
      <c r="M170" s="72"/>
      <c r="N170" s="72"/>
    </row>
    <row r="171" spans="1:14" s="7" customFormat="1" ht="18.75">
      <c r="A171" s="30"/>
      <c r="B171" s="65"/>
      <c r="C171" s="62" t="s">
        <v>170</v>
      </c>
      <c r="D171" s="32" t="s">
        <v>439</v>
      </c>
      <c r="E171" s="44"/>
      <c r="F171" s="78">
        <v>23146.564349999997</v>
      </c>
      <c r="G171" s="75" t="s">
        <v>172</v>
      </c>
      <c r="H171" s="47"/>
      <c r="I171" s="70"/>
      <c r="J171" s="37">
        <f t="shared" si="9"/>
        <v>23146.564349999997</v>
      </c>
      <c r="K171" s="73">
        <f t="shared" si="11"/>
        <v>1620299.8406457005</v>
      </c>
      <c r="L171" s="71"/>
      <c r="M171" s="72"/>
      <c r="N171" s="72"/>
    </row>
    <row r="172" spans="1:14" s="7" customFormat="1" ht="18.75">
      <c r="A172" s="30"/>
      <c r="B172" s="65"/>
      <c r="C172" s="62" t="s">
        <v>174</v>
      </c>
      <c r="D172" s="32" t="s">
        <v>440</v>
      </c>
      <c r="E172" s="44"/>
      <c r="F172" s="78">
        <v>20810.305561500001</v>
      </c>
      <c r="G172" s="75" t="s">
        <v>176</v>
      </c>
      <c r="H172" s="47"/>
      <c r="I172" s="70"/>
      <c r="J172" s="37">
        <f t="shared" si="9"/>
        <v>20810.305561500001</v>
      </c>
      <c r="K172" s="73">
        <f t="shared" si="11"/>
        <v>1643446.4049957003</v>
      </c>
      <c r="L172" s="71"/>
      <c r="M172" s="72"/>
      <c r="N172" s="72"/>
    </row>
    <row r="173" spans="1:14" s="7" customFormat="1" ht="18.75">
      <c r="A173" s="30"/>
      <c r="B173" s="65"/>
      <c r="C173" s="62" t="s">
        <v>178</v>
      </c>
      <c r="D173" s="32" t="s">
        <v>441</v>
      </c>
      <c r="E173" s="44"/>
      <c r="F173" s="78">
        <v>22560.041731500001</v>
      </c>
      <c r="G173" s="75" t="s">
        <v>179</v>
      </c>
      <c r="H173" s="47"/>
      <c r="I173" s="70"/>
      <c r="J173" s="37">
        <f t="shared" si="9"/>
        <v>22560.041731500001</v>
      </c>
      <c r="K173" s="73">
        <f t="shared" si="11"/>
        <v>1664256.7105572002</v>
      </c>
      <c r="L173" s="71"/>
      <c r="M173" s="72"/>
      <c r="N173" s="72"/>
    </row>
    <row r="174" spans="1:14" s="7" customFormat="1" ht="18.75">
      <c r="A174" s="30"/>
      <c r="B174" s="65"/>
      <c r="C174" s="62" t="s">
        <v>181</v>
      </c>
      <c r="D174" s="32" t="s">
        <v>442</v>
      </c>
      <c r="E174" s="44"/>
      <c r="F174" s="78">
        <v>23146.564349999997</v>
      </c>
      <c r="G174" s="75" t="s">
        <v>183</v>
      </c>
      <c r="H174" s="47"/>
      <c r="I174" s="70"/>
      <c r="J174" s="37">
        <f t="shared" si="9"/>
        <v>23146.564349999997</v>
      </c>
      <c r="K174" s="73">
        <f t="shared" si="11"/>
        <v>1686816.7522887003</v>
      </c>
      <c r="L174" s="71"/>
      <c r="M174" s="72"/>
      <c r="N174" s="72"/>
    </row>
    <row r="175" spans="1:14" s="7" customFormat="1" ht="18.75">
      <c r="A175" s="30"/>
      <c r="B175" s="65"/>
      <c r="C175" s="62" t="s">
        <v>185</v>
      </c>
      <c r="D175" s="32" t="s">
        <v>443</v>
      </c>
      <c r="E175" s="44"/>
      <c r="F175" s="78">
        <v>23754.847346999995</v>
      </c>
      <c r="G175" s="75" t="s">
        <v>187</v>
      </c>
      <c r="H175" s="47"/>
      <c r="I175" s="70"/>
      <c r="J175" s="37">
        <f t="shared" si="9"/>
        <v>23754.847346999995</v>
      </c>
      <c r="K175" s="73">
        <f t="shared" si="11"/>
        <v>1709963.3166387002</v>
      </c>
      <c r="L175" s="71"/>
      <c r="M175" s="72"/>
      <c r="N175" s="72"/>
    </row>
    <row r="176" spans="1:14" s="7" customFormat="1" ht="18.75">
      <c r="A176" s="30"/>
      <c r="B176" s="65"/>
      <c r="C176" s="62" t="s">
        <v>189</v>
      </c>
      <c r="D176" s="32" t="s">
        <v>444</v>
      </c>
      <c r="E176" s="44"/>
      <c r="F176" s="78">
        <v>23535.845664</v>
      </c>
      <c r="G176" s="75" t="s">
        <v>377</v>
      </c>
      <c r="H176" s="47"/>
      <c r="I176" s="70"/>
      <c r="J176" s="37">
        <f t="shared" si="9"/>
        <v>23535.845664</v>
      </c>
      <c r="K176" s="73">
        <f t="shared" si="11"/>
        <v>1733718.1639857001</v>
      </c>
      <c r="L176" s="71"/>
      <c r="M176" s="72"/>
      <c r="N176" s="72"/>
    </row>
    <row r="177" spans="1:15" s="7" customFormat="1" ht="18.75">
      <c r="A177" s="30"/>
      <c r="B177" s="65"/>
      <c r="C177" s="62" t="s">
        <v>191</v>
      </c>
      <c r="D177" s="32" t="s">
        <v>445</v>
      </c>
      <c r="E177" s="44">
        <v>43986</v>
      </c>
      <c r="F177" s="78">
        <v>22437.782442000003</v>
      </c>
      <c r="G177" s="75" t="s">
        <v>193</v>
      </c>
      <c r="H177" s="47"/>
      <c r="I177" s="70"/>
      <c r="J177" s="37">
        <f t="shared" si="9"/>
        <v>22437.782442000003</v>
      </c>
      <c r="K177" s="73">
        <f t="shared" si="11"/>
        <v>1757254.0096497</v>
      </c>
      <c r="L177" s="71"/>
      <c r="M177" s="72"/>
      <c r="N177" s="72"/>
    </row>
    <row r="178" spans="1:15" s="7" customFormat="1" ht="18.75">
      <c r="A178" s="30"/>
      <c r="B178" s="65"/>
      <c r="C178" s="62" t="s">
        <v>195</v>
      </c>
      <c r="D178" s="32" t="s">
        <v>446</v>
      </c>
      <c r="E178" s="44" t="s">
        <v>197</v>
      </c>
      <c r="F178" s="78">
        <v>19797.941771499998</v>
      </c>
      <c r="G178" s="75" t="s">
        <v>198</v>
      </c>
      <c r="H178" s="47"/>
      <c r="I178" s="70"/>
      <c r="J178" s="37">
        <f t="shared" si="9"/>
        <v>19797.941771499998</v>
      </c>
      <c r="K178" s="73">
        <f t="shared" si="11"/>
        <v>1779691.7920917</v>
      </c>
      <c r="L178" s="71"/>
      <c r="M178" s="72"/>
      <c r="N178" s="72"/>
    </row>
    <row r="179" spans="1:15" s="7" customFormat="1" ht="18.75">
      <c r="A179" s="30"/>
      <c r="B179" s="65"/>
      <c r="C179" s="62" t="s">
        <v>199</v>
      </c>
      <c r="D179" s="32" t="s">
        <v>447</v>
      </c>
      <c r="E179" s="44">
        <v>44049</v>
      </c>
      <c r="F179" s="78">
        <v>22615.347440000001</v>
      </c>
      <c r="G179" s="75">
        <v>43897</v>
      </c>
      <c r="H179" s="47"/>
      <c r="I179" s="70"/>
      <c r="J179" s="37">
        <f t="shared" si="9"/>
        <v>22615.347440000001</v>
      </c>
      <c r="K179" s="73">
        <f t="shared" si="11"/>
        <v>1799489.7338632001</v>
      </c>
      <c r="L179" s="71"/>
      <c r="M179" s="72"/>
      <c r="N179" s="72"/>
    </row>
    <row r="180" spans="1:15" s="7" customFormat="1" ht="18.75">
      <c r="A180" s="30"/>
      <c r="B180" s="65"/>
      <c r="C180" s="62" t="s">
        <v>201</v>
      </c>
      <c r="D180" s="32" t="s">
        <v>448</v>
      </c>
      <c r="E180" s="44" t="s">
        <v>449</v>
      </c>
      <c r="F180" s="78">
        <v>23693.977859999999</v>
      </c>
      <c r="G180" s="75">
        <v>44020</v>
      </c>
      <c r="H180" s="47"/>
      <c r="I180" s="70"/>
      <c r="J180" s="37">
        <f t="shared" si="9"/>
        <v>23693.977859999999</v>
      </c>
      <c r="K180" s="73">
        <f t="shared" si="11"/>
        <v>1822105.0813032</v>
      </c>
      <c r="L180" s="71"/>
      <c r="M180" s="72"/>
      <c r="N180" s="72"/>
    </row>
    <row r="181" spans="1:15" s="7" customFormat="1" ht="18.75">
      <c r="A181" s="30"/>
      <c r="B181" s="65"/>
      <c r="C181" s="62" t="s">
        <v>203</v>
      </c>
      <c r="D181" s="32" t="s">
        <v>448</v>
      </c>
      <c r="E181" s="44">
        <v>44020</v>
      </c>
      <c r="F181" s="78">
        <v>25385.736946499997</v>
      </c>
      <c r="G181" s="75" t="s">
        <v>450</v>
      </c>
      <c r="H181" s="47"/>
      <c r="I181" s="70"/>
      <c r="J181" s="37">
        <f t="shared" si="9"/>
        <v>25385.736946499997</v>
      </c>
      <c r="K181" s="73">
        <f t="shared" si="11"/>
        <v>1845799.0591632</v>
      </c>
      <c r="L181" s="71"/>
      <c r="M181" s="72"/>
      <c r="N181" s="72"/>
    </row>
    <row r="182" spans="1:15" s="7" customFormat="1" ht="18.75">
      <c r="A182" s="30"/>
      <c r="B182" s="65"/>
      <c r="C182" s="62" t="s">
        <v>207</v>
      </c>
      <c r="D182" s="32" t="s">
        <v>451</v>
      </c>
      <c r="E182" s="44" t="s">
        <v>209</v>
      </c>
      <c r="F182" s="78">
        <v>28160.28138</v>
      </c>
      <c r="G182" s="75" t="s">
        <v>210</v>
      </c>
      <c r="H182" s="47"/>
      <c r="I182" s="70"/>
      <c r="J182" s="37">
        <f t="shared" si="9"/>
        <v>28160.28138</v>
      </c>
      <c r="K182" s="73">
        <f t="shared" si="11"/>
        <v>1871184.7961096999</v>
      </c>
      <c r="L182" s="71"/>
      <c r="M182" s="72"/>
      <c r="N182" s="72"/>
    </row>
    <row r="183" spans="1:15" s="7" customFormat="1" ht="18.75">
      <c r="A183" s="30"/>
      <c r="B183" s="65"/>
      <c r="C183" s="62" t="s">
        <v>212</v>
      </c>
      <c r="D183" s="32" t="s">
        <v>452</v>
      </c>
      <c r="E183" s="44">
        <v>44084</v>
      </c>
      <c r="F183" s="78">
        <v>29744.284779000001</v>
      </c>
      <c r="G183" s="75" t="s">
        <v>213</v>
      </c>
      <c r="H183" s="47"/>
      <c r="I183" s="70"/>
      <c r="J183" s="37">
        <f t="shared" si="9"/>
        <v>29744.284779000001</v>
      </c>
      <c r="K183" s="73">
        <f t="shared" si="11"/>
        <v>1899345.0774896999</v>
      </c>
      <c r="L183" s="71"/>
      <c r="M183" s="72"/>
      <c r="N183" s="72"/>
    </row>
    <row r="184" spans="1:15" s="7" customFormat="1" ht="18.75">
      <c r="A184" s="30"/>
      <c r="B184" s="65"/>
      <c r="C184" s="62" t="s">
        <v>214</v>
      </c>
      <c r="D184" s="32" t="s">
        <v>453</v>
      </c>
      <c r="E184" s="44">
        <v>43962</v>
      </c>
      <c r="F184" s="78">
        <v>27779.716882499997</v>
      </c>
      <c r="G184" s="75" t="s">
        <v>216</v>
      </c>
      <c r="H184" s="47"/>
      <c r="I184" s="70"/>
      <c r="J184" s="37">
        <f>F184-H184</f>
        <v>27779.716882499997</v>
      </c>
      <c r="K184" s="73">
        <f t="shared" si="11"/>
        <v>1929089.3622687</v>
      </c>
      <c r="L184" s="71"/>
      <c r="M184" s="72"/>
      <c r="N184" s="72"/>
    </row>
    <row r="185" spans="1:15" s="7" customFormat="1" ht="18.75">
      <c r="A185" s="30"/>
      <c r="B185" s="65"/>
      <c r="C185" s="62" t="s">
        <v>218</v>
      </c>
      <c r="D185" s="32" t="s">
        <v>454</v>
      </c>
      <c r="E185" s="44">
        <v>44024</v>
      </c>
      <c r="F185" s="78">
        <v>26422.262459999998</v>
      </c>
      <c r="G185" s="75">
        <v>44531</v>
      </c>
      <c r="H185" s="47"/>
      <c r="I185" s="70"/>
      <c r="J185" s="37">
        <f>F185-H185</f>
        <v>26422.262459999998</v>
      </c>
      <c r="K185" s="73">
        <f t="shared" si="11"/>
        <v>1956869.0791512001</v>
      </c>
      <c r="L185" s="71"/>
      <c r="M185" s="72"/>
      <c r="N185" s="72"/>
    </row>
    <row r="186" spans="1:15" s="7" customFormat="1" ht="18.75">
      <c r="A186" s="30"/>
      <c r="B186" s="65"/>
      <c r="C186" s="62" t="s">
        <v>219</v>
      </c>
      <c r="D186" s="32" t="s">
        <v>455</v>
      </c>
      <c r="E186" s="44">
        <v>44409</v>
      </c>
      <c r="F186" s="78">
        <v>29970.883469999993</v>
      </c>
      <c r="G186" s="75" t="s">
        <v>220</v>
      </c>
      <c r="H186" s="47"/>
      <c r="I186" s="70"/>
      <c r="J186" s="37">
        <f>F186-H186</f>
        <v>29970.883469999993</v>
      </c>
      <c r="K186" s="73">
        <f t="shared" si="11"/>
        <v>1983291.3416112</v>
      </c>
      <c r="L186" s="71"/>
      <c r="M186" s="72"/>
      <c r="N186" s="72"/>
    </row>
    <row r="187" spans="1:15" s="7" customFormat="1" ht="18.75">
      <c r="A187" s="30"/>
      <c r="B187" s="65"/>
      <c r="C187" s="62" t="s">
        <v>221</v>
      </c>
      <c r="D187" s="32" t="s">
        <v>31</v>
      </c>
      <c r="E187" s="44">
        <v>44502</v>
      </c>
      <c r="F187" s="78">
        <v>26952.417887999996</v>
      </c>
      <c r="G187" s="75" t="s">
        <v>456</v>
      </c>
      <c r="H187" s="47"/>
      <c r="I187" s="70"/>
      <c r="J187" s="37">
        <f>F187-H187</f>
        <v>26952.417887999996</v>
      </c>
      <c r="K187" s="73">
        <f t="shared" si="11"/>
        <v>2013262.2250812</v>
      </c>
      <c r="L187" s="71"/>
      <c r="M187" s="72"/>
      <c r="N187" s="72"/>
    </row>
    <row r="188" spans="1:15" s="7" customFormat="1" ht="18.75">
      <c r="A188" s="30"/>
      <c r="B188" s="65"/>
      <c r="C188" s="62" t="s">
        <v>222</v>
      </c>
      <c r="D188" s="32" t="s">
        <v>457</v>
      </c>
      <c r="E188" s="44">
        <v>44319</v>
      </c>
      <c r="F188" s="78">
        <v>28008.453297</v>
      </c>
      <c r="G188" s="75" t="s">
        <v>224</v>
      </c>
      <c r="H188" s="47"/>
      <c r="I188" s="70"/>
      <c r="J188" s="37">
        <f>F188-H188</f>
        <v>28008.453297</v>
      </c>
      <c r="K188" s="73">
        <f t="shared" si="11"/>
        <v>2040214.6429691999</v>
      </c>
      <c r="L188" s="71"/>
      <c r="M188" s="72"/>
      <c r="N188" s="72"/>
    </row>
    <row r="189" spans="1:15" s="7" customFormat="1" ht="18.75">
      <c r="A189" s="30"/>
      <c r="B189" s="57" t="s">
        <v>458</v>
      </c>
      <c r="C189" s="31"/>
      <c r="D189" s="32"/>
      <c r="E189" s="44"/>
      <c r="F189" s="34"/>
      <c r="G189" s="35"/>
      <c r="H189" s="54"/>
      <c r="I189" s="35"/>
      <c r="J189" s="37"/>
      <c r="K189" s="79">
        <f t="shared" si="11"/>
        <v>2068223.0962661998</v>
      </c>
      <c r="L189" s="39"/>
      <c r="M189" s="40"/>
      <c r="N189" s="40"/>
      <c r="O189" s="41"/>
    </row>
    <row r="190" spans="1:15" s="7" customFormat="1" ht="18.75">
      <c r="A190" s="30"/>
      <c r="B190" s="57"/>
      <c r="C190" s="31"/>
      <c r="D190" s="32"/>
      <c r="E190" s="44"/>
      <c r="F190" s="34"/>
      <c r="G190" s="35"/>
      <c r="H190" s="54"/>
      <c r="I190" s="80"/>
      <c r="J190" s="37"/>
      <c r="K190" s="79"/>
      <c r="L190" s="39"/>
      <c r="M190" s="40"/>
      <c r="N190" s="40"/>
      <c r="O190" s="41"/>
    </row>
    <row r="191" spans="1:15" s="7" customFormat="1" ht="18.75">
      <c r="A191" s="81">
        <v>6</v>
      </c>
      <c r="B191" s="82" t="s">
        <v>459</v>
      </c>
      <c r="C191" s="66" t="s">
        <v>396</v>
      </c>
      <c r="D191" s="67"/>
      <c r="E191" s="44"/>
      <c r="F191" s="83">
        <v>-3344319.17</v>
      </c>
      <c r="G191" s="70"/>
      <c r="H191" s="54">
        <v>0</v>
      </c>
      <c r="I191" s="84"/>
      <c r="J191" s="37">
        <f>F191-H191</f>
        <v>-3344319.17</v>
      </c>
      <c r="K191" s="41">
        <v>0</v>
      </c>
      <c r="L191" s="71" t="s">
        <v>397</v>
      </c>
      <c r="M191" s="72"/>
      <c r="N191" s="40"/>
      <c r="O191" s="41"/>
    </row>
    <row r="192" spans="1:15" s="7" customFormat="1" ht="18.75">
      <c r="A192" s="56"/>
      <c r="B192" s="85" t="s">
        <v>460</v>
      </c>
      <c r="C192" s="31"/>
      <c r="D192" s="32"/>
      <c r="E192" s="44"/>
      <c r="F192" s="86"/>
      <c r="G192" s="35"/>
      <c r="H192" s="87"/>
      <c r="I192" s="35"/>
      <c r="J192" s="37"/>
      <c r="K192" s="88">
        <f>K191+J191</f>
        <v>-3344319.17</v>
      </c>
      <c r="L192" s="39"/>
      <c r="M192" s="40"/>
      <c r="N192" s="40"/>
      <c r="O192" s="41"/>
    </row>
    <row r="193" spans="1:15" s="7" customFormat="1" ht="18.75">
      <c r="A193" s="56"/>
      <c r="B193" s="85"/>
      <c r="C193" s="31"/>
      <c r="D193" s="32"/>
      <c r="E193" s="44"/>
      <c r="F193" s="86"/>
      <c r="G193" s="35"/>
      <c r="H193" s="87"/>
      <c r="I193" s="35"/>
      <c r="J193" s="37"/>
      <c r="K193" s="88"/>
      <c r="L193" s="39"/>
      <c r="M193" s="40"/>
      <c r="N193" s="40"/>
      <c r="O193" s="41"/>
    </row>
    <row r="194" spans="1:15" s="7" customFormat="1" ht="18.75">
      <c r="A194" s="56">
        <v>7</v>
      </c>
      <c r="B194" s="57" t="s">
        <v>32</v>
      </c>
      <c r="C194" s="41" t="s">
        <v>461</v>
      </c>
      <c r="D194" s="32" t="s">
        <v>163</v>
      </c>
      <c r="E194" s="44"/>
      <c r="F194" s="89">
        <v>45267904.479999997</v>
      </c>
      <c r="G194" s="76" t="s">
        <v>462</v>
      </c>
      <c r="H194" s="47">
        <v>51274745.870000005</v>
      </c>
      <c r="I194" s="76" t="s">
        <v>463</v>
      </c>
      <c r="J194" s="37">
        <f t="shared" ref="J194:J254" si="12">F194-H194</f>
        <v>-6006841.390000008</v>
      </c>
      <c r="K194" s="59">
        <v>0</v>
      </c>
      <c r="L194" s="60" t="s">
        <v>464</v>
      </c>
      <c r="M194" s="41"/>
      <c r="N194" s="41"/>
      <c r="O194" s="41"/>
    </row>
    <row r="195" spans="1:15" s="7" customFormat="1" ht="18.75">
      <c r="A195" s="56"/>
      <c r="B195" s="57"/>
      <c r="C195" s="41" t="s">
        <v>465</v>
      </c>
      <c r="D195" s="32" t="s">
        <v>167</v>
      </c>
      <c r="E195" s="44"/>
      <c r="F195" s="34">
        <v>61405929.210000001</v>
      </c>
      <c r="G195" s="76" t="s">
        <v>466</v>
      </c>
      <c r="H195" s="47"/>
      <c r="I195" s="90"/>
      <c r="J195" s="37">
        <f t="shared" si="12"/>
        <v>61405929.210000001</v>
      </c>
      <c r="K195" s="59">
        <f>K194+J194</f>
        <v>-6006841.390000008</v>
      </c>
      <c r="L195" s="60"/>
      <c r="M195" s="41"/>
      <c r="N195" s="41"/>
      <c r="O195" s="41"/>
    </row>
    <row r="196" spans="1:15" s="7" customFormat="1" ht="18.75">
      <c r="A196" s="56"/>
      <c r="B196" s="57"/>
      <c r="C196" s="41" t="s">
        <v>467</v>
      </c>
      <c r="D196" s="32" t="s">
        <v>171</v>
      </c>
      <c r="E196" s="44"/>
      <c r="F196" s="34">
        <v>59425092.789999999</v>
      </c>
      <c r="G196" s="76" t="s">
        <v>468</v>
      </c>
      <c r="H196" s="47"/>
      <c r="I196" s="58"/>
      <c r="J196" s="37">
        <f t="shared" si="12"/>
        <v>59425092.789999999</v>
      </c>
      <c r="K196" s="59">
        <f t="shared" ref="K196:K259" si="13">K195+J195</f>
        <v>55399087.819999993</v>
      </c>
      <c r="L196" s="60"/>
      <c r="M196" s="41"/>
      <c r="N196" s="41"/>
      <c r="O196" s="41"/>
    </row>
    <row r="197" spans="1:15" s="7" customFormat="1" ht="18.75">
      <c r="A197" s="56"/>
      <c r="B197" s="57"/>
      <c r="C197" s="41" t="s">
        <v>469</v>
      </c>
      <c r="D197" s="32" t="s">
        <v>175</v>
      </c>
      <c r="E197" s="44"/>
      <c r="F197" s="34">
        <v>19251106.620000001</v>
      </c>
      <c r="G197" s="76" t="s">
        <v>470</v>
      </c>
      <c r="H197" s="91">
        <v>0</v>
      </c>
      <c r="I197" s="58"/>
      <c r="J197" s="37">
        <f t="shared" si="12"/>
        <v>19251106.620000001</v>
      </c>
      <c r="K197" s="59">
        <f t="shared" si="13"/>
        <v>114824180.60999998</v>
      </c>
      <c r="L197" s="60"/>
      <c r="M197" s="41"/>
      <c r="N197" s="41"/>
      <c r="O197" s="41"/>
    </row>
    <row r="198" spans="1:15" s="7" customFormat="1" ht="18.75">
      <c r="A198" s="56"/>
      <c r="B198" s="57"/>
      <c r="C198" s="41" t="s">
        <v>471</v>
      </c>
      <c r="D198" s="32" t="s">
        <v>111</v>
      </c>
      <c r="E198" s="44"/>
      <c r="F198" s="34">
        <v>19962252.649999999</v>
      </c>
      <c r="G198" s="76" t="s">
        <v>472</v>
      </c>
      <c r="H198" s="91">
        <v>0</v>
      </c>
      <c r="I198" s="58"/>
      <c r="J198" s="37">
        <f t="shared" si="12"/>
        <v>19962252.649999999</v>
      </c>
      <c r="K198" s="59">
        <f t="shared" si="13"/>
        <v>134075287.22999999</v>
      </c>
      <c r="L198" s="60"/>
      <c r="M198" s="41"/>
      <c r="N198" s="41"/>
      <c r="O198" s="41"/>
    </row>
    <row r="199" spans="1:15" s="7" customFormat="1" ht="18.75">
      <c r="A199" s="56"/>
      <c r="B199" s="57"/>
      <c r="C199" s="41" t="s">
        <v>473</v>
      </c>
      <c r="D199" s="32" t="s">
        <v>182</v>
      </c>
      <c r="E199" s="44"/>
      <c r="F199" s="34">
        <v>19020891.23</v>
      </c>
      <c r="G199" s="76"/>
      <c r="H199" s="47">
        <v>19020891.23</v>
      </c>
      <c r="I199" s="58" t="s">
        <v>474</v>
      </c>
      <c r="J199" s="37">
        <f t="shared" si="12"/>
        <v>0</v>
      </c>
      <c r="K199" s="59">
        <f t="shared" si="13"/>
        <v>154037539.88</v>
      </c>
      <c r="L199" s="60"/>
      <c r="M199" s="41"/>
      <c r="N199" s="41"/>
      <c r="O199" s="41"/>
    </row>
    <row r="200" spans="1:15" s="7" customFormat="1" ht="18.75">
      <c r="A200" s="56"/>
      <c r="B200" s="57"/>
      <c r="C200" s="41" t="s">
        <v>475</v>
      </c>
      <c r="D200" s="32" t="s">
        <v>186</v>
      </c>
      <c r="E200" s="44"/>
      <c r="F200" s="34">
        <v>19733918.600000001</v>
      </c>
      <c r="G200" s="76"/>
      <c r="H200" s="91"/>
      <c r="I200" s="58"/>
      <c r="J200" s="37">
        <f t="shared" si="12"/>
        <v>19733918.600000001</v>
      </c>
      <c r="K200" s="59">
        <f t="shared" si="13"/>
        <v>154037539.88</v>
      </c>
      <c r="L200" s="60"/>
      <c r="M200" s="41"/>
      <c r="N200" s="41"/>
      <c r="O200" s="41"/>
    </row>
    <row r="201" spans="1:15" s="7" customFormat="1" ht="18.75">
      <c r="A201" s="56"/>
      <c r="B201" s="57"/>
      <c r="C201" s="41" t="s">
        <v>476</v>
      </c>
      <c r="D201" s="32" t="s">
        <v>192</v>
      </c>
      <c r="E201" s="44"/>
      <c r="F201" s="34">
        <v>18340953.66</v>
      </c>
      <c r="G201" s="76"/>
      <c r="H201" s="91">
        <v>18340953.670000002</v>
      </c>
      <c r="I201" s="58" t="s">
        <v>477</v>
      </c>
      <c r="J201" s="37">
        <f t="shared" si="12"/>
        <v>-1.0000001639127731E-2</v>
      </c>
      <c r="K201" s="59">
        <f t="shared" si="13"/>
        <v>173771458.47999999</v>
      </c>
      <c r="L201" s="60"/>
      <c r="M201" s="41"/>
      <c r="N201" s="41"/>
      <c r="O201" s="41"/>
    </row>
    <row r="202" spans="1:15" s="7" customFormat="1" ht="21.75" customHeight="1">
      <c r="A202" s="56"/>
      <c r="B202" s="57"/>
      <c r="C202" s="41" t="s">
        <v>478</v>
      </c>
      <c r="D202" s="32" t="s">
        <v>196</v>
      </c>
      <c r="E202" s="44"/>
      <c r="F202" s="34">
        <v>20418519.140000001</v>
      </c>
      <c r="G202" s="76"/>
      <c r="H202" s="91">
        <v>20418519.140000001</v>
      </c>
      <c r="I202" s="58" t="s">
        <v>479</v>
      </c>
      <c r="J202" s="37">
        <f t="shared" si="12"/>
        <v>0</v>
      </c>
      <c r="K202" s="59">
        <f t="shared" si="13"/>
        <v>173771458.47</v>
      </c>
      <c r="L202" s="60"/>
      <c r="M202" s="41"/>
      <c r="N202" s="41"/>
      <c r="O202" s="41"/>
    </row>
    <row r="203" spans="1:15" s="7" customFormat="1" ht="21.75" customHeight="1">
      <c r="A203" s="56"/>
      <c r="B203" s="57"/>
      <c r="C203" s="41" t="s">
        <v>406</v>
      </c>
      <c r="D203" s="32" t="s">
        <v>41</v>
      </c>
      <c r="E203" s="44"/>
      <c r="F203" s="34">
        <v>28468139.800000001</v>
      </c>
      <c r="G203" s="76" t="s">
        <v>480</v>
      </c>
      <c r="H203" s="47"/>
      <c r="I203" s="58"/>
      <c r="J203" s="37">
        <f t="shared" si="12"/>
        <v>28468139.800000001</v>
      </c>
      <c r="K203" s="59">
        <f t="shared" si="13"/>
        <v>173771458.47</v>
      </c>
      <c r="L203" s="60"/>
      <c r="M203" s="41"/>
      <c r="N203" s="41"/>
      <c r="O203" s="41"/>
    </row>
    <row r="204" spans="1:15" s="7" customFormat="1" ht="21.75" customHeight="1">
      <c r="A204" s="56"/>
      <c r="B204" s="57"/>
      <c r="C204" s="92" t="s">
        <v>481</v>
      </c>
      <c r="D204" s="32" t="s">
        <v>359</v>
      </c>
      <c r="E204" s="44"/>
      <c r="F204" s="34">
        <v>100409478.59</v>
      </c>
      <c r="G204" s="76"/>
      <c r="H204" s="47"/>
      <c r="I204" s="58"/>
      <c r="J204" s="37">
        <f t="shared" si="12"/>
        <v>100409478.59</v>
      </c>
      <c r="K204" s="59">
        <f t="shared" si="13"/>
        <v>202239598.27000001</v>
      </c>
      <c r="L204" s="60"/>
      <c r="M204" s="41"/>
      <c r="N204" s="41"/>
      <c r="O204" s="41"/>
    </row>
    <row r="205" spans="1:15" s="7" customFormat="1" ht="18.75">
      <c r="A205" s="56"/>
      <c r="B205" s="57"/>
      <c r="C205" s="92" t="s">
        <v>482</v>
      </c>
      <c r="D205" s="32" t="s">
        <v>202</v>
      </c>
      <c r="E205" s="44"/>
      <c r="F205" s="34">
        <v>95695418.560000002</v>
      </c>
      <c r="G205" s="76"/>
      <c r="H205" s="47">
        <v>304289826.29000002</v>
      </c>
      <c r="I205" s="58"/>
      <c r="J205" s="37">
        <f t="shared" si="12"/>
        <v>-208594407.73000002</v>
      </c>
      <c r="K205" s="59">
        <f t="shared" si="13"/>
        <v>302649076.86000001</v>
      </c>
      <c r="L205" s="60"/>
      <c r="M205" s="41"/>
      <c r="N205" s="41"/>
      <c r="O205" s="41"/>
    </row>
    <row r="206" spans="1:15" s="7" customFormat="1" ht="18.75">
      <c r="A206" s="56"/>
      <c r="B206" s="57"/>
      <c r="C206" s="41" t="s">
        <v>414</v>
      </c>
      <c r="D206" s="32" t="s">
        <v>204</v>
      </c>
      <c r="E206" s="44"/>
      <c r="F206" s="34">
        <v>54833604.270000003</v>
      </c>
      <c r="G206" s="76" t="s">
        <v>483</v>
      </c>
      <c r="H206" s="47">
        <v>110044381.27</v>
      </c>
      <c r="I206" s="58"/>
      <c r="J206" s="37">
        <f t="shared" si="12"/>
        <v>-55210776.999999993</v>
      </c>
      <c r="K206" s="59">
        <f t="shared" si="13"/>
        <v>94054669.129999995</v>
      </c>
      <c r="L206" s="60"/>
      <c r="M206" s="41"/>
      <c r="N206" s="41"/>
      <c r="O206" s="41"/>
    </row>
    <row r="207" spans="1:15" s="7" customFormat="1" ht="18.75">
      <c r="A207" s="56"/>
      <c r="B207" s="57"/>
      <c r="C207" s="92" t="s">
        <v>484</v>
      </c>
      <c r="D207" s="32" t="s">
        <v>208</v>
      </c>
      <c r="E207" s="44"/>
      <c r="F207" s="34">
        <v>68155626.689999998</v>
      </c>
      <c r="G207" s="76"/>
      <c r="H207" s="47">
        <v>68155626.693000004</v>
      </c>
      <c r="I207" s="58" t="s">
        <v>485</v>
      </c>
      <c r="J207" s="37">
        <f t="shared" si="12"/>
        <v>-3.0000060796737671E-3</v>
      </c>
      <c r="K207" s="59">
        <f t="shared" si="13"/>
        <v>38843892.130000003</v>
      </c>
      <c r="L207" s="60"/>
      <c r="M207" s="41"/>
      <c r="N207" s="41"/>
      <c r="O207" s="41"/>
    </row>
    <row r="208" spans="1:15" s="7" customFormat="1" ht="18.75">
      <c r="A208" s="56"/>
      <c r="B208" s="57"/>
      <c r="C208" s="92" t="s">
        <v>486</v>
      </c>
      <c r="D208" s="32" t="s">
        <v>52</v>
      </c>
      <c r="E208" s="44"/>
      <c r="F208" s="34">
        <v>38211542.990000002</v>
      </c>
      <c r="G208" s="76"/>
      <c r="H208" s="47">
        <v>38211542.993294992</v>
      </c>
      <c r="I208" s="58" t="s">
        <v>485</v>
      </c>
      <c r="J208" s="37">
        <f t="shared" si="12"/>
        <v>-3.2949894666671753E-3</v>
      </c>
      <c r="K208" s="59">
        <f t="shared" si="13"/>
        <v>38843892.126999997</v>
      </c>
      <c r="L208" s="60"/>
      <c r="M208" s="41"/>
      <c r="N208" s="41"/>
      <c r="O208" s="41"/>
    </row>
    <row r="209" spans="1:15" s="7" customFormat="1" ht="18.75">
      <c r="A209" s="56"/>
      <c r="B209" s="57"/>
      <c r="C209" s="93" t="s">
        <v>487</v>
      </c>
      <c r="D209" s="32" t="s">
        <v>215</v>
      </c>
      <c r="E209" s="44"/>
      <c r="F209" s="34">
        <v>68099564.200000003</v>
      </c>
      <c r="G209" s="76"/>
      <c r="H209" s="47">
        <v>68099564.200499997</v>
      </c>
      <c r="I209" s="58" t="s">
        <v>485</v>
      </c>
      <c r="J209" s="37">
        <f t="shared" si="12"/>
        <v>-4.9999356269836426E-4</v>
      </c>
      <c r="K209" s="59">
        <f t="shared" si="13"/>
        <v>38843892.123705007</v>
      </c>
      <c r="L209" s="60"/>
      <c r="M209" s="41"/>
      <c r="N209" s="41"/>
      <c r="O209" s="41"/>
    </row>
    <row r="210" spans="1:15" s="7" customFormat="1" ht="18.75">
      <c r="A210" s="56"/>
      <c r="B210" s="57"/>
      <c r="C210" s="93" t="s">
        <v>488</v>
      </c>
      <c r="D210" s="32" t="s">
        <v>65</v>
      </c>
      <c r="E210" s="44"/>
      <c r="F210" s="34">
        <v>99684879.530000001</v>
      </c>
      <c r="G210" s="76"/>
      <c r="H210" s="47">
        <v>99684879.530000001</v>
      </c>
      <c r="I210" s="58"/>
      <c r="J210" s="37">
        <f t="shared" si="12"/>
        <v>0</v>
      </c>
      <c r="K210" s="59">
        <f t="shared" si="13"/>
        <v>38843892.123205014</v>
      </c>
      <c r="L210" s="60"/>
      <c r="M210" s="41"/>
      <c r="N210" s="41"/>
      <c r="O210" s="41"/>
    </row>
    <row r="211" spans="1:15" s="7" customFormat="1" ht="18.75">
      <c r="A211" s="56"/>
      <c r="B211" s="57"/>
      <c r="C211" s="41" t="s">
        <v>489</v>
      </c>
      <c r="D211" s="32" t="s">
        <v>71</v>
      </c>
      <c r="E211" s="44"/>
      <c r="F211" s="34">
        <v>56676005.549999997</v>
      </c>
      <c r="G211" s="76"/>
      <c r="H211" s="47">
        <v>56676005.549999997</v>
      </c>
      <c r="I211" s="58"/>
      <c r="J211" s="37">
        <f t="shared" si="12"/>
        <v>0</v>
      </c>
      <c r="K211" s="59">
        <f t="shared" si="13"/>
        <v>38843892.123205014</v>
      </c>
      <c r="L211" s="60"/>
      <c r="M211" s="41"/>
      <c r="N211" s="41"/>
      <c r="O211" s="41"/>
    </row>
    <row r="212" spans="1:15" s="7" customFormat="1" ht="18.75">
      <c r="A212" s="56"/>
      <c r="B212" s="57"/>
      <c r="C212" s="41" t="s">
        <v>490</v>
      </c>
      <c r="D212" s="32" t="s">
        <v>26</v>
      </c>
      <c r="E212" s="44"/>
      <c r="F212" s="34">
        <v>172047624.81</v>
      </c>
      <c r="G212" s="76"/>
      <c r="H212" s="47">
        <v>172047624.81246898</v>
      </c>
      <c r="I212" s="58"/>
      <c r="J212" s="37">
        <f t="shared" si="12"/>
        <v>-2.4689733982086182E-3</v>
      </c>
      <c r="K212" s="59">
        <f t="shared" si="13"/>
        <v>38843892.123205014</v>
      </c>
      <c r="L212" s="60"/>
      <c r="M212" s="41"/>
      <c r="N212" s="41"/>
      <c r="O212" s="41"/>
    </row>
    <row r="213" spans="1:15" s="7" customFormat="1" ht="18.75">
      <c r="A213" s="56"/>
      <c r="B213" s="57"/>
      <c r="C213" s="41" t="s">
        <v>491</v>
      </c>
      <c r="D213" s="32" t="s">
        <v>223</v>
      </c>
      <c r="E213" s="44"/>
      <c r="F213" s="34">
        <v>147178232.72999999</v>
      </c>
      <c r="G213" s="76"/>
      <c r="H213" s="47">
        <v>147178232.72808599</v>
      </c>
      <c r="I213" s="58"/>
      <c r="J213" s="37">
        <f t="shared" si="12"/>
        <v>1.9139945507049561E-3</v>
      </c>
      <c r="K213" s="59">
        <f t="shared" si="13"/>
        <v>38843892.12073604</v>
      </c>
      <c r="L213" s="60"/>
      <c r="M213" s="41"/>
      <c r="N213" s="41"/>
      <c r="O213" s="41"/>
    </row>
    <row r="214" spans="1:15" s="7" customFormat="1" ht="18.75">
      <c r="A214" s="56"/>
      <c r="B214" s="57"/>
      <c r="C214" s="41" t="s">
        <v>492</v>
      </c>
      <c r="D214" s="32" t="s">
        <v>367</v>
      </c>
      <c r="E214" s="44"/>
      <c r="F214" s="34">
        <v>184052391.5</v>
      </c>
      <c r="G214" s="76"/>
      <c r="H214" s="47">
        <v>184052391.5</v>
      </c>
      <c r="I214" s="58" t="s">
        <v>493</v>
      </c>
      <c r="J214" s="37">
        <f t="shared" si="12"/>
        <v>0</v>
      </c>
      <c r="K214" s="59">
        <f t="shared" si="13"/>
        <v>38843892.122650035</v>
      </c>
      <c r="L214" s="60"/>
      <c r="M214" s="41"/>
      <c r="N214" s="41"/>
      <c r="O214" s="41"/>
    </row>
    <row r="215" spans="1:15" s="7" customFormat="1" ht="18.75">
      <c r="A215" s="56"/>
      <c r="B215" s="57"/>
      <c r="C215" s="41" t="s">
        <v>494</v>
      </c>
      <c r="D215" s="32" t="s">
        <v>368</v>
      </c>
      <c r="E215" s="44"/>
      <c r="F215" s="94">
        <v>166621777.56999999</v>
      </c>
      <c r="G215" s="76" t="s">
        <v>495</v>
      </c>
      <c r="H215" s="47">
        <v>195109917.37</v>
      </c>
      <c r="I215" s="58" t="s">
        <v>496</v>
      </c>
      <c r="J215" s="37">
        <f t="shared" si="12"/>
        <v>-28488139.800000012</v>
      </c>
      <c r="K215" s="59">
        <f t="shared" si="13"/>
        <v>38843892.122650035</v>
      </c>
      <c r="L215" s="60"/>
      <c r="M215" s="41"/>
      <c r="N215" s="41"/>
      <c r="O215" s="41"/>
    </row>
    <row r="216" spans="1:15" s="7" customFormat="1" ht="18.75">
      <c r="A216" s="56"/>
      <c r="B216" s="57"/>
      <c r="C216" s="29" t="s">
        <v>497</v>
      </c>
      <c r="D216" s="32" t="s">
        <v>370</v>
      </c>
      <c r="E216" s="44"/>
      <c r="F216" s="95">
        <v>171479060.25</v>
      </c>
      <c r="G216" s="96">
        <v>42993</v>
      </c>
      <c r="H216" s="47">
        <v>171479060.2455</v>
      </c>
      <c r="I216" s="97"/>
      <c r="J216" s="37">
        <f t="shared" si="12"/>
        <v>4.5000016689300537E-3</v>
      </c>
      <c r="K216" s="59">
        <f t="shared" si="13"/>
        <v>10355752.322650023</v>
      </c>
      <c r="L216" s="60"/>
      <c r="M216" s="41"/>
      <c r="N216" s="41"/>
      <c r="O216" s="41"/>
    </row>
    <row r="217" spans="1:15" s="7" customFormat="1" ht="18.75">
      <c r="A217" s="56"/>
      <c r="B217" s="57"/>
      <c r="C217" s="29" t="s">
        <v>498</v>
      </c>
      <c r="D217" s="32" t="s">
        <v>371</v>
      </c>
      <c r="E217" s="44"/>
      <c r="F217" s="95">
        <v>132788598.81</v>
      </c>
      <c r="G217" s="98">
        <v>42988</v>
      </c>
      <c r="H217" s="47">
        <v>132788598.81</v>
      </c>
      <c r="I217" s="96">
        <v>43257</v>
      </c>
      <c r="J217" s="37">
        <f t="shared" si="12"/>
        <v>0</v>
      </c>
      <c r="K217" s="59">
        <f t="shared" si="13"/>
        <v>10355752.327150024</v>
      </c>
      <c r="L217" s="60"/>
      <c r="M217" s="41"/>
      <c r="N217" s="41"/>
      <c r="O217" s="41"/>
    </row>
    <row r="218" spans="1:15" s="7" customFormat="1" ht="18.75">
      <c r="A218" s="56"/>
      <c r="B218" s="57"/>
      <c r="C218" s="99" t="s">
        <v>499</v>
      </c>
      <c r="D218" s="32" t="s">
        <v>372</v>
      </c>
      <c r="E218" s="44"/>
      <c r="F218" s="95">
        <v>104146720.86</v>
      </c>
      <c r="G218" s="98"/>
      <c r="H218" s="47">
        <v>104146720.86</v>
      </c>
      <c r="I218" s="96"/>
      <c r="J218" s="37">
        <f t="shared" si="12"/>
        <v>0</v>
      </c>
      <c r="K218" s="59">
        <f t="shared" si="13"/>
        <v>10355752.327150024</v>
      </c>
      <c r="L218" s="60"/>
      <c r="M218" s="41"/>
      <c r="N218" s="41"/>
      <c r="O218" s="41"/>
    </row>
    <row r="219" spans="1:15" s="7" customFormat="1" ht="18.75">
      <c r="A219" s="56"/>
      <c r="B219" s="57"/>
      <c r="C219" s="29" t="s">
        <v>500</v>
      </c>
      <c r="D219" s="32" t="s">
        <v>373</v>
      </c>
      <c r="E219" s="44"/>
      <c r="F219" s="95">
        <v>189656430.61000001</v>
      </c>
      <c r="G219" s="98">
        <v>42867</v>
      </c>
      <c r="H219" s="47">
        <v>189656430.61000001</v>
      </c>
      <c r="I219" s="96"/>
      <c r="J219" s="37">
        <f t="shared" si="12"/>
        <v>0</v>
      </c>
      <c r="K219" s="59">
        <f t="shared" si="13"/>
        <v>10355752.327150024</v>
      </c>
      <c r="L219" s="60"/>
      <c r="M219" s="41"/>
      <c r="N219" s="41"/>
      <c r="O219" s="41"/>
    </row>
    <row r="220" spans="1:15" s="7" customFormat="1" ht="18.75">
      <c r="A220" s="56"/>
      <c r="B220" s="57"/>
      <c r="C220" s="29" t="s">
        <v>501</v>
      </c>
      <c r="D220" s="32" t="s">
        <v>92</v>
      </c>
      <c r="E220" s="44"/>
      <c r="F220" s="95">
        <v>166063283.71000001</v>
      </c>
      <c r="G220" s="98" t="s">
        <v>502</v>
      </c>
      <c r="H220" s="47">
        <v>166063283.71000001</v>
      </c>
      <c r="I220" s="58" t="s">
        <v>503</v>
      </c>
      <c r="J220" s="37">
        <f t="shared" si="12"/>
        <v>0</v>
      </c>
      <c r="K220" s="59">
        <f t="shared" si="13"/>
        <v>10355752.327150024</v>
      </c>
      <c r="L220" s="60"/>
      <c r="M220" s="41"/>
      <c r="N220" s="41"/>
      <c r="O220" s="41"/>
    </row>
    <row r="221" spans="1:15" s="7" customFormat="1" ht="18.75">
      <c r="A221" s="56"/>
      <c r="B221" s="57"/>
      <c r="C221" s="29" t="s">
        <v>504</v>
      </c>
      <c r="D221" s="32" t="s">
        <v>63</v>
      </c>
      <c r="E221" s="44"/>
      <c r="F221" s="95">
        <v>162052723.90000001</v>
      </c>
      <c r="G221" s="98">
        <v>43375</v>
      </c>
      <c r="H221" s="100">
        <v>162052723.90000001</v>
      </c>
      <c r="I221" s="58" t="s">
        <v>505</v>
      </c>
      <c r="J221" s="37">
        <f t="shared" si="12"/>
        <v>0</v>
      </c>
      <c r="K221" s="59">
        <f t="shared" si="13"/>
        <v>10355752.327150024</v>
      </c>
      <c r="L221" s="60"/>
      <c r="M221" s="41"/>
      <c r="N221" s="41"/>
      <c r="O221" s="41"/>
    </row>
    <row r="222" spans="1:15" s="7" customFormat="1" ht="18.75">
      <c r="A222" s="56"/>
      <c r="B222" s="57"/>
      <c r="C222" s="29" t="s">
        <v>506</v>
      </c>
      <c r="D222" s="32" t="s">
        <v>374</v>
      </c>
      <c r="E222" s="44"/>
      <c r="F222" s="95">
        <v>177983258.69</v>
      </c>
      <c r="G222" s="98">
        <v>43376</v>
      </c>
      <c r="H222" s="47">
        <v>177983258.69</v>
      </c>
      <c r="I222" s="58" t="s">
        <v>507</v>
      </c>
      <c r="J222" s="37">
        <f t="shared" si="12"/>
        <v>0</v>
      </c>
      <c r="K222" s="59">
        <f t="shared" si="13"/>
        <v>10355752.327150024</v>
      </c>
      <c r="L222" s="60"/>
      <c r="M222" s="41"/>
      <c r="N222" s="41"/>
      <c r="O222" s="41"/>
    </row>
    <row r="223" spans="1:15" s="7" customFormat="1" ht="18.75">
      <c r="A223" s="56"/>
      <c r="B223" s="57"/>
      <c r="C223" s="29" t="s">
        <v>508</v>
      </c>
      <c r="D223" s="32" t="s">
        <v>376</v>
      </c>
      <c r="E223" s="44"/>
      <c r="F223" s="95">
        <v>174397674.66</v>
      </c>
      <c r="G223" s="75" t="s">
        <v>509</v>
      </c>
      <c r="H223" s="47">
        <v>174397674.66</v>
      </c>
      <c r="I223" s="58" t="s">
        <v>507</v>
      </c>
      <c r="J223" s="37">
        <f t="shared" si="12"/>
        <v>0</v>
      </c>
      <c r="K223" s="59">
        <f t="shared" si="13"/>
        <v>10355752.327150024</v>
      </c>
      <c r="L223" s="60"/>
      <c r="M223" s="41"/>
      <c r="N223" s="41"/>
      <c r="O223" s="41"/>
    </row>
    <row r="224" spans="1:15" s="7" customFormat="1" ht="18.75">
      <c r="A224" s="56"/>
      <c r="B224" s="57"/>
      <c r="C224" s="29" t="s">
        <v>231</v>
      </c>
      <c r="D224" s="32" t="s">
        <v>54</v>
      </c>
      <c r="E224" s="44"/>
      <c r="F224" s="95">
        <v>196100851.45436099</v>
      </c>
      <c r="G224" s="75" t="s">
        <v>510</v>
      </c>
      <c r="H224" s="47">
        <v>196100851.44999999</v>
      </c>
      <c r="I224" s="96" t="s">
        <v>511</v>
      </c>
      <c r="J224" s="37">
        <f t="shared" si="12"/>
        <v>4.3610036373138428E-3</v>
      </c>
      <c r="K224" s="59">
        <f t="shared" si="13"/>
        <v>10355752.327150024</v>
      </c>
      <c r="L224" s="60"/>
      <c r="M224" s="41"/>
      <c r="N224" s="41"/>
      <c r="O224" s="41"/>
    </row>
    <row r="225" spans="1:15" s="7" customFormat="1" ht="18.75">
      <c r="A225" s="56"/>
      <c r="B225" s="57"/>
      <c r="C225" s="31" t="s">
        <v>234</v>
      </c>
      <c r="D225" s="32" t="s">
        <v>512</v>
      </c>
      <c r="E225" s="44"/>
      <c r="F225" s="101">
        <v>173106435.15000001</v>
      </c>
      <c r="G225" s="75" t="s">
        <v>513</v>
      </c>
      <c r="H225" s="47">
        <v>128000000</v>
      </c>
      <c r="I225" s="58" t="s">
        <v>511</v>
      </c>
      <c r="J225" s="37">
        <f t="shared" si="12"/>
        <v>45106435.150000006</v>
      </c>
      <c r="K225" s="59">
        <f t="shared" si="13"/>
        <v>10355752.331511028</v>
      </c>
      <c r="L225" s="60"/>
      <c r="M225" s="41"/>
      <c r="N225" s="41"/>
      <c r="O225" s="41"/>
    </row>
    <row r="226" spans="1:15" s="7" customFormat="1" ht="18.75">
      <c r="A226" s="56"/>
      <c r="B226" s="57"/>
      <c r="C226" s="31" t="s">
        <v>514</v>
      </c>
      <c r="D226" s="32" t="s">
        <v>381</v>
      </c>
      <c r="E226" s="44"/>
      <c r="F226" s="95">
        <v>180265462.74254701</v>
      </c>
      <c r="G226" s="75" t="s">
        <v>515</v>
      </c>
      <c r="H226" s="47">
        <v>173106435.15000001</v>
      </c>
      <c r="I226" s="58" t="s">
        <v>511</v>
      </c>
      <c r="J226" s="37">
        <f t="shared" si="12"/>
        <v>7159027.5925469995</v>
      </c>
      <c r="K226" s="59">
        <f t="shared" si="13"/>
        <v>55462187.481511034</v>
      </c>
      <c r="L226" s="60"/>
      <c r="M226" s="41"/>
      <c r="N226" s="41"/>
      <c r="O226" s="41"/>
    </row>
    <row r="227" spans="1:15" s="7" customFormat="1" ht="18.75">
      <c r="A227" s="56"/>
      <c r="B227" s="57"/>
      <c r="C227" s="102" t="s">
        <v>238</v>
      </c>
      <c r="D227" s="32" t="s">
        <v>383</v>
      </c>
      <c r="E227" s="44"/>
      <c r="F227" s="95">
        <v>169113101.33634004</v>
      </c>
      <c r="G227" s="75" t="s">
        <v>516</v>
      </c>
      <c r="H227" s="100">
        <v>169113101.34</v>
      </c>
      <c r="I227" s="97" t="s">
        <v>245</v>
      </c>
      <c r="J227" s="37">
        <f t="shared" si="12"/>
        <v>-3.6599636077880859E-3</v>
      </c>
      <c r="K227" s="59">
        <f t="shared" si="13"/>
        <v>62621215.074058034</v>
      </c>
      <c r="L227" s="60"/>
      <c r="M227" s="41"/>
      <c r="N227" s="41"/>
      <c r="O227" s="41"/>
    </row>
    <row r="228" spans="1:15" s="7" customFormat="1" ht="18.75">
      <c r="A228" s="56"/>
      <c r="B228" s="57"/>
      <c r="C228" s="102" t="s">
        <v>517</v>
      </c>
      <c r="D228" s="32" t="s">
        <v>385</v>
      </c>
      <c r="E228" s="44"/>
      <c r="F228" s="95">
        <v>97295243.113341004</v>
      </c>
      <c r="G228" s="75" t="s">
        <v>318</v>
      </c>
      <c r="H228" s="47">
        <v>52265462.719999999</v>
      </c>
      <c r="I228" s="58" t="s">
        <v>518</v>
      </c>
      <c r="J228" s="37">
        <f t="shared" si="12"/>
        <v>45029780.393341005</v>
      </c>
      <c r="K228" s="59">
        <f t="shared" si="13"/>
        <v>62621215.07039807</v>
      </c>
      <c r="L228" s="60"/>
      <c r="M228" s="41"/>
      <c r="N228" s="41"/>
      <c r="O228" s="41"/>
    </row>
    <row r="229" spans="1:15" s="7" customFormat="1" ht="18.75">
      <c r="A229" s="56"/>
      <c r="B229" s="57"/>
      <c r="C229" s="102" t="s">
        <v>243</v>
      </c>
      <c r="D229" s="32" t="s">
        <v>388</v>
      </c>
      <c r="E229" s="44"/>
      <c r="F229" s="95">
        <v>135013019.24594402</v>
      </c>
      <c r="G229" s="75"/>
      <c r="H229" s="47">
        <v>60000000</v>
      </c>
      <c r="I229" s="76" t="s">
        <v>519</v>
      </c>
      <c r="J229" s="37">
        <f t="shared" si="12"/>
        <v>75013019.245944023</v>
      </c>
      <c r="K229" s="59">
        <f t="shared" si="13"/>
        <v>107650995.46373907</v>
      </c>
      <c r="L229" s="60"/>
      <c r="M229" s="41"/>
      <c r="N229" s="41"/>
      <c r="O229" s="41"/>
    </row>
    <row r="230" spans="1:15" s="7" customFormat="1" ht="18.75">
      <c r="A230" s="56"/>
      <c r="B230" s="57"/>
      <c r="C230" s="102" t="s">
        <v>246</v>
      </c>
      <c r="D230" s="103" t="s">
        <v>39</v>
      </c>
      <c r="E230" s="44"/>
      <c r="F230" s="104">
        <v>178833283.44747603</v>
      </c>
      <c r="G230" s="105" t="s">
        <v>520</v>
      </c>
      <c r="H230" s="47">
        <v>178833283.44</v>
      </c>
      <c r="I230" s="76" t="s">
        <v>521</v>
      </c>
      <c r="J230" s="37">
        <f t="shared" si="12"/>
        <v>7.4760317802429199E-3</v>
      </c>
      <c r="K230" s="59">
        <f t="shared" si="13"/>
        <v>182664014.70968309</v>
      </c>
      <c r="L230" s="60"/>
      <c r="M230" s="41"/>
      <c r="N230" s="41"/>
      <c r="O230" s="41"/>
    </row>
    <row r="231" spans="1:15" s="7" customFormat="1" ht="18.75">
      <c r="A231" s="56"/>
      <c r="B231" s="57"/>
      <c r="C231" s="102" t="s">
        <v>522</v>
      </c>
      <c r="D231" s="103" t="s">
        <v>390</v>
      </c>
      <c r="E231" s="44"/>
      <c r="F231" s="104">
        <v>221397214.13113505</v>
      </c>
      <c r="G231" s="105" t="s">
        <v>523</v>
      </c>
      <c r="H231" s="47">
        <v>232308262.35000002</v>
      </c>
      <c r="I231" s="76" t="s">
        <v>524</v>
      </c>
      <c r="J231" s="37">
        <f t="shared" si="12"/>
        <v>-10911048.218864977</v>
      </c>
      <c r="K231" s="59">
        <f t="shared" si="13"/>
        <v>182664014.71715912</v>
      </c>
      <c r="L231" s="60"/>
      <c r="M231" s="41"/>
      <c r="N231" s="41"/>
      <c r="O231" s="41"/>
    </row>
    <row r="232" spans="1:15" s="7" customFormat="1" ht="18.75">
      <c r="A232" s="56"/>
      <c r="B232" s="57"/>
      <c r="C232" s="102" t="s">
        <v>250</v>
      </c>
      <c r="D232" s="103" t="s">
        <v>39</v>
      </c>
      <c r="E232" s="44"/>
      <c r="F232" s="104">
        <v>189358407.94</v>
      </c>
      <c r="G232" s="105" t="s">
        <v>525</v>
      </c>
      <c r="H232" s="47">
        <v>189358407.94</v>
      </c>
      <c r="I232" s="76" t="s">
        <v>256</v>
      </c>
      <c r="J232" s="37">
        <f t="shared" si="12"/>
        <v>0</v>
      </c>
      <c r="K232" s="59">
        <f t="shared" si="13"/>
        <v>171752966.49829414</v>
      </c>
      <c r="L232" s="60"/>
      <c r="M232" s="41"/>
      <c r="N232" s="41"/>
      <c r="O232" s="41"/>
    </row>
    <row r="233" spans="1:15" s="7" customFormat="1" ht="18.75">
      <c r="A233" s="56"/>
      <c r="B233" s="57"/>
      <c r="C233" s="62" t="s">
        <v>139</v>
      </c>
      <c r="D233" s="103" t="s">
        <v>390</v>
      </c>
      <c r="E233" s="44"/>
      <c r="F233" s="104">
        <v>184948993.97</v>
      </c>
      <c r="G233" s="105" t="s">
        <v>526</v>
      </c>
      <c r="H233" s="100">
        <v>184948993.97</v>
      </c>
      <c r="I233" s="76" t="s">
        <v>365</v>
      </c>
      <c r="J233" s="37">
        <f t="shared" si="12"/>
        <v>0</v>
      </c>
      <c r="K233" s="59">
        <f t="shared" si="13"/>
        <v>171752966.49829414</v>
      </c>
      <c r="L233" s="60"/>
      <c r="M233" s="41"/>
      <c r="N233" s="41"/>
      <c r="O233" s="41"/>
    </row>
    <row r="234" spans="1:15" s="7" customFormat="1" ht="18.75">
      <c r="A234" s="56"/>
      <c r="B234" s="57"/>
      <c r="C234" s="62" t="s">
        <v>142</v>
      </c>
      <c r="D234" s="103" t="s">
        <v>392</v>
      </c>
      <c r="E234" s="44"/>
      <c r="F234" s="104">
        <v>210859239.743397</v>
      </c>
      <c r="G234" s="105" t="s">
        <v>364</v>
      </c>
      <c r="H234" s="47">
        <v>210859239.75</v>
      </c>
      <c r="I234" s="106" t="s">
        <v>261</v>
      </c>
      <c r="J234" s="37">
        <f t="shared" si="12"/>
        <v>-6.6030025482177734E-3</v>
      </c>
      <c r="K234" s="59">
        <f t="shared" si="13"/>
        <v>171752966.49829414</v>
      </c>
      <c r="L234" s="60"/>
      <c r="M234" s="41"/>
      <c r="N234" s="41"/>
      <c r="O234" s="41"/>
    </row>
    <row r="235" spans="1:15" s="7" customFormat="1" ht="18.75">
      <c r="A235" s="56"/>
      <c r="B235" s="57"/>
      <c r="C235" s="62" t="s">
        <v>145</v>
      </c>
      <c r="D235" s="103" t="s">
        <v>393</v>
      </c>
      <c r="E235" s="44"/>
      <c r="F235" s="104">
        <v>185001375.69043201</v>
      </c>
      <c r="G235" s="105" t="s">
        <v>364</v>
      </c>
      <c r="H235" s="47">
        <v>185001375.69</v>
      </c>
      <c r="I235" s="106" t="s">
        <v>527</v>
      </c>
      <c r="J235" s="37">
        <f t="shared" si="12"/>
        <v>4.3201446533203125E-4</v>
      </c>
      <c r="K235" s="59">
        <f t="shared" si="13"/>
        <v>171752966.49169114</v>
      </c>
      <c r="L235" s="60"/>
      <c r="M235" s="41"/>
      <c r="N235" s="41"/>
      <c r="O235" s="41"/>
    </row>
    <row r="236" spans="1:15" s="7" customFormat="1" ht="18.75">
      <c r="A236" s="56"/>
      <c r="B236" s="57"/>
      <c r="C236" s="62" t="s">
        <v>148</v>
      </c>
      <c r="D236" s="103" t="s">
        <v>528</v>
      </c>
      <c r="E236" s="44"/>
      <c r="F236" s="104">
        <v>198365140.86253202</v>
      </c>
      <c r="G236" s="105" t="s">
        <v>366</v>
      </c>
      <c r="H236" s="47">
        <v>198365140.86000001</v>
      </c>
      <c r="I236" s="107" t="s">
        <v>527</v>
      </c>
      <c r="J236" s="37">
        <f t="shared" si="12"/>
        <v>2.5320053100585938E-3</v>
      </c>
      <c r="K236" s="59">
        <f t="shared" si="13"/>
        <v>171752966.49212316</v>
      </c>
      <c r="L236" s="60"/>
      <c r="M236" s="41"/>
      <c r="N236" s="41"/>
      <c r="O236" s="41"/>
    </row>
    <row r="237" spans="1:15" s="7" customFormat="1" ht="18.75">
      <c r="A237" s="56"/>
      <c r="B237" s="57"/>
      <c r="C237" s="62" t="s">
        <v>151</v>
      </c>
      <c r="D237" s="103" t="s">
        <v>529</v>
      </c>
      <c r="E237" s="44"/>
      <c r="F237" s="104">
        <v>219353769.59658751</v>
      </c>
      <c r="G237" s="105" t="s">
        <v>152</v>
      </c>
      <c r="H237" s="47">
        <v>219353769.59999999</v>
      </c>
      <c r="I237" s="108" t="s">
        <v>527</v>
      </c>
      <c r="J237" s="37">
        <f t="shared" si="12"/>
        <v>-3.4124851226806641E-3</v>
      </c>
      <c r="K237" s="59">
        <f t="shared" si="13"/>
        <v>171752966.49465516</v>
      </c>
      <c r="L237" s="60"/>
      <c r="M237" s="41"/>
      <c r="N237" s="41"/>
      <c r="O237" s="41"/>
    </row>
    <row r="238" spans="1:15" s="7" customFormat="1" ht="18.75">
      <c r="A238" s="56"/>
      <c r="B238" s="57"/>
      <c r="C238" s="62" t="s">
        <v>154</v>
      </c>
      <c r="D238" s="103" t="s">
        <v>530</v>
      </c>
      <c r="E238" s="44"/>
      <c r="F238" s="104">
        <v>197280020.50507799</v>
      </c>
      <c r="G238" s="105" t="s">
        <v>156</v>
      </c>
      <c r="H238" s="47">
        <v>197280020.50507799</v>
      </c>
      <c r="I238" s="76" t="s">
        <v>531</v>
      </c>
      <c r="J238" s="37">
        <f t="shared" si="12"/>
        <v>0</v>
      </c>
      <c r="K238" s="59">
        <f t="shared" si="13"/>
        <v>171752966.49124268</v>
      </c>
      <c r="L238" s="60"/>
      <c r="M238" s="41"/>
      <c r="N238" s="41"/>
      <c r="O238" s="41"/>
    </row>
    <row r="239" spans="1:15" s="7" customFormat="1" ht="18.75">
      <c r="A239" s="56"/>
      <c r="B239" s="57"/>
      <c r="C239" s="62" t="s">
        <v>158</v>
      </c>
      <c r="D239" s="103" t="s">
        <v>532</v>
      </c>
      <c r="E239" s="44"/>
      <c r="F239" s="104">
        <v>207002826.193905</v>
      </c>
      <c r="G239" s="105" t="s">
        <v>160</v>
      </c>
      <c r="H239" s="47">
        <v>207002826.193905</v>
      </c>
      <c r="I239" s="76" t="s">
        <v>533</v>
      </c>
      <c r="J239" s="37">
        <f t="shared" si="12"/>
        <v>0</v>
      </c>
      <c r="K239" s="59">
        <f t="shared" si="13"/>
        <v>171752966.49124268</v>
      </c>
      <c r="L239" s="55"/>
      <c r="M239" s="41"/>
      <c r="N239" s="41"/>
      <c r="O239" s="41"/>
    </row>
    <row r="240" spans="1:15" s="7" customFormat="1" ht="18.75">
      <c r="A240" s="56"/>
      <c r="B240" s="57"/>
      <c r="C240" s="62" t="s">
        <v>162</v>
      </c>
      <c r="D240" s="103" t="s">
        <v>534</v>
      </c>
      <c r="E240" s="44"/>
      <c r="F240" s="104">
        <v>201549137.66842052</v>
      </c>
      <c r="G240" s="105" t="s">
        <v>164</v>
      </c>
      <c r="H240" s="47">
        <f>120000000+35000000+5800000+40749137.66</f>
        <v>201549137.66</v>
      </c>
      <c r="I240" s="76" t="s">
        <v>272</v>
      </c>
      <c r="J240" s="37">
        <f t="shared" si="12"/>
        <v>8.4205269813537598E-3</v>
      </c>
      <c r="K240" s="59">
        <f t="shared" si="13"/>
        <v>171752966.49124268</v>
      </c>
      <c r="L240" s="55"/>
      <c r="M240" s="41"/>
      <c r="N240" s="41"/>
      <c r="O240" s="41"/>
    </row>
    <row r="241" spans="1:15" s="7" customFormat="1" ht="18.75">
      <c r="A241" s="56"/>
      <c r="B241" s="57"/>
      <c r="C241" s="62" t="s">
        <v>166</v>
      </c>
      <c r="D241" s="103" t="s">
        <v>535</v>
      </c>
      <c r="E241" s="44"/>
      <c r="F241" s="104">
        <v>185855224.815099</v>
      </c>
      <c r="G241" s="105" t="s">
        <v>168</v>
      </c>
      <c r="H241" s="47">
        <f>90000000+31752494+50000157.5+115855224.81</f>
        <v>287607876.31</v>
      </c>
      <c r="I241" s="76" t="s">
        <v>172</v>
      </c>
      <c r="J241" s="37">
        <f t="shared" si="12"/>
        <v>-101752651.494901</v>
      </c>
      <c r="K241" s="59">
        <f t="shared" si="13"/>
        <v>171752966.4996632</v>
      </c>
      <c r="L241" s="55"/>
      <c r="M241" s="41"/>
      <c r="N241" s="41"/>
      <c r="O241" s="41"/>
    </row>
    <row r="242" spans="1:15" s="7" customFormat="1" ht="18.75">
      <c r="A242" s="56"/>
      <c r="B242" s="57"/>
      <c r="C242" s="62" t="s">
        <v>170</v>
      </c>
      <c r="D242" s="103" t="s">
        <v>536</v>
      </c>
      <c r="E242" s="44"/>
      <c r="F242" s="104">
        <v>197977316.72944045</v>
      </c>
      <c r="G242" s="105" t="s">
        <v>172</v>
      </c>
      <c r="H242" s="47">
        <f>70000000+107977631.73+90000000</f>
        <v>267977631.73000002</v>
      </c>
      <c r="I242" s="76" t="s">
        <v>537</v>
      </c>
      <c r="J242" s="37">
        <f t="shared" si="12"/>
        <v>-70000315.000559568</v>
      </c>
      <c r="K242" s="59">
        <f t="shared" si="13"/>
        <v>70000315.004762203</v>
      </c>
      <c r="L242" s="60"/>
      <c r="M242" s="41"/>
      <c r="N242" s="41"/>
      <c r="O242" s="41"/>
    </row>
    <row r="243" spans="1:15" s="7" customFormat="1" ht="18.75">
      <c r="A243" s="56"/>
      <c r="B243" s="57"/>
      <c r="C243" s="62" t="s">
        <v>174</v>
      </c>
      <c r="D243" s="103" t="s">
        <v>538</v>
      </c>
      <c r="E243" s="44"/>
      <c r="F243" s="104">
        <v>221843864.429649</v>
      </c>
      <c r="G243" s="105" t="s">
        <v>176</v>
      </c>
      <c r="H243" s="47">
        <f>99999842.5+99999842.5+21844161.43</f>
        <v>221843846.43000001</v>
      </c>
      <c r="I243" s="76" t="s">
        <v>539</v>
      </c>
      <c r="J243" s="37">
        <v>0</v>
      </c>
      <c r="K243" s="59">
        <f t="shared" si="13"/>
        <v>4.2026340961456299E-3</v>
      </c>
      <c r="L243" s="60"/>
      <c r="M243" s="41"/>
      <c r="N243" s="41"/>
      <c r="O243" s="41"/>
    </row>
    <row r="244" spans="1:15" s="7" customFormat="1" ht="18.75">
      <c r="A244" s="56"/>
      <c r="B244" s="57"/>
      <c r="C244" s="62" t="s">
        <v>178</v>
      </c>
      <c r="D244" s="103" t="s">
        <v>43</v>
      </c>
      <c r="E244" s="44"/>
      <c r="F244" s="104">
        <v>203399284.79329196</v>
      </c>
      <c r="G244" s="105" t="s">
        <v>179</v>
      </c>
      <c r="H244" s="47">
        <f>3399607.3+99999838.75+99999838.74</f>
        <v>203399284.78999999</v>
      </c>
      <c r="I244" s="76" t="s">
        <v>329</v>
      </c>
      <c r="J244" s="37">
        <f t="shared" si="12"/>
        <v>3.2919645309448242E-3</v>
      </c>
      <c r="K244" s="59">
        <f t="shared" si="13"/>
        <v>4.2026340961456299E-3</v>
      </c>
      <c r="L244" s="60"/>
      <c r="M244" s="41"/>
      <c r="N244" s="41"/>
      <c r="O244" s="41"/>
    </row>
    <row r="245" spans="1:15" s="7" customFormat="1" ht="18.75">
      <c r="A245" s="56"/>
      <c r="B245" s="57"/>
      <c r="C245" s="62" t="s">
        <v>181</v>
      </c>
      <c r="D245" s="103" t="s">
        <v>540</v>
      </c>
      <c r="E245" s="44"/>
      <c r="F245" s="104">
        <v>191992839.90432</v>
      </c>
      <c r="G245" s="105" t="s">
        <v>183</v>
      </c>
      <c r="H245" s="47">
        <v>191992839.90432</v>
      </c>
      <c r="I245" s="76" t="s">
        <v>541</v>
      </c>
      <c r="J245" s="37">
        <f t="shared" si="12"/>
        <v>0</v>
      </c>
      <c r="K245" s="59">
        <f t="shared" si="13"/>
        <v>7.4945986270904541E-3</v>
      </c>
      <c r="L245" s="60"/>
      <c r="M245" s="41"/>
      <c r="N245" s="41"/>
      <c r="O245" s="41"/>
    </row>
    <row r="246" spans="1:15" s="7" customFormat="1" ht="18.75">
      <c r="A246" s="56"/>
      <c r="B246" s="57"/>
      <c r="C246" s="62" t="s">
        <v>185</v>
      </c>
      <c r="D246" s="103" t="s">
        <v>542</v>
      </c>
      <c r="E246" s="44"/>
      <c r="F246" s="104">
        <v>183401929.41059849</v>
      </c>
      <c r="G246" s="105" t="s">
        <v>187</v>
      </c>
      <c r="H246" s="47">
        <f>33402251.91+49999838.75+99999838.75</f>
        <v>183401929.41</v>
      </c>
      <c r="I246" s="75">
        <v>43957</v>
      </c>
      <c r="J246" s="37">
        <f t="shared" si="12"/>
        <v>5.9849023818969727E-4</v>
      </c>
      <c r="K246" s="59">
        <f t="shared" si="13"/>
        <v>7.4945986270904541E-3</v>
      </c>
      <c r="L246" s="60"/>
      <c r="M246" s="41"/>
      <c r="N246" s="41"/>
      <c r="O246" s="41"/>
    </row>
    <row r="247" spans="1:15" s="7" customFormat="1" ht="18.75">
      <c r="A247" s="56"/>
      <c r="B247" s="57"/>
      <c r="C247" s="62" t="s">
        <v>189</v>
      </c>
      <c r="D247" s="103" t="s">
        <v>543</v>
      </c>
      <c r="E247" s="44"/>
      <c r="F247" s="104">
        <v>185337594.8243137</v>
      </c>
      <c r="G247" s="105" t="s">
        <v>377</v>
      </c>
      <c r="H247" s="47">
        <v>185337594.81999999</v>
      </c>
      <c r="I247" s="75">
        <v>43989</v>
      </c>
      <c r="J247" s="37">
        <f t="shared" si="12"/>
        <v>4.3137073516845703E-3</v>
      </c>
      <c r="K247" s="59">
        <f t="shared" si="13"/>
        <v>8.0930888652801514E-3</v>
      </c>
      <c r="L247" s="60"/>
      <c r="M247" s="41"/>
      <c r="N247" s="41"/>
      <c r="O247" s="41"/>
    </row>
    <row r="248" spans="1:15" s="7" customFormat="1" ht="18.75">
      <c r="A248" s="56"/>
      <c r="B248" s="57"/>
      <c r="C248" s="62" t="s">
        <v>191</v>
      </c>
      <c r="D248" s="103" t="s">
        <v>544</v>
      </c>
      <c r="E248" s="44">
        <v>43986</v>
      </c>
      <c r="F248" s="104">
        <v>240816148.29196051</v>
      </c>
      <c r="G248" s="105" t="s">
        <v>193</v>
      </c>
      <c r="H248" s="47">
        <v>240816148.29196051</v>
      </c>
      <c r="I248" s="75">
        <v>43989</v>
      </c>
      <c r="J248" s="37">
        <f t="shared" si="12"/>
        <v>0</v>
      </c>
      <c r="K248" s="59">
        <f t="shared" si="13"/>
        <v>1.2406796216964722E-2</v>
      </c>
      <c r="L248" s="60"/>
      <c r="M248" s="41"/>
      <c r="N248" s="41"/>
      <c r="O248" s="41"/>
    </row>
    <row r="249" spans="1:15" s="7" customFormat="1" ht="18.75">
      <c r="A249" s="56"/>
      <c r="B249" s="57"/>
      <c r="C249" s="62" t="s">
        <v>195</v>
      </c>
      <c r="D249" s="103" t="s">
        <v>545</v>
      </c>
      <c r="E249" s="44" t="s">
        <v>197</v>
      </c>
      <c r="F249" s="104">
        <v>250685001.77463228</v>
      </c>
      <c r="G249" s="105" t="s">
        <v>198</v>
      </c>
      <c r="H249" s="47">
        <v>250685001.77463228</v>
      </c>
      <c r="I249" s="76" t="s">
        <v>546</v>
      </c>
      <c r="J249" s="37">
        <f t="shared" si="12"/>
        <v>0</v>
      </c>
      <c r="K249" s="59">
        <f t="shared" si="13"/>
        <v>1.2406796216964722E-2</v>
      </c>
      <c r="L249" s="60"/>
      <c r="M249" s="41"/>
      <c r="N249" s="41"/>
      <c r="O249" s="41"/>
    </row>
    <row r="250" spans="1:15" s="7" customFormat="1" ht="18.75">
      <c r="A250" s="56"/>
      <c r="B250" s="57"/>
      <c r="C250" s="62" t="s">
        <v>199</v>
      </c>
      <c r="D250" s="103" t="s">
        <v>38</v>
      </c>
      <c r="E250" s="44">
        <v>44049</v>
      </c>
      <c r="F250" s="104">
        <v>367138468.49841005</v>
      </c>
      <c r="G250" s="105">
        <v>43897</v>
      </c>
      <c r="H250" s="47">
        <f>200000000+167138468.5</f>
        <v>367138468.5</v>
      </c>
      <c r="I250" s="76" t="s">
        <v>547</v>
      </c>
      <c r="J250" s="37">
        <f t="shared" si="12"/>
        <v>-1.5899538993835449E-3</v>
      </c>
      <c r="K250" s="59">
        <f t="shared" si="13"/>
        <v>1.2406796216964722E-2</v>
      </c>
      <c r="L250" s="60"/>
      <c r="M250" s="41"/>
      <c r="N250" s="41"/>
      <c r="O250" s="41"/>
    </row>
    <row r="251" spans="1:15" s="7" customFormat="1" ht="18.75">
      <c r="A251" s="56"/>
      <c r="B251" s="57"/>
      <c r="C251" s="62" t="s">
        <v>201</v>
      </c>
      <c r="D251" s="103" t="s">
        <v>548</v>
      </c>
      <c r="E251" s="44" t="s">
        <v>449</v>
      </c>
      <c r="F251" s="104">
        <v>675661825.80140996</v>
      </c>
      <c r="G251" s="105">
        <v>43929</v>
      </c>
      <c r="H251" s="47">
        <f>200000000+175661825+160000000+140000000.81</f>
        <v>675661825.80999994</v>
      </c>
      <c r="I251" s="76" t="s">
        <v>549</v>
      </c>
      <c r="J251" s="37">
        <f t="shared" si="12"/>
        <v>-8.5899829864501953E-3</v>
      </c>
      <c r="K251" s="59">
        <f t="shared" si="13"/>
        <v>1.0816842317581177E-2</v>
      </c>
      <c r="L251" s="60"/>
      <c r="M251" s="41"/>
      <c r="N251" s="41"/>
      <c r="O251" s="41"/>
    </row>
    <row r="252" spans="1:15" s="7" customFormat="1" ht="18.75">
      <c r="A252" s="56"/>
      <c r="B252" s="57"/>
      <c r="C252" s="62" t="s">
        <v>203</v>
      </c>
      <c r="D252" s="103" t="s">
        <v>550</v>
      </c>
      <c r="E252" s="44">
        <v>44020</v>
      </c>
      <c r="F252" s="104">
        <v>790737239.60341597</v>
      </c>
      <c r="G252" s="105" t="s">
        <v>450</v>
      </c>
      <c r="H252" s="47">
        <f>200000000+90737239.6+200000000+200000000+100000000</f>
        <v>790737239.60000002</v>
      </c>
      <c r="I252" s="76" t="s">
        <v>288</v>
      </c>
      <c r="J252" s="37">
        <f t="shared" si="12"/>
        <v>3.4159421920776367E-3</v>
      </c>
      <c r="K252" s="59">
        <f t="shared" si="13"/>
        <v>2.2268593311309814E-3</v>
      </c>
      <c r="L252" s="60"/>
      <c r="M252" s="41"/>
      <c r="N252" s="41"/>
      <c r="O252" s="41"/>
    </row>
    <row r="253" spans="1:15" s="7" customFormat="1" ht="18.75">
      <c r="A253" s="56"/>
      <c r="B253" s="57"/>
      <c r="C253" s="62" t="s">
        <v>207</v>
      </c>
      <c r="D253" s="103" t="s">
        <v>113</v>
      </c>
      <c r="E253" s="44" t="s">
        <v>209</v>
      </c>
      <c r="F253" s="104">
        <v>721962011.95337999</v>
      </c>
      <c r="G253" s="105" t="s">
        <v>210</v>
      </c>
      <c r="H253" s="47">
        <f>200000000+200000000+200000000+121962011.95</f>
        <v>721962011.95000005</v>
      </c>
      <c r="I253" s="76" t="s">
        <v>291</v>
      </c>
      <c r="J253" s="37">
        <f t="shared" si="12"/>
        <v>3.3799409866333008E-3</v>
      </c>
      <c r="K253" s="59">
        <f t="shared" si="13"/>
        <v>5.6428015232086182E-3</v>
      </c>
      <c r="L253" s="60"/>
      <c r="M253" s="60"/>
      <c r="N253" s="41"/>
      <c r="O253" s="41"/>
    </row>
    <row r="254" spans="1:15" s="7" customFormat="1" ht="18.75">
      <c r="A254" s="56"/>
      <c r="B254" s="57"/>
      <c r="C254" s="62" t="s">
        <v>212</v>
      </c>
      <c r="D254" s="103" t="s">
        <v>229</v>
      </c>
      <c r="E254" s="44">
        <v>44084</v>
      </c>
      <c r="F254" s="104">
        <v>818203883.0021385</v>
      </c>
      <c r="G254" s="105" t="s">
        <v>213</v>
      </c>
      <c r="H254" s="47">
        <f>200000000+118203883+200000000+200000000+100000000</f>
        <v>818203883</v>
      </c>
      <c r="I254" s="76" t="s">
        <v>551</v>
      </c>
      <c r="J254" s="37">
        <f t="shared" si="12"/>
        <v>2.1384954452514648E-3</v>
      </c>
      <c r="K254" s="59">
        <f t="shared" si="13"/>
        <v>9.0227425098419189E-3</v>
      </c>
      <c r="L254" s="60"/>
      <c r="M254" s="60"/>
      <c r="N254" s="41"/>
      <c r="O254" s="41"/>
    </row>
    <row r="255" spans="1:15" s="7" customFormat="1" ht="18.75">
      <c r="A255" s="56"/>
      <c r="B255" s="57"/>
      <c r="C255" s="62" t="s">
        <v>214</v>
      </c>
      <c r="D255" s="103" t="s">
        <v>232</v>
      </c>
      <c r="E255" s="44">
        <v>43962</v>
      </c>
      <c r="F255" s="104">
        <v>848789660.45691144</v>
      </c>
      <c r="G255" s="105" t="s">
        <v>216</v>
      </c>
      <c r="H255" s="47">
        <f>200000000+200000000+48789660.46+200000000+200000000</f>
        <v>848789660.46000004</v>
      </c>
      <c r="I255" s="76" t="s">
        <v>552</v>
      </c>
      <c r="J255" s="37">
        <f>F255-H255</f>
        <v>-3.0885934829711914E-3</v>
      </c>
      <c r="K255" s="59">
        <f t="shared" si="13"/>
        <v>1.1161237955093384E-2</v>
      </c>
      <c r="L255" s="60"/>
      <c r="M255" s="60"/>
      <c r="N255" s="41"/>
      <c r="O255" s="41"/>
    </row>
    <row r="256" spans="1:15" s="7" customFormat="1" ht="18.75">
      <c r="A256" s="56"/>
      <c r="B256" s="57"/>
      <c r="C256" s="62" t="s">
        <v>218</v>
      </c>
      <c r="D256" s="103" t="s">
        <v>235</v>
      </c>
      <c r="E256" s="44">
        <v>44024</v>
      </c>
      <c r="F256" s="104">
        <v>809414186.5358237</v>
      </c>
      <c r="G256" s="105">
        <v>44531</v>
      </c>
      <c r="H256" s="47">
        <f>209414186.54+200000000+200000000+200000000</f>
        <v>809414186.53999996</v>
      </c>
      <c r="I256" s="76" t="s">
        <v>27</v>
      </c>
      <c r="J256" s="37">
        <f>F256-H256</f>
        <v>-4.1762590408325195E-3</v>
      </c>
      <c r="K256" s="59">
        <f t="shared" si="13"/>
        <v>8.0726444721221924E-3</v>
      </c>
      <c r="L256" s="60"/>
      <c r="M256" s="60"/>
      <c r="N256" s="41"/>
      <c r="O256" s="41"/>
    </row>
    <row r="257" spans="1:15" s="7" customFormat="1" ht="18.75">
      <c r="A257" s="56"/>
      <c r="B257" s="57"/>
      <c r="C257" s="62" t="s">
        <v>219</v>
      </c>
      <c r="D257" s="103" t="s">
        <v>237</v>
      </c>
      <c r="E257" s="44">
        <v>44409</v>
      </c>
      <c r="F257" s="104">
        <v>834442124.15817869</v>
      </c>
      <c r="G257" s="105" t="s">
        <v>220</v>
      </c>
      <c r="H257" s="47">
        <f>200000000+200000000+200000000+234442124.16</f>
        <v>834442124.15999997</v>
      </c>
      <c r="I257" s="76" t="s">
        <v>553</v>
      </c>
      <c r="J257" s="37">
        <f>F257-H257</f>
        <v>-1.8212795257568359E-3</v>
      </c>
      <c r="K257" s="59">
        <f t="shared" si="13"/>
        <v>3.8963854312896729E-3</v>
      </c>
      <c r="L257" s="60"/>
      <c r="M257" s="60"/>
      <c r="N257" s="41"/>
      <c r="O257" s="41"/>
    </row>
    <row r="258" spans="1:15" s="7" customFormat="1" ht="18.75">
      <c r="A258" s="56"/>
      <c r="B258" s="57"/>
      <c r="C258" s="62" t="s">
        <v>221</v>
      </c>
      <c r="D258" s="103" t="s">
        <v>33</v>
      </c>
      <c r="E258" s="44">
        <v>44471</v>
      </c>
      <c r="F258" s="104">
        <v>780400121.27234852</v>
      </c>
      <c r="G258" s="105" t="s">
        <v>27</v>
      </c>
      <c r="H258" s="47">
        <f>200000000+200000000+200000000+180400121.27</f>
        <v>780400121.26999998</v>
      </c>
      <c r="I258" s="3" t="s">
        <v>554</v>
      </c>
      <c r="J258" s="37">
        <f>F258-H258</f>
        <v>2.3485422134399414E-3</v>
      </c>
      <c r="K258" s="59">
        <f t="shared" si="13"/>
        <v>2.0751059055328369E-3</v>
      </c>
      <c r="L258" s="60"/>
      <c r="M258" s="60"/>
      <c r="N258" s="41"/>
      <c r="O258" s="41"/>
    </row>
    <row r="259" spans="1:15" s="7" customFormat="1" ht="18.75">
      <c r="A259" s="56"/>
      <c r="B259" s="57"/>
      <c r="C259" s="62" t="s">
        <v>222</v>
      </c>
      <c r="D259" s="103" t="s">
        <v>241</v>
      </c>
      <c r="E259" s="44">
        <v>44319</v>
      </c>
      <c r="F259" s="104">
        <v>736028451.89925981</v>
      </c>
      <c r="G259" s="105" t="s">
        <v>224</v>
      </c>
      <c r="H259" s="47"/>
      <c r="I259" s="76"/>
      <c r="J259" s="37">
        <f>F259-H259</f>
        <v>736028451.89925981</v>
      </c>
      <c r="K259" s="59">
        <f t="shared" si="13"/>
        <v>4.4236481189727783E-3</v>
      </c>
      <c r="L259" s="60"/>
      <c r="M259" s="60"/>
      <c r="N259" s="41"/>
      <c r="O259" s="41"/>
    </row>
    <row r="260" spans="1:15" s="7" customFormat="1" ht="18.75">
      <c r="A260" s="56"/>
      <c r="B260" s="57" t="s">
        <v>555</v>
      </c>
      <c r="C260" s="41"/>
      <c r="D260" s="32"/>
      <c r="E260" s="44"/>
      <c r="F260" s="34"/>
      <c r="G260" s="76"/>
      <c r="H260" s="54"/>
      <c r="I260" s="41"/>
      <c r="J260" s="37"/>
      <c r="K260" s="64">
        <f t="shared" ref="K260" si="14">K259+J259</f>
        <v>736028451.90368342</v>
      </c>
      <c r="L260" s="60"/>
      <c r="M260" s="41"/>
      <c r="N260" s="41"/>
      <c r="O260" s="41"/>
    </row>
    <row r="261" spans="1:15" s="7" customFormat="1" ht="18.75">
      <c r="A261" s="56"/>
      <c r="B261" s="57"/>
      <c r="C261" s="41"/>
      <c r="D261" s="32"/>
      <c r="E261" s="44"/>
      <c r="F261" s="34"/>
      <c r="G261" s="76"/>
      <c r="H261" s="54"/>
      <c r="I261" s="41"/>
      <c r="J261" s="37"/>
      <c r="K261" s="64"/>
      <c r="L261" s="60"/>
      <c r="M261" s="41"/>
      <c r="N261" s="41"/>
      <c r="O261" s="41"/>
    </row>
    <row r="262" spans="1:15" s="7" customFormat="1" ht="18.75">
      <c r="A262" s="81">
        <v>8</v>
      </c>
      <c r="B262" s="109" t="s">
        <v>34</v>
      </c>
      <c r="C262" s="29" t="s">
        <v>489</v>
      </c>
      <c r="D262" s="32" t="s">
        <v>80</v>
      </c>
      <c r="E262" s="44"/>
      <c r="F262" s="95">
        <v>663549.22</v>
      </c>
      <c r="G262" s="75" t="s">
        <v>556</v>
      </c>
      <c r="H262" s="36"/>
      <c r="I262" s="35"/>
      <c r="J262" s="110">
        <f t="shared" ref="J262:J305" si="15">F262-H262</f>
        <v>663549.22</v>
      </c>
      <c r="K262" s="64">
        <v>0</v>
      </c>
      <c r="L262" s="60"/>
      <c r="M262" s="41"/>
      <c r="N262" s="41"/>
      <c r="O262" s="41"/>
    </row>
    <row r="263" spans="1:15" s="7" customFormat="1" ht="18.75">
      <c r="A263" s="81"/>
      <c r="B263" s="57"/>
      <c r="C263" s="31" t="s">
        <v>557</v>
      </c>
      <c r="D263" s="32" t="s">
        <v>558</v>
      </c>
      <c r="E263" s="44"/>
      <c r="F263" s="34">
        <v>796268</v>
      </c>
      <c r="G263" s="35" t="s">
        <v>559</v>
      </c>
      <c r="H263" s="36"/>
      <c r="I263" s="35"/>
      <c r="J263" s="110">
        <f t="shared" si="15"/>
        <v>796268</v>
      </c>
      <c r="K263" s="59">
        <f>J262+K262</f>
        <v>663549.22</v>
      </c>
      <c r="L263" s="60"/>
      <c r="M263" s="41"/>
      <c r="N263" s="41"/>
      <c r="O263" s="41"/>
    </row>
    <row r="264" spans="1:15" s="7" customFormat="1" ht="18.75">
      <c r="A264" s="81"/>
      <c r="B264" s="57"/>
      <c r="C264" s="29" t="s">
        <v>560</v>
      </c>
      <c r="D264" s="32" t="s">
        <v>155</v>
      </c>
      <c r="E264" s="44"/>
      <c r="F264" s="95">
        <v>742593.53</v>
      </c>
      <c r="G264" s="75" t="s">
        <v>561</v>
      </c>
      <c r="H264" s="54"/>
      <c r="I264" s="35"/>
      <c r="J264" s="110">
        <f t="shared" si="15"/>
        <v>742593.53</v>
      </c>
      <c r="K264" s="59">
        <f t="shared" ref="K264:K311" si="16">J263+K263</f>
        <v>1459817.22</v>
      </c>
      <c r="L264" s="60"/>
      <c r="M264" s="41"/>
      <c r="N264" s="41"/>
      <c r="O264" s="41"/>
    </row>
    <row r="265" spans="1:15" s="7" customFormat="1" ht="18.75">
      <c r="A265" s="81"/>
      <c r="B265" s="57"/>
      <c r="C265" s="29" t="s">
        <v>562</v>
      </c>
      <c r="D265" s="32" t="s">
        <v>159</v>
      </c>
      <c r="E265" s="44"/>
      <c r="F265" s="95">
        <v>782196.25</v>
      </c>
      <c r="G265" s="96">
        <v>42922</v>
      </c>
      <c r="H265" s="36"/>
      <c r="I265" s="35"/>
      <c r="J265" s="110">
        <f t="shared" si="15"/>
        <v>782196.25</v>
      </c>
      <c r="K265" s="59">
        <f t="shared" si="16"/>
        <v>2202410.75</v>
      </c>
      <c r="L265" s="60"/>
      <c r="M265" s="41"/>
      <c r="N265" s="41"/>
      <c r="O265" s="41"/>
    </row>
    <row r="266" spans="1:15" s="7" customFormat="1" ht="18.75">
      <c r="A266" s="81"/>
      <c r="B266" s="57"/>
      <c r="C266" s="29" t="s">
        <v>494</v>
      </c>
      <c r="D266" s="32" t="s">
        <v>163</v>
      </c>
      <c r="E266" s="44"/>
      <c r="F266" s="95">
        <v>671632.49</v>
      </c>
      <c r="G266" s="96">
        <v>42959</v>
      </c>
      <c r="H266" s="36"/>
      <c r="I266" s="35"/>
      <c r="J266" s="110">
        <f t="shared" si="15"/>
        <v>671632.49</v>
      </c>
      <c r="K266" s="59">
        <f t="shared" si="16"/>
        <v>2984607</v>
      </c>
      <c r="L266" s="60"/>
      <c r="M266" s="41"/>
      <c r="N266" s="41"/>
      <c r="O266" s="41"/>
    </row>
    <row r="267" spans="1:15" s="7" customFormat="1" ht="18.75">
      <c r="A267" s="81"/>
      <c r="B267" s="57"/>
      <c r="C267" s="29" t="s">
        <v>497</v>
      </c>
      <c r="D267" s="32" t="s">
        <v>171</v>
      </c>
      <c r="E267" s="44"/>
      <c r="F267" s="95">
        <v>2762217.57</v>
      </c>
      <c r="G267" s="96">
        <v>42990</v>
      </c>
      <c r="H267" s="36">
        <v>4074600.77</v>
      </c>
      <c r="I267" s="35" t="s">
        <v>563</v>
      </c>
      <c r="J267" s="110">
        <f t="shared" si="15"/>
        <v>-1312383.2000000002</v>
      </c>
      <c r="K267" s="59">
        <f t="shared" si="16"/>
        <v>3656239.49</v>
      </c>
      <c r="L267" s="60"/>
      <c r="M267" s="41"/>
      <c r="N267" s="41"/>
      <c r="O267" s="41"/>
    </row>
    <row r="268" spans="1:15" s="7" customFormat="1" ht="18.75">
      <c r="A268" s="81"/>
      <c r="B268" s="57"/>
      <c r="C268" s="29" t="s">
        <v>498</v>
      </c>
      <c r="D268" s="32" t="s">
        <v>171</v>
      </c>
      <c r="E268" s="44"/>
      <c r="F268" s="95">
        <v>1989575.6799999999</v>
      </c>
      <c r="G268" s="96">
        <v>42988</v>
      </c>
      <c r="H268" s="54"/>
      <c r="I268" s="35"/>
      <c r="J268" s="110">
        <f t="shared" si="15"/>
        <v>1989575.6799999999</v>
      </c>
      <c r="K268" s="59">
        <f t="shared" si="16"/>
        <v>2343856.29</v>
      </c>
      <c r="L268" s="60"/>
      <c r="M268" s="41"/>
      <c r="N268" s="41"/>
      <c r="O268" s="41"/>
    </row>
    <row r="269" spans="1:15" s="7" customFormat="1" ht="18.75">
      <c r="A269" s="81"/>
      <c r="B269" s="57"/>
      <c r="C269" s="29" t="s">
        <v>564</v>
      </c>
      <c r="D269" s="32" t="s">
        <v>175</v>
      </c>
      <c r="E269" s="44"/>
      <c r="F269" s="95">
        <v>1825281.88</v>
      </c>
      <c r="G269" s="96">
        <v>43042</v>
      </c>
      <c r="H269" s="36"/>
      <c r="I269" s="35"/>
      <c r="J269" s="110">
        <f t="shared" si="15"/>
        <v>1825281.88</v>
      </c>
      <c r="K269" s="59">
        <f t="shared" si="16"/>
        <v>4333431.97</v>
      </c>
      <c r="L269" s="60"/>
      <c r="M269" s="41"/>
      <c r="N269" s="41"/>
      <c r="O269" s="41"/>
    </row>
    <row r="270" spans="1:15" s="7" customFormat="1" ht="18.75">
      <c r="A270" s="81"/>
      <c r="B270" s="57"/>
      <c r="C270" s="29" t="s">
        <v>500</v>
      </c>
      <c r="D270" s="32" t="s">
        <v>111</v>
      </c>
      <c r="E270" s="44"/>
      <c r="F270" s="95">
        <v>2364220.2400000002</v>
      </c>
      <c r="G270" s="96">
        <v>42837</v>
      </c>
      <c r="H270" s="36">
        <v>4216046.3099999996</v>
      </c>
      <c r="I270" s="35" t="s">
        <v>565</v>
      </c>
      <c r="J270" s="110">
        <f t="shared" si="15"/>
        <v>-1851826.0699999994</v>
      </c>
      <c r="K270" s="59">
        <f t="shared" si="16"/>
        <v>6158713.8499999996</v>
      </c>
      <c r="L270" s="60"/>
      <c r="M270" s="41"/>
      <c r="N270" s="41"/>
      <c r="O270" s="41"/>
    </row>
    <row r="271" spans="1:15" s="7" customFormat="1" ht="18.75">
      <c r="A271" s="81"/>
      <c r="B271" s="57"/>
      <c r="C271" s="29" t="s">
        <v>501</v>
      </c>
      <c r="D271" s="32" t="s">
        <v>182</v>
      </c>
      <c r="E271" s="44"/>
      <c r="F271" s="95">
        <v>2290901.71</v>
      </c>
      <c r="G271" s="96">
        <v>43405</v>
      </c>
      <c r="H271" s="36"/>
      <c r="I271" s="35"/>
      <c r="J271" s="110">
        <f t="shared" si="15"/>
        <v>2290901.71</v>
      </c>
      <c r="K271" s="59">
        <f t="shared" si="16"/>
        <v>4306887.78</v>
      </c>
      <c r="L271" s="60"/>
      <c r="M271" s="41"/>
      <c r="N271" s="41"/>
      <c r="O271" s="41"/>
    </row>
    <row r="272" spans="1:15" s="7" customFormat="1" ht="18.75">
      <c r="A272" s="81"/>
      <c r="B272" s="57"/>
      <c r="C272" s="29" t="s">
        <v>504</v>
      </c>
      <c r="D272" s="32" t="s">
        <v>186</v>
      </c>
      <c r="E272" s="44"/>
      <c r="F272" s="95">
        <v>2768623.13</v>
      </c>
      <c r="G272" s="75">
        <v>43222</v>
      </c>
      <c r="H272" s="36"/>
      <c r="I272" s="35"/>
      <c r="J272" s="110">
        <f t="shared" si="15"/>
        <v>2768623.13</v>
      </c>
      <c r="K272" s="59">
        <f t="shared" si="16"/>
        <v>6597789.4900000002</v>
      </c>
      <c r="L272" s="60"/>
      <c r="M272" s="41"/>
      <c r="N272" s="41"/>
      <c r="O272" s="41"/>
    </row>
    <row r="273" spans="1:15" s="7" customFormat="1" ht="18.75">
      <c r="A273" s="81"/>
      <c r="B273" s="57"/>
      <c r="C273" s="29" t="s">
        <v>506</v>
      </c>
      <c r="D273" s="32" t="s">
        <v>192</v>
      </c>
      <c r="E273" s="44"/>
      <c r="F273" s="95">
        <v>5390848.8600000003</v>
      </c>
      <c r="G273" s="75" t="s">
        <v>566</v>
      </c>
      <c r="H273" s="36">
        <v>5390848.8600000003</v>
      </c>
      <c r="I273" s="35" t="s">
        <v>567</v>
      </c>
      <c r="J273" s="110"/>
      <c r="K273" s="59">
        <f t="shared" si="16"/>
        <v>9366412.620000001</v>
      </c>
      <c r="L273" s="60"/>
      <c r="M273" s="41"/>
      <c r="N273" s="41"/>
      <c r="O273" s="41"/>
    </row>
    <row r="274" spans="1:15" s="7" customFormat="1" ht="18.75">
      <c r="A274" s="81"/>
      <c r="B274" s="109"/>
      <c r="C274" s="29" t="s">
        <v>508</v>
      </c>
      <c r="D274" s="32" t="s">
        <v>196</v>
      </c>
      <c r="E274" s="44"/>
      <c r="F274" s="95">
        <v>9998130.3900000006</v>
      </c>
      <c r="G274" s="75" t="s">
        <v>509</v>
      </c>
      <c r="H274" s="36">
        <v>9998130.3900000006</v>
      </c>
      <c r="I274" s="35" t="s">
        <v>568</v>
      </c>
      <c r="J274" s="110">
        <f t="shared" si="15"/>
        <v>0</v>
      </c>
      <c r="K274" s="59">
        <f t="shared" si="16"/>
        <v>9366412.620000001</v>
      </c>
      <c r="L274" s="60"/>
      <c r="M274" s="41"/>
      <c r="N274" s="41"/>
      <c r="O274" s="41"/>
    </row>
    <row r="275" spans="1:15" s="7" customFormat="1" ht="18.75">
      <c r="A275" s="81"/>
      <c r="B275" s="109"/>
      <c r="C275" s="29" t="s">
        <v>355</v>
      </c>
      <c r="D275" s="32" t="s">
        <v>41</v>
      </c>
      <c r="E275" s="44"/>
      <c r="F275" s="95">
        <v>15791594.136633001</v>
      </c>
      <c r="G275" s="75" t="s">
        <v>510</v>
      </c>
      <c r="H275" s="36"/>
      <c r="I275" s="35"/>
      <c r="J275" s="110">
        <f t="shared" si="15"/>
        <v>15791594.136633001</v>
      </c>
      <c r="K275" s="59">
        <f t="shared" si="16"/>
        <v>9366412.620000001</v>
      </c>
      <c r="L275" s="60"/>
      <c r="M275" s="41"/>
      <c r="N275" s="41"/>
      <c r="O275" s="41"/>
    </row>
    <row r="276" spans="1:15" s="7" customFormat="1" ht="18.75">
      <c r="A276" s="81"/>
      <c r="B276" s="109"/>
      <c r="C276" s="31" t="s">
        <v>234</v>
      </c>
      <c r="D276" s="32" t="s">
        <v>359</v>
      </c>
      <c r="E276" s="44"/>
      <c r="F276" s="95">
        <v>11716991.744640002</v>
      </c>
      <c r="G276" s="75" t="s">
        <v>569</v>
      </c>
      <c r="H276" s="36">
        <v>11238602.640000001</v>
      </c>
      <c r="I276" s="35" t="s">
        <v>570</v>
      </c>
      <c r="J276" s="110">
        <f t="shared" si="15"/>
        <v>478389.10464000143</v>
      </c>
      <c r="K276" s="59">
        <f t="shared" si="16"/>
        <v>25158006.756633002</v>
      </c>
      <c r="L276" s="60"/>
      <c r="M276" s="41"/>
      <c r="N276" s="41"/>
      <c r="O276" s="41"/>
    </row>
    <row r="277" spans="1:15" s="7" customFormat="1" ht="18.75">
      <c r="A277" s="81"/>
      <c r="B277" s="109"/>
      <c r="C277" s="31" t="s">
        <v>514</v>
      </c>
      <c r="D277" s="32" t="s">
        <v>202</v>
      </c>
      <c r="E277" s="44"/>
      <c r="F277" s="95">
        <v>20449179.832462501</v>
      </c>
      <c r="G277" s="75" t="s">
        <v>571</v>
      </c>
      <c r="H277" s="36">
        <v>0</v>
      </c>
      <c r="I277" s="35"/>
      <c r="J277" s="110">
        <f t="shared" si="15"/>
        <v>20449179.832462501</v>
      </c>
      <c r="K277" s="59">
        <f t="shared" si="16"/>
        <v>25636395.861273006</v>
      </c>
      <c r="L277" s="60"/>
      <c r="M277" s="41"/>
      <c r="N277" s="41"/>
      <c r="O277" s="41"/>
    </row>
    <row r="278" spans="1:15" s="7" customFormat="1" ht="18.75">
      <c r="A278" s="81"/>
      <c r="B278" s="109"/>
      <c r="C278" s="102" t="s">
        <v>238</v>
      </c>
      <c r="D278" s="32" t="s">
        <v>204</v>
      </c>
      <c r="E278" s="44"/>
      <c r="F278" s="95">
        <v>16298586.635183997</v>
      </c>
      <c r="G278" s="75" t="s">
        <v>572</v>
      </c>
      <c r="H278" s="36">
        <v>5000000</v>
      </c>
      <c r="I278" s="35" t="s">
        <v>573</v>
      </c>
      <c r="J278" s="110">
        <f t="shared" si="15"/>
        <v>11298586.635183997</v>
      </c>
      <c r="K278" s="59">
        <f t="shared" si="16"/>
        <v>46085575.69373551</v>
      </c>
      <c r="L278" s="60"/>
      <c r="M278" s="41"/>
      <c r="N278" s="41"/>
      <c r="O278" s="41"/>
    </row>
    <row r="279" spans="1:15" s="7" customFormat="1" ht="18.75">
      <c r="A279" s="81"/>
      <c r="B279" s="109"/>
      <c r="C279" s="111" t="s">
        <v>240</v>
      </c>
      <c r="D279" s="32" t="s">
        <v>208</v>
      </c>
      <c r="E279" s="44"/>
      <c r="F279" s="95">
        <v>11849523.691645499</v>
      </c>
      <c r="G279" s="75" t="s">
        <v>572</v>
      </c>
      <c r="H279" s="36">
        <v>60000157.5</v>
      </c>
      <c r="I279" s="35" t="s">
        <v>574</v>
      </c>
      <c r="J279" s="110">
        <f t="shared" si="15"/>
        <v>-48150633.808354497</v>
      </c>
      <c r="K279" s="59">
        <f t="shared" si="16"/>
        <v>57384162.328919508</v>
      </c>
      <c r="L279" s="60"/>
      <c r="M279" s="41"/>
      <c r="N279" s="41"/>
      <c r="O279" s="41"/>
    </row>
    <row r="280" spans="1:15" s="7" customFormat="1" ht="18.75">
      <c r="A280" s="81"/>
      <c r="B280" s="109"/>
      <c r="C280" s="102" t="s">
        <v>243</v>
      </c>
      <c r="D280" s="32" t="s">
        <v>65</v>
      </c>
      <c r="E280" s="44"/>
      <c r="F280" s="95">
        <v>13474911.442103999</v>
      </c>
      <c r="G280" s="75" t="s">
        <v>575</v>
      </c>
      <c r="H280" s="112"/>
      <c r="I280" s="113"/>
      <c r="J280" s="110">
        <f t="shared" si="15"/>
        <v>13474911.442103999</v>
      </c>
      <c r="K280" s="59">
        <f t="shared" si="16"/>
        <v>9233528.5205650106</v>
      </c>
      <c r="L280" s="60"/>
      <c r="M280" s="41"/>
      <c r="N280" s="41"/>
      <c r="O280" s="41"/>
    </row>
    <row r="281" spans="1:15" s="7" customFormat="1" ht="18.75">
      <c r="A281" s="81"/>
      <c r="B281" s="109"/>
      <c r="C281" s="102" t="s">
        <v>246</v>
      </c>
      <c r="D281" s="103" t="s">
        <v>71</v>
      </c>
      <c r="E281" s="44"/>
      <c r="F281" s="104">
        <v>18908112.473743498</v>
      </c>
      <c r="G281" s="105" t="s">
        <v>576</v>
      </c>
      <c r="H281" s="36"/>
      <c r="I281" s="35"/>
      <c r="J281" s="110">
        <f t="shared" si="15"/>
        <v>18908112.473743498</v>
      </c>
      <c r="K281" s="59">
        <f t="shared" si="16"/>
        <v>22708439.962669007</v>
      </c>
      <c r="L281" s="60"/>
      <c r="M281" s="41"/>
      <c r="N281" s="41"/>
      <c r="O281" s="41"/>
    </row>
    <row r="282" spans="1:15" s="7" customFormat="1" ht="18.75">
      <c r="A282" s="81"/>
      <c r="B282" s="109"/>
      <c r="C282" s="111" t="s">
        <v>248</v>
      </c>
      <c r="D282" s="103" t="s">
        <v>26</v>
      </c>
      <c r="E282" s="44"/>
      <c r="F282" s="104">
        <v>17761551.553515002</v>
      </c>
      <c r="G282" s="105" t="s">
        <v>577</v>
      </c>
      <c r="H282" s="36">
        <v>0</v>
      </c>
      <c r="I282" s="35"/>
      <c r="J282" s="110">
        <f t="shared" si="15"/>
        <v>17761551.553515002</v>
      </c>
      <c r="K282" s="59">
        <f t="shared" si="16"/>
        <v>41616552.436412506</v>
      </c>
      <c r="L282" s="60"/>
      <c r="M282" s="41"/>
      <c r="N282" s="41"/>
      <c r="O282" s="41"/>
    </row>
    <row r="283" spans="1:15" s="7" customFormat="1" ht="18.75">
      <c r="A283" s="81"/>
      <c r="B283" s="109"/>
      <c r="C283" s="102" t="s">
        <v>250</v>
      </c>
      <c r="D283" s="103" t="s">
        <v>71</v>
      </c>
      <c r="E283" s="44"/>
      <c r="F283" s="104">
        <v>20990340.109999999</v>
      </c>
      <c r="G283" s="105" t="s">
        <v>578</v>
      </c>
      <c r="H283" s="36">
        <v>0</v>
      </c>
      <c r="I283" s="35"/>
      <c r="J283" s="110">
        <f t="shared" si="15"/>
        <v>20990340.109999999</v>
      </c>
      <c r="K283" s="59">
        <f t="shared" si="16"/>
        <v>59378103.989927508</v>
      </c>
      <c r="L283" s="60"/>
      <c r="M283" s="41"/>
      <c r="N283" s="41"/>
      <c r="O283" s="41"/>
    </row>
    <row r="284" spans="1:15" s="7" customFormat="1" ht="18.75">
      <c r="A284" s="81"/>
      <c r="B284" s="109"/>
      <c r="C284" s="102" t="s">
        <v>139</v>
      </c>
      <c r="D284" s="103" t="s">
        <v>26</v>
      </c>
      <c r="E284" s="44"/>
      <c r="F284" s="104">
        <v>23414468.09</v>
      </c>
      <c r="G284" s="105" t="s">
        <v>579</v>
      </c>
      <c r="H284" s="36">
        <v>0</v>
      </c>
      <c r="I284" s="35"/>
      <c r="J284" s="110">
        <f t="shared" si="15"/>
        <v>23414468.09</v>
      </c>
      <c r="K284" s="59">
        <f t="shared" si="16"/>
        <v>80368444.099927515</v>
      </c>
      <c r="L284" s="60"/>
      <c r="M284" s="41"/>
      <c r="N284" s="41"/>
      <c r="O284" s="41"/>
    </row>
    <row r="285" spans="1:15" s="7" customFormat="1" ht="18.75">
      <c r="A285" s="81"/>
      <c r="B285" s="109"/>
      <c r="C285" s="62" t="s">
        <v>142</v>
      </c>
      <c r="D285" s="103" t="s">
        <v>223</v>
      </c>
      <c r="E285" s="44"/>
      <c r="F285" s="104">
        <v>22089737.737966496</v>
      </c>
      <c r="G285" s="105"/>
      <c r="H285" s="36">
        <v>0</v>
      </c>
      <c r="I285" s="35"/>
      <c r="J285" s="110">
        <f t="shared" si="15"/>
        <v>22089737.737966496</v>
      </c>
      <c r="K285" s="59">
        <f t="shared" si="16"/>
        <v>103782912.18992752</v>
      </c>
      <c r="L285" s="60"/>
      <c r="M285" s="41"/>
      <c r="N285" s="41"/>
      <c r="O285" s="41"/>
    </row>
    <row r="286" spans="1:15" s="7" customFormat="1" ht="18.75">
      <c r="A286" s="81"/>
      <c r="B286" s="109"/>
      <c r="C286" s="62" t="s">
        <v>145</v>
      </c>
      <c r="D286" s="103" t="s">
        <v>367</v>
      </c>
      <c r="E286" s="44"/>
      <c r="F286" s="104">
        <v>17995253.661157504</v>
      </c>
      <c r="G286" s="105" t="s">
        <v>364</v>
      </c>
      <c r="H286" s="36">
        <v>0</v>
      </c>
      <c r="I286" s="35"/>
      <c r="J286" s="110">
        <f t="shared" si="15"/>
        <v>17995253.661157504</v>
      </c>
      <c r="K286" s="59">
        <f t="shared" si="16"/>
        <v>125872649.92789401</v>
      </c>
      <c r="L286" s="60"/>
      <c r="M286" s="41"/>
      <c r="N286" s="41"/>
      <c r="O286" s="41"/>
    </row>
    <row r="287" spans="1:15" s="7" customFormat="1" ht="18.75">
      <c r="A287" s="81"/>
      <c r="B287" s="109"/>
      <c r="C287" s="62" t="s">
        <v>148</v>
      </c>
      <c r="D287" s="103" t="s">
        <v>368</v>
      </c>
      <c r="E287" s="44"/>
      <c r="F287" s="104">
        <v>19710887.714699998</v>
      </c>
      <c r="G287" s="105" t="s">
        <v>580</v>
      </c>
      <c r="H287" s="36"/>
      <c r="I287" s="35"/>
      <c r="J287" s="110">
        <f t="shared" si="15"/>
        <v>19710887.714699998</v>
      </c>
      <c r="K287" s="59">
        <f t="shared" si="16"/>
        <v>143867903.58905151</v>
      </c>
      <c r="L287" s="60"/>
      <c r="M287" s="41"/>
      <c r="N287" s="41"/>
      <c r="O287" s="41"/>
    </row>
    <row r="288" spans="1:15" s="7" customFormat="1" ht="18.75">
      <c r="A288" s="81"/>
      <c r="B288" s="109"/>
      <c r="C288" s="62" t="s">
        <v>151</v>
      </c>
      <c r="D288" s="103" t="s">
        <v>370</v>
      </c>
      <c r="E288" s="44"/>
      <c r="F288" s="104">
        <v>20550395.871379498</v>
      </c>
      <c r="G288" s="105" t="s">
        <v>152</v>
      </c>
      <c r="H288" s="36"/>
      <c r="I288" s="35"/>
      <c r="J288" s="110">
        <f t="shared" si="15"/>
        <v>20550395.871379498</v>
      </c>
      <c r="K288" s="59">
        <f t="shared" si="16"/>
        <v>163578791.30375153</v>
      </c>
      <c r="L288" s="60"/>
      <c r="M288" s="41"/>
      <c r="N288" s="41"/>
      <c r="O288" s="41"/>
    </row>
    <row r="289" spans="1:15" s="7" customFormat="1" ht="18.75">
      <c r="A289" s="81"/>
      <c r="B289" s="109"/>
      <c r="C289" s="62" t="s">
        <v>154</v>
      </c>
      <c r="D289" s="103" t="s">
        <v>371</v>
      </c>
      <c r="E289" s="44"/>
      <c r="F289" s="104">
        <v>17602977.28644</v>
      </c>
      <c r="G289" s="105" t="s">
        <v>156</v>
      </c>
      <c r="H289" s="36"/>
      <c r="I289" s="35"/>
      <c r="J289" s="110">
        <f t="shared" si="15"/>
        <v>17602977.28644</v>
      </c>
      <c r="K289" s="59">
        <f t="shared" si="16"/>
        <v>184129187.17513102</v>
      </c>
      <c r="L289" s="60"/>
      <c r="M289" s="41"/>
      <c r="N289" s="41"/>
      <c r="O289" s="41"/>
    </row>
    <row r="290" spans="1:15" s="7" customFormat="1" ht="18.75">
      <c r="A290" s="81"/>
      <c r="B290" s="109"/>
      <c r="C290" s="62" t="s">
        <v>158</v>
      </c>
      <c r="D290" s="103" t="s">
        <v>372</v>
      </c>
      <c r="E290" s="44"/>
      <c r="F290" s="104">
        <v>8602055.6515740007</v>
      </c>
      <c r="G290" s="105" t="s">
        <v>160</v>
      </c>
      <c r="H290" s="36"/>
      <c r="I290" s="35"/>
      <c r="J290" s="110">
        <f t="shared" si="15"/>
        <v>8602055.6515740007</v>
      </c>
      <c r="K290" s="59">
        <f t="shared" si="16"/>
        <v>201732164.46157104</v>
      </c>
      <c r="L290" s="60"/>
      <c r="M290" s="41"/>
      <c r="N290" s="41"/>
      <c r="O290" s="41"/>
    </row>
    <row r="291" spans="1:15" s="7" customFormat="1" ht="18.75">
      <c r="A291" s="81"/>
      <c r="B291" s="109"/>
      <c r="C291" s="62" t="s">
        <v>162</v>
      </c>
      <c r="D291" s="103" t="s">
        <v>373</v>
      </c>
      <c r="E291" s="44"/>
      <c r="F291" s="104">
        <v>21944655.951172501</v>
      </c>
      <c r="G291" s="105" t="s">
        <v>164</v>
      </c>
      <c r="H291" s="36"/>
      <c r="I291" s="35"/>
      <c r="J291" s="110">
        <f t="shared" si="15"/>
        <v>21944655.951172501</v>
      </c>
      <c r="K291" s="59">
        <f t="shared" si="16"/>
        <v>210334220.11314505</v>
      </c>
      <c r="L291" s="60"/>
      <c r="M291" s="41"/>
      <c r="N291" s="41"/>
      <c r="O291" s="41"/>
    </row>
    <row r="292" spans="1:15" s="7" customFormat="1" ht="18.75">
      <c r="A292" s="81"/>
      <c r="B292" s="109"/>
      <c r="C292" s="62" t="s">
        <v>166</v>
      </c>
      <c r="D292" s="103" t="s">
        <v>92</v>
      </c>
      <c r="E292" s="44"/>
      <c r="F292" s="104">
        <v>22570804.499008495</v>
      </c>
      <c r="G292" s="105" t="s">
        <v>168</v>
      </c>
      <c r="H292" s="36">
        <v>27570804.5</v>
      </c>
      <c r="I292" s="35" t="s">
        <v>581</v>
      </c>
      <c r="J292" s="110">
        <f t="shared" si="15"/>
        <v>-5000000.0009915046</v>
      </c>
      <c r="K292" s="59">
        <f t="shared" si="16"/>
        <v>232278876.06431755</v>
      </c>
      <c r="L292" s="60"/>
      <c r="M292" s="41"/>
      <c r="N292" s="41"/>
      <c r="O292" s="41"/>
    </row>
    <row r="293" spans="1:15" s="7" customFormat="1" ht="18.75">
      <c r="A293" s="81"/>
      <c r="B293" s="109"/>
      <c r="C293" s="62" t="s">
        <v>170</v>
      </c>
      <c r="D293" s="103" t="s">
        <v>63</v>
      </c>
      <c r="E293" s="44"/>
      <c r="F293" s="104">
        <v>16574511.167759998</v>
      </c>
      <c r="G293" s="105" t="s">
        <v>172</v>
      </c>
      <c r="H293" s="36">
        <v>16574304.23</v>
      </c>
      <c r="I293" s="35" t="s">
        <v>324</v>
      </c>
      <c r="J293" s="110">
        <f t="shared" si="15"/>
        <v>206.93775999732316</v>
      </c>
      <c r="K293" s="59">
        <f t="shared" si="16"/>
        <v>227278876.06332606</v>
      </c>
      <c r="L293" s="60"/>
      <c r="M293" s="41"/>
      <c r="N293" s="41"/>
      <c r="O293" s="41"/>
    </row>
    <row r="294" spans="1:15" s="7" customFormat="1" ht="18.75">
      <c r="A294" s="81"/>
      <c r="B294" s="109"/>
      <c r="C294" s="62" t="s">
        <v>174</v>
      </c>
      <c r="D294" s="103" t="s">
        <v>374</v>
      </c>
      <c r="E294" s="44"/>
      <c r="F294" s="104">
        <v>19342965.270719998</v>
      </c>
      <c r="G294" s="105" t="s">
        <v>176</v>
      </c>
      <c r="H294" s="36">
        <f>19342965.27+5000000+5000000</f>
        <v>29342965.27</v>
      </c>
      <c r="I294" s="35" t="s">
        <v>582</v>
      </c>
      <c r="J294" s="110">
        <f t="shared" si="15"/>
        <v>-9999999.999280002</v>
      </c>
      <c r="K294" s="59">
        <f t="shared" si="16"/>
        <v>227279083.00108606</v>
      </c>
      <c r="L294" s="60"/>
      <c r="M294" s="41"/>
      <c r="N294" s="41"/>
      <c r="O294" s="41"/>
    </row>
    <row r="295" spans="1:15" s="7" customFormat="1" ht="18.75">
      <c r="A295" s="81"/>
      <c r="B295" s="109"/>
      <c r="C295" s="62" t="s">
        <v>178</v>
      </c>
      <c r="D295" s="103" t="s">
        <v>376</v>
      </c>
      <c r="E295" s="44"/>
      <c r="F295" s="104">
        <v>17839670.9334585</v>
      </c>
      <c r="G295" s="105" t="s">
        <v>179</v>
      </c>
      <c r="H295" s="36">
        <v>22839670.93</v>
      </c>
      <c r="I295" s="35" t="s">
        <v>539</v>
      </c>
      <c r="J295" s="110">
        <f t="shared" si="15"/>
        <v>-4999999.9965415001</v>
      </c>
      <c r="K295" s="59">
        <f t="shared" si="16"/>
        <v>217279083.00180605</v>
      </c>
      <c r="L295" s="60"/>
      <c r="M295" s="41"/>
      <c r="N295" s="41"/>
      <c r="O295" s="41"/>
    </row>
    <row r="296" spans="1:15" s="7" customFormat="1" ht="18.75">
      <c r="A296" s="81"/>
      <c r="B296" s="109"/>
      <c r="C296" s="62" t="s">
        <v>181</v>
      </c>
      <c r="D296" s="103" t="s">
        <v>54</v>
      </c>
      <c r="E296" s="44"/>
      <c r="F296" s="104">
        <v>18881986.676279999</v>
      </c>
      <c r="G296" s="105" t="s">
        <v>183</v>
      </c>
      <c r="H296" s="36">
        <f>5000000+18881986.68</f>
        <v>23881986.68</v>
      </c>
      <c r="I296" s="35" t="s">
        <v>583</v>
      </c>
      <c r="J296" s="110">
        <f t="shared" si="15"/>
        <v>-5000000.0037200004</v>
      </c>
      <c r="K296" s="59">
        <f t="shared" si="16"/>
        <v>212279083.00526455</v>
      </c>
      <c r="L296" s="60"/>
      <c r="M296" s="41"/>
      <c r="N296" s="41"/>
      <c r="O296" s="41"/>
    </row>
    <row r="297" spans="1:15" s="7" customFormat="1" ht="18.75">
      <c r="A297" s="81"/>
      <c r="B297" s="109"/>
      <c r="C297" s="62" t="s">
        <v>185</v>
      </c>
      <c r="D297" s="103" t="s">
        <v>379</v>
      </c>
      <c r="E297" s="44"/>
      <c r="F297" s="104">
        <v>23932062.107814007</v>
      </c>
      <c r="G297" s="105" t="s">
        <v>187</v>
      </c>
      <c r="H297" s="36">
        <f>23932062.11+5000000</f>
        <v>28932062.109999999</v>
      </c>
      <c r="I297" s="35" t="s">
        <v>331</v>
      </c>
      <c r="J297" s="110">
        <f t="shared" si="15"/>
        <v>-5000000.0021859929</v>
      </c>
      <c r="K297" s="59">
        <f t="shared" si="16"/>
        <v>207279083.00154454</v>
      </c>
      <c r="L297" s="60"/>
      <c r="M297" s="41"/>
      <c r="N297" s="41"/>
      <c r="O297" s="41"/>
    </row>
    <row r="298" spans="1:15" s="7" customFormat="1" ht="18.75">
      <c r="A298" s="81"/>
      <c r="B298" s="109"/>
      <c r="C298" s="62" t="s">
        <v>189</v>
      </c>
      <c r="D298" s="103" t="s">
        <v>381</v>
      </c>
      <c r="E298" s="44"/>
      <c r="F298" s="104">
        <v>28678835.494670253</v>
      </c>
      <c r="G298" s="105" t="s">
        <v>377</v>
      </c>
      <c r="H298" s="36">
        <v>28678835.494670253</v>
      </c>
      <c r="I298" s="35" t="s">
        <v>584</v>
      </c>
      <c r="J298" s="110">
        <f t="shared" si="15"/>
        <v>0</v>
      </c>
      <c r="K298" s="59">
        <f t="shared" si="16"/>
        <v>202279082.99935853</v>
      </c>
      <c r="L298" s="60"/>
      <c r="M298" s="41"/>
      <c r="N298" s="41"/>
      <c r="O298" s="41"/>
    </row>
    <row r="299" spans="1:15" s="7" customFormat="1" ht="18.75">
      <c r="A299" s="81"/>
      <c r="B299" s="109"/>
      <c r="C299" s="62" t="s">
        <v>191</v>
      </c>
      <c r="D299" s="103" t="s">
        <v>383</v>
      </c>
      <c r="E299" s="44">
        <v>43986</v>
      </c>
      <c r="F299" s="104">
        <v>31274731.770951498</v>
      </c>
      <c r="G299" s="105" t="s">
        <v>193</v>
      </c>
      <c r="H299" s="36">
        <v>31274731.77</v>
      </c>
      <c r="I299" s="35" t="s">
        <v>585</v>
      </c>
      <c r="J299" s="110">
        <f t="shared" si="15"/>
        <v>9.5149874687194824E-4</v>
      </c>
      <c r="K299" s="59">
        <f t="shared" si="16"/>
        <v>202279082.99935853</v>
      </c>
      <c r="L299" s="60"/>
      <c r="M299" s="41"/>
      <c r="N299" s="41"/>
      <c r="O299" s="41"/>
    </row>
    <row r="300" spans="1:15" s="7" customFormat="1" ht="18.75">
      <c r="A300" s="81"/>
      <c r="B300" s="109"/>
      <c r="C300" s="62" t="s">
        <v>195</v>
      </c>
      <c r="D300" s="103" t="s">
        <v>384</v>
      </c>
      <c r="E300" s="44" t="s">
        <v>197</v>
      </c>
      <c r="F300" s="104">
        <v>33719810.388624243</v>
      </c>
      <c r="G300" s="105" t="s">
        <v>198</v>
      </c>
      <c r="H300" s="36">
        <v>33719810.390000001</v>
      </c>
      <c r="I300" s="35" t="s">
        <v>586</v>
      </c>
      <c r="J300" s="110">
        <f t="shared" si="15"/>
        <v>-1.3757571578025818E-3</v>
      </c>
      <c r="K300" s="59">
        <f t="shared" si="16"/>
        <v>202279083.00031003</v>
      </c>
      <c r="L300" s="60"/>
      <c r="M300" s="41"/>
      <c r="N300" s="41"/>
      <c r="O300" s="41"/>
    </row>
    <row r="301" spans="1:15" s="7" customFormat="1" ht="18.75">
      <c r="A301" s="81"/>
      <c r="B301" s="109"/>
      <c r="C301" s="62" t="s">
        <v>199</v>
      </c>
      <c r="D301" s="103" t="s">
        <v>385</v>
      </c>
      <c r="E301" s="44">
        <v>44049</v>
      </c>
      <c r="F301" s="104">
        <v>27797981.838159997</v>
      </c>
      <c r="G301" s="105">
        <v>43897</v>
      </c>
      <c r="H301" s="36">
        <v>27797981.84</v>
      </c>
      <c r="I301" s="35" t="s">
        <v>587</v>
      </c>
      <c r="J301" s="110">
        <f t="shared" si="15"/>
        <v>-1.8400028347969055E-3</v>
      </c>
      <c r="K301" s="59">
        <f t="shared" si="16"/>
        <v>202279082.99893427</v>
      </c>
      <c r="L301" s="60"/>
      <c r="M301" s="41"/>
      <c r="N301" s="41"/>
      <c r="O301" s="41"/>
    </row>
    <row r="302" spans="1:15" s="7" customFormat="1" ht="18.75">
      <c r="A302" s="81"/>
      <c r="B302" s="109"/>
      <c r="C302" s="62" t="s">
        <v>201</v>
      </c>
      <c r="D302" s="103" t="s">
        <v>386</v>
      </c>
      <c r="E302" s="44" t="s">
        <v>449</v>
      </c>
      <c r="F302" s="104">
        <v>37640798.628309995</v>
      </c>
      <c r="G302" s="105">
        <v>43929</v>
      </c>
      <c r="H302" s="36">
        <v>37640798.630000003</v>
      </c>
      <c r="I302" s="35" t="s">
        <v>588</v>
      </c>
      <c r="J302" s="110">
        <f t="shared" si="15"/>
        <v>-1.690007746219635E-3</v>
      </c>
      <c r="K302" s="59">
        <f t="shared" si="16"/>
        <v>202279082.99709427</v>
      </c>
      <c r="L302" s="60"/>
      <c r="M302" s="41"/>
      <c r="N302" s="41"/>
      <c r="O302" s="41"/>
    </row>
    <row r="303" spans="1:15" s="7" customFormat="1" ht="18.75">
      <c r="A303" s="81"/>
      <c r="B303" s="109"/>
      <c r="C303" s="62" t="s">
        <v>203</v>
      </c>
      <c r="D303" s="103" t="s">
        <v>388</v>
      </c>
      <c r="E303" s="44">
        <v>44020</v>
      </c>
      <c r="F303" s="104">
        <v>33815677.153015248</v>
      </c>
      <c r="G303" s="105" t="s">
        <v>450</v>
      </c>
      <c r="H303" s="36">
        <v>33815677.149999999</v>
      </c>
      <c r="I303" s="35" t="s">
        <v>387</v>
      </c>
      <c r="J303" s="110">
        <f t="shared" si="15"/>
        <v>3.0152499675750732E-3</v>
      </c>
      <c r="K303" s="59">
        <f t="shared" si="16"/>
        <v>202279082.99540427</v>
      </c>
      <c r="L303" s="60"/>
      <c r="M303" s="41"/>
      <c r="N303" s="41"/>
      <c r="O303" s="41"/>
    </row>
    <row r="304" spans="1:15" s="7" customFormat="1" ht="18.75">
      <c r="A304" s="81"/>
      <c r="B304" s="109"/>
      <c r="C304" s="62" t="s">
        <v>207</v>
      </c>
      <c r="D304" s="103" t="s">
        <v>39</v>
      </c>
      <c r="E304" s="44" t="s">
        <v>209</v>
      </c>
      <c r="F304" s="104">
        <v>39950718.185320005</v>
      </c>
      <c r="G304" s="105" t="s">
        <v>210</v>
      </c>
      <c r="H304" s="36"/>
      <c r="I304" s="35"/>
      <c r="J304" s="110">
        <f t="shared" si="15"/>
        <v>39950718.185320005</v>
      </c>
      <c r="K304" s="59">
        <f t="shared" si="16"/>
        <v>202279082.99841952</v>
      </c>
      <c r="L304" s="60"/>
      <c r="M304" s="41"/>
      <c r="N304" s="41"/>
      <c r="O304" s="41"/>
    </row>
    <row r="305" spans="1:15" s="7" customFormat="1" ht="18.75">
      <c r="A305" s="81"/>
      <c r="B305" s="109"/>
      <c r="C305" s="62" t="s">
        <v>212</v>
      </c>
      <c r="D305" s="103" t="s">
        <v>390</v>
      </c>
      <c r="E305" s="44">
        <v>44084</v>
      </c>
      <c r="F305" s="104">
        <v>43152779.417573005</v>
      </c>
      <c r="G305" s="105" t="s">
        <v>213</v>
      </c>
      <c r="H305" s="36">
        <v>43152779.420000002</v>
      </c>
      <c r="I305" s="35" t="s">
        <v>589</v>
      </c>
      <c r="J305" s="110">
        <f t="shared" si="15"/>
        <v>-2.4269968271255493E-3</v>
      </c>
      <c r="K305" s="59">
        <f t="shared" si="16"/>
        <v>242229801.18373954</v>
      </c>
      <c r="L305" s="60"/>
      <c r="M305" s="41"/>
      <c r="N305" s="41"/>
      <c r="O305" s="41"/>
    </row>
    <row r="306" spans="1:15" s="7" customFormat="1" ht="18.75">
      <c r="A306" s="81"/>
      <c r="B306" s="109"/>
      <c r="C306" s="62" t="s">
        <v>214</v>
      </c>
      <c r="D306" s="103" t="s">
        <v>392</v>
      </c>
      <c r="E306" s="44">
        <v>43962</v>
      </c>
      <c r="F306" s="104">
        <v>39336908.429076001</v>
      </c>
      <c r="G306" s="105" t="s">
        <v>216</v>
      </c>
      <c r="H306" s="36">
        <f>25000000+14336908.43</f>
        <v>39336908.43</v>
      </c>
      <c r="I306" s="44" t="s">
        <v>211</v>
      </c>
      <c r="J306" s="110">
        <f>F306-H306</f>
        <v>-9.2399865388870239E-4</v>
      </c>
      <c r="K306" s="59">
        <f t="shared" si="16"/>
        <v>242229801.18131256</v>
      </c>
      <c r="L306" s="60"/>
      <c r="M306" s="41"/>
      <c r="N306" s="41"/>
      <c r="O306" s="41"/>
    </row>
    <row r="307" spans="1:15" s="7" customFormat="1" ht="18.75">
      <c r="A307" s="81"/>
      <c r="B307" s="109"/>
      <c r="C307" s="62" t="s">
        <v>218</v>
      </c>
      <c r="D307" s="103" t="s">
        <v>393</v>
      </c>
      <c r="E307" s="44">
        <v>44024</v>
      </c>
      <c r="F307" s="104">
        <v>46039367.726856008</v>
      </c>
      <c r="G307" s="105">
        <v>44531</v>
      </c>
      <c r="H307" s="36"/>
      <c r="I307" s="35"/>
      <c r="J307" s="110">
        <f>F307-H307</f>
        <v>46039367.726856008</v>
      </c>
      <c r="K307" s="59">
        <f t="shared" si="16"/>
        <v>242229801.18038857</v>
      </c>
      <c r="L307" s="60"/>
      <c r="M307" s="41"/>
      <c r="N307" s="41"/>
      <c r="O307" s="41"/>
    </row>
    <row r="308" spans="1:15" s="7" customFormat="1" ht="18.75">
      <c r="A308" s="81"/>
      <c r="B308" s="109"/>
      <c r="C308" s="62" t="s">
        <v>219</v>
      </c>
      <c r="D308" s="103" t="s">
        <v>528</v>
      </c>
      <c r="E308" s="44">
        <v>44409</v>
      </c>
      <c r="F308" s="104">
        <v>44424060.079911001</v>
      </c>
      <c r="G308" s="105" t="s">
        <v>220</v>
      </c>
      <c r="H308" s="36"/>
      <c r="I308" s="35"/>
      <c r="J308" s="110">
        <f>F308-H308</f>
        <v>44424060.079911001</v>
      </c>
      <c r="K308" s="59">
        <f t="shared" si="16"/>
        <v>288269168.90724456</v>
      </c>
      <c r="L308" s="60"/>
      <c r="M308" s="41"/>
      <c r="N308" s="41"/>
      <c r="O308" s="41"/>
    </row>
    <row r="309" spans="1:15" s="7" customFormat="1" ht="18.75">
      <c r="A309" s="81"/>
      <c r="B309" s="109"/>
      <c r="C309" s="62" t="s">
        <v>221</v>
      </c>
      <c r="D309" s="103" t="s">
        <v>35</v>
      </c>
      <c r="E309" s="44">
        <v>44471</v>
      </c>
      <c r="F309" s="104">
        <v>47422415.011175007</v>
      </c>
      <c r="G309" s="105" t="s">
        <v>27</v>
      </c>
      <c r="H309" s="36"/>
      <c r="I309" s="35"/>
      <c r="J309" s="110">
        <f>F309-H309</f>
        <v>47422415.011175007</v>
      </c>
      <c r="K309" s="59">
        <f t="shared" si="16"/>
        <v>332693228.98715556</v>
      </c>
      <c r="L309" s="60"/>
      <c r="M309" s="41"/>
      <c r="N309" s="41"/>
      <c r="O309" s="41"/>
    </row>
    <row r="310" spans="1:15" s="7" customFormat="1" ht="18.75">
      <c r="A310" s="81"/>
      <c r="B310" s="109"/>
      <c r="C310" s="62" t="s">
        <v>222</v>
      </c>
      <c r="D310" s="103" t="s">
        <v>530</v>
      </c>
      <c r="E310" s="44">
        <v>44319</v>
      </c>
      <c r="F310" s="104">
        <v>43037413.127175003</v>
      </c>
      <c r="G310" s="105" t="s">
        <v>224</v>
      </c>
      <c r="H310" s="36"/>
      <c r="I310" s="35"/>
      <c r="J310" s="110">
        <f>F310-H310</f>
        <v>43037413.127175003</v>
      </c>
      <c r="K310" s="59">
        <f t="shared" si="16"/>
        <v>380115643.99833059</v>
      </c>
      <c r="L310" s="60"/>
      <c r="M310" s="41"/>
      <c r="N310" s="41"/>
      <c r="O310" s="41"/>
    </row>
    <row r="311" spans="1:15" s="7" customFormat="1" ht="18.75">
      <c r="A311" s="81"/>
      <c r="B311" s="57" t="s">
        <v>590</v>
      </c>
      <c r="C311" s="31"/>
      <c r="D311" s="32"/>
      <c r="E311" s="44"/>
      <c r="F311" s="34"/>
      <c r="G311" s="35"/>
      <c r="H311" s="36"/>
      <c r="I311" s="35"/>
      <c r="J311" s="110"/>
      <c r="K311" s="64">
        <f t="shared" si="16"/>
        <v>423153057.12550557</v>
      </c>
      <c r="L311" s="60"/>
      <c r="M311" s="41"/>
      <c r="N311" s="41"/>
      <c r="O311" s="41"/>
    </row>
    <row r="312" spans="1:15" s="7" customFormat="1" ht="18.75">
      <c r="A312" s="81"/>
      <c r="B312" s="114"/>
      <c r="C312" s="31"/>
      <c r="D312" s="45"/>
      <c r="E312" s="44"/>
      <c r="F312" s="34"/>
      <c r="G312" s="35"/>
      <c r="H312" s="36"/>
      <c r="I312" s="35"/>
      <c r="J312" s="110"/>
      <c r="K312" s="64"/>
      <c r="L312" s="60"/>
      <c r="M312" s="41"/>
      <c r="N312" s="41"/>
      <c r="O312" s="41"/>
    </row>
    <row r="313" spans="1:15" s="7" customFormat="1" ht="18.75">
      <c r="A313" s="56">
        <v>9</v>
      </c>
      <c r="B313" s="46" t="s">
        <v>36</v>
      </c>
      <c r="C313" s="42" t="s">
        <v>170</v>
      </c>
      <c r="D313" s="45" t="s">
        <v>140</v>
      </c>
      <c r="E313" s="44"/>
      <c r="F313" s="34">
        <v>2722993.57</v>
      </c>
      <c r="G313" s="35" t="s">
        <v>172</v>
      </c>
      <c r="H313" s="36">
        <v>2722993.57</v>
      </c>
      <c r="I313" s="35" t="s">
        <v>591</v>
      </c>
      <c r="J313" s="37">
        <f t="shared" ref="J313:J331" si="17">F313-H313</f>
        <v>0</v>
      </c>
      <c r="K313" s="38"/>
      <c r="L313" s="39"/>
      <c r="M313" s="40"/>
      <c r="N313" s="40"/>
      <c r="O313" s="41"/>
    </row>
    <row r="314" spans="1:15" s="7" customFormat="1" ht="18.75">
      <c r="A314" s="56"/>
      <c r="B314" s="46"/>
      <c r="C314" s="42" t="s">
        <v>174</v>
      </c>
      <c r="D314" s="45" t="s">
        <v>120</v>
      </c>
      <c r="E314" s="44"/>
      <c r="F314" s="34">
        <v>9167657.4304245003</v>
      </c>
      <c r="G314" s="35" t="s">
        <v>176</v>
      </c>
      <c r="H314" s="36">
        <v>9167657.4304245003</v>
      </c>
      <c r="I314" s="35" t="s">
        <v>592</v>
      </c>
      <c r="J314" s="37">
        <f t="shared" si="17"/>
        <v>0</v>
      </c>
      <c r="K314" s="37">
        <f t="shared" ref="K314:K332" si="18">J313+K313</f>
        <v>0</v>
      </c>
      <c r="L314" s="39"/>
      <c r="M314" s="40"/>
      <c r="N314" s="40"/>
      <c r="O314" s="41"/>
    </row>
    <row r="315" spans="1:15" s="7" customFormat="1" ht="18.75">
      <c r="A315" s="56"/>
      <c r="B315" s="46"/>
      <c r="C315" s="42" t="s">
        <v>178</v>
      </c>
      <c r="D315" s="45" t="s">
        <v>146</v>
      </c>
      <c r="E315" s="44"/>
      <c r="F315" s="34">
        <v>10446399.47988</v>
      </c>
      <c r="G315" s="35" t="s">
        <v>179</v>
      </c>
      <c r="H315" s="36">
        <v>10446399.47988</v>
      </c>
      <c r="I315" s="35" t="s">
        <v>593</v>
      </c>
      <c r="J315" s="37">
        <f t="shared" si="17"/>
        <v>0</v>
      </c>
      <c r="K315" s="37">
        <f t="shared" si="18"/>
        <v>0</v>
      </c>
      <c r="L315" s="39"/>
      <c r="M315" s="40"/>
      <c r="N315" s="40"/>
      <c r="O315" s="41"/>
    </row>
    <row r="316" spans="1:15" s="7" customFormat="1" ht="18.75">
      <c r="A316" s="56"/>
      <c r="B316" s="46"/>
      <c r="C316" s="42" t="s">
        <v>181</v>
      </c>
      <c r="D316" s="45" t="s">
        <v>80</v>
      </c>
      <c r="E316" s="44"/>
      <c r="F316" s="34">
        <v>9831453.7233111151</v>
      </c>
      <c r="G316" s="35" t="s">
        <v>183</v>
      </c>
      <c r="H316" s="36">
        <v>9831453.7200000007</v>
      </c>
      <c r="I316" s="35" t="s">
        <v>594</v>
      </c>
      <c r="J316" s="37">
        <f t="shared" si="17"/>
        <v>3.3111143857240677E-3</v>
      </c>
      <c r="K316" s="37">
        <f t="shared" si="18"/>
        <v>0</v>
      </c>
      <c r="L316" s="39"/>
      <c r="M316" s="40"/>
      <c r="N316" s="40"/>
      <c r="O316" s="41"/>
    </row>
    <row r="317" spans="1:15" s="7" customFormat="1" ht="18.75">
      <c r="A317" s="56"/>
      <c r="B317" s="46"/>
      <c r="C317" s="42" t="s">
        <v>185</v>
      </c>
      <c r="D317" s="45" t="s">
        <v>595</v>
      </c>
      <c r="E317" s="44"/>
      <c r="F317" s="34">
        <v>9718299.7799999993</v>
      </c>
      <c r="G317" s="35" t="s">
        <v>187</v>
      </c>
      <c r="H317" s="36">
        <v>10231764.865077</v>
      </c>
      <c r="I317" s="35" t="s">
        <v>583</v>
      </c>
      <c r="J317" s="37">
        <f t="shared" si="17"/>
        <v>-513465.08507700078</v>
      </c>
      <c r="K317" s="37">
        <f t="shared" si="18"/>
        <v>3.3111143857240677E-3</v>
      </c>
      <c r="L317" s="39"/>
      <c r="M317" s="40"/>
      <c r="N317" s="40"/>
      <c r="O317" s="41"/>
    </row>
    <row r="318" spans="1:15" s="7" customFormat="1" ht="18.75">
      <c r="A318" s="56"/>
      <c r="B318" s="46"/>
      <c r="C318" s="42" t="s">
        <v>189</v>
      </c>
      <c r="D318" s="45" t="s">
        <v>124</v>
      </c>
      <c r="E318" s="44"/>
      <c r="F318" s="34">
        <v>9534020.6720217485</v>
      </c>
      <c r="G318" s="35" t="s">
        <v>596</v>
      </c>
      <c r="H318" s="36">
        <v>9534020.6720217485</v>
      </c>
      <c r="I318" s="35" t="s">
        <v>597</v>
      </c>
      <c r="J318" s="37">
        <f t="shared" si="17"/>
        <v>0</v>
      </c>
      <c r="K318" s="37">
        <f t="shared" si="18"/>
        <v>-513465.0817658864</v>
      </c>
      <c r="L318" s="39"/>
      <c r="M318" s="40"/>
      <c r="N318" s="40"/>
      <c r="O318" s="41"/>
    </row>
    <row r="319" spans="1:15" s="7" customFormat="1" ht="18.75">
      <c r="A319" s="56"/>
      <c r="B319" s="46"/>
      <c r="C319" s="42" t="s">
        <v>191</v>
      </c>
      <c r="D319" s="45" t="s">
        <v>159</v>
      </c>
      <c r="E319" s="44">
        <v>43986</v>
      </c>
      <c r="F319" s="34">
        <v>12807662.8318065</v>
      </c>
      <c r="G319" s="35" t="s">
        <v>193</v>
      </c>
      <c r="H319" s="36">
        <f>6403831.34+6403831.49</f>
        <v>12807662.83</v>
      </c>
      <c r="I319" s="35" t="s">
        <v>598</v>
      </c>
      <c r="J319" s="37">
        <f t="shared" si="17"/>
        <v>1.8064994364976883E-3</v>
      </c>
      <c r="K319" s="37">
        <f t="shared" si="18"/>
        <v>-513465.0817658864</v>
      </c>
      <c r="L319" s="39"/>
      <c r="M319" s="40"/>
      <c r="N319" s="40"/>
      <c r="O319" s="41"/>
    </row>
    <row r="320" spans="1:15" s="7" customFormat="1" ht="18.75">
      <c r="A320" s="56"/>
      <c r="B320" s="46"/>
      <c r="C320" s="42" t="s">
        <v>195</v>
      </c>
      <c r="D320" s="45" t="s">
        <v>163</v>
      </c>
      <c r="E320" s="44" t="s">
        <v>197</v>
      </c>
      <c r="F320" s="34">
        <v>7043750.9843609994</v>
      </c>
      <c r="G320" s="35" t="s">
        <v>198</v>
      </c>
      <c r="H320" s="36">
        <v>7043750.9843609994</v>
      </c>
      <c r="I320" s="35" t="s">
        <v>599</v>
      </c>
      <c r="J320" s="37">
        <f t="shared" si="17"/>
        <v>0</v>
      </c>
      <c r="K320" s="37">
        <f t="shared" si="18"/>
        <v>-513465.07995938696</v>
      </c>
      <c r="L320" s="39"/>
      <c r="M320" s="40"/>
      <c r="N320" s="40"/>
      <c r="O320" s="41"/>
    </row>
    <row r="321" spans="1:15" s="7" customFormat="1" ht="18.75">
      <c r="A321" s="56"/>
      <c r="B321" s="46"/>
      <c r="C321" s="42" t="s">
        <v>199</v>
      </c>
      <c r="D321" s="45" t="s">
        <v>167</v>
      </c>
      <c r="E321" s="44">
        <v>44049</v>
      </c>
      <c r="F321" s="34">
        <v>8684731.1471634004</v>
      </c>
      <c r="G321" s="35">
        <v>43897</v>
      </c>
      <c r="H321" s="36">
        <v>8159041.1500000004</v>
      </c>
      <c r="I321" s="35" t="s">
        <v>600</v>
      </c>
      <c r="J321" s="37">
        <f t="shared" si="17"/>
        <v>525689.99716340005</v>
      </c>
      <c r="K321" s="37">
        <f t="shared" si="18"/>
        <v>-513465.07995938696</v>
      </c>
      <c r="L321" s="39"/>
      <c r="M321" s="40"/>
      <c r="N321" s="40"/>
      <c r="O321" s="41"/>
    </row>
    <row r="322" spans="1:15" s="7" customFormat="1" ht="18.75">
      <c r="A322" s="56"/>
      <c r="B322" s="46"/>
      <c r="C322" s="42" t="s">
        <v>201</v>
      </c>
      <c r="D322" s="45" t="s">
        <v>171</v>
      </c>
      <c r="E322" s="44">
        <v>44081</v>
      </c>
      <c r="F322" s="34">
        <v>9279103.4057400003</v>
      </c>
      <c r="G322" s="75">
        <v>44020</v>
      </c>
      <c r="H322" s="36">
        <v>9279103.4100000001</v>
      </c>
      <c r="I322" s="35" t="s">
        <v>601</v>
      </c>
      <c r="J322" s="37">
        <f t="shared" si="17"/>
        <v>-4.2599998414516449E-3</v>
      </c>
      <c r="K322" s="37">
        <f t="shared" si="18"/>
        <v>12224.917204013094</v>
      </c>
      <c r="L322" s="39"/>
      <c r="M322" s="40"/>
      <c r="N322" s="40"/>
      <c r="O322" s="41"/>
    </row>
    <row r="323" spans="1:15" s="7" customFormat="1" ht="18.75">
      <c r="A323" s="56"/>
      <c r="B323" s="46"/>
      <c r="C323" s="42" t="s">
        <v>203</v>
      </c>
      <c r="D323" s="45" t="s">
        <v>175</v>
      </c>
      <c r="E323" s="44">
        <v>43990</v>
      </c>
      <c r="F323" s="34">
        <v>11232111.604712</v>
      </c>
      <c r="G323" s="75" t="s">
        <v>290</v>
      </c>
      <c r="H323" s="36">
        <v>11232111.604712</v>
      </c>
      <c r="I323" s="35" t="s">
        <v>585</v>
      </c>
      <c r="J323" s="37">
        <f t="shared" si="17"/>
        <v>0</v>
      </c>
      <c r="K323" s="37">
        <f t="shared" si="18"/>
        <v>12224.912944013253</v>
      </c>
      <c r="L323" s="39"/>
      <c r="M323" s="40"/>
      <c r="N323" s="40"/>
      <c r="O323" s="41"/>
    </row>
    <row r="324" spans="1:15" s="7" customFormat="1" ht="18.75">
      <c r="A324" s="56"/>
      <c r="B324" s="46"/>
      <c r="C324" s="42" t="s">
        <v>207</v>
      </c>
      <c r="D324" s="45" t="s">
        <v>111</v>
      </c>
      <c r="E324" s="44" t="s">
        <v>209</v>
      </c>
      <c r="F324" s="34">
        <v>12137874.00773</v>
      </c>
      <c r="G324" s="75" t="s">
        <v>210</v>
      </c>
      <c r="H324" s="36">
        <v>12137874.00773</v>
      </c>
      <c r="I324" s="35" t="s">
        <v>587</v>
      </c>
      <c r="J324" s="37">
        <f t="shared" si="17"/>
        <v>0</v>
      </c>
      <c r="K324" s="37">
        <f t="shared" si="18"/>
        <v>12224.912944013253</v>
      </c>
      <c r="L324" s="39"/>
      <c r="M324" s="40"/>
      <c r="N324" s="40"/>
      <c r="O324" s="41"/>
    </row>
    <row r="325" spans="1:15" s="7" customFormat="1" ht="18.75">
      <c r="A325" s="56"/>
      <c r="B325" s="46"/>
      <c r="C325" s="42" t="s">
        <v>212</v>
      </c>
      <c r="D325" s="45" t="s">
        <v>182</v>
      </c>
      <c r="E325" s="44">
        <v>44084</v>
      </c>
      <c r="F325" s="34">
        <v>13110119.24</v>
      </c>
      <c r="G325" s="75" t="s">
        <v>213</v>
      </c>
      <c r="H325" s="36">
        <f>6555059.62+6555059.62</f>
        <v>13110119.24</v>
      </c>
      <c r="I325" s="35" t="s">
        <v>602</v>
      </c>
      <c r="J325" s="37">
        <f t="shared" si="17"/>
        <v>0</v>
      </c>
      <c r="K325" s="37">
        <f t="shared" si="18"/>
        <v>12224.912944013253</v>
      </c>
      <c r="L325" s="39"/>
      <c r="M325" s="40"/>
      <c r="N325" s="40"/>
      <c r="O325" s="41"/>
    </row>
    <row r="326" spans="1:15" s="7" customFormat="1" ht="18.75">
      <c r="A326" s="56"/>
      <c r="B326" s="46"/>
      <c r="C326" s="42" t="s">
        <v>214</v>
      </c>
      <c r="D326" s="45" t="s">
        <v>186</v>
      </c>
      <c r="E326" s="44">
        <v>43962</v>
      </c>
      <c r="F326" s="34">
        <v>9660620.4991934989</v>
      </c>
      <c r="G326" s="75" t="s">
        <v>216</v>
      </c>
      <c r="H326" s="36">
        <v>9660620.4991934989</v>
      </c>
      <c r="I326" s="35" t="s">
        <v>603</v>
      </c>
      <c r="J326" s="37">
        <f t="shared" si="17"/>
        <v>0</v>
      </c>
      <c r="K326" s="37">
        <f t="shared" si="18"/>
        <v>12224.912944013253</v>
      </c>
      <c r="L326" s="39"/>
      <c r="M326" s="40"/>
      <c r="N326" s="40"/>
      <c r="O326" s="41"/>
    </row>
    <row r="327" spans="1:15" s="7" customFormat="1" ht="18.75">
      <c r="A327" s="56"/>
      <c r="B327" s="46"/>
      <c r="C327" s="42" t="s">
        <v>218</v>
      </c>
      <c r="D327" s="45" t="s">
        <v>192</v>
      </c>
      <c r="E327" s="44">
        <v>44024</v>
      </c>
      <c r="F327" s="34">
        <v>12555156.782641999</v>
      </c>
      <c r="G327" s="75">
        <v>44531</v>
      </c>
      <c r="H327" s="36">
        <v>12555156.782641999</v>
      </c>
      <c r="I327" s="35" t="s">
        <v>551</v>
      </c>
      <c r="J327" s="37">
        <f t="shared" si="17"/>
        <v>0</v>
      </c>
      <c r="K327" s="37">
        <f t="shared" si="18"/>
        <v>12224.912944013253</v>
      </c>
      <c r="L327" s="39"/>
      <c r="M327" s="40"/>
      <c r="N327" s="40"/>
      <c r="O327" s="41"/>
    </row>
    <row r="328" spans="1:15" s="7" customFormat="1" ht="18.75">
      <c r="A328" s="56"/>
      <c r="B328" s="46"/>
      <c r="C328" s="42" t="s">
        <v>219</v>
      </c>
      <c r="D328" s="45" t="s">
        <v>196</v>
      </c>
      <c r="E328" s="44">
        <v>44409</v>
      </c>
      <c r="F328" s="34">
        <v>10591195.856651748</v>
      </c>
      <c r="G328" s="75" t="s">
        <v>220</v>
      </c>
      <c r="H328" s="36">
        <v>10591195.856651748</v>
      </c>
      <c r="I328" s="35" t="s">
        <v>604</v>
      </c>
      <c r="J328" s="37">
        <f t="shared" si="17"/>
        <v>0</v>
      </c>
      <c r="K328" s="37">
        <f t="shared" si="18"/>
        <v>12224.912944013253</v>
      </c>
      <c r="L328" s="39"/>
      <c r="M328" s="40"/>
      <c r="N328" s="40"/>
      <c r="O328" s="41"/>
    </row>
    <row r="329" spans="1:15" s="7" customFormat="1" ht="18.75">
      <c r="A329" s="56"/>
      <c r="B329" s="46"/>
      <c r="C329" s="42" t="s">
        <v>221</v>
      </c>
      <c r="D329" s="45" t="s">
        <v>41</v>
      </c>
      <c r="E329" s="44">
        <v>44441</v>
      </c>
      <c r="F329" s="34">
        <v>18079700.899317753</v>
      </c>
      <c r="G329" s="75">
        <v>44289</v>
      </c>
      <c r="H329" s="36">
        <v>18079700.899317753</v>
      </c>
      <c r="I329" s="35" t="s">
        <v>27</v>
      </c>
      <c r="J329" s="37">
        <f t="shared" si="17"/>
        <v>0</v>
      </c>
      <c r="K329" s="37">
        <f t="shared" si="18"/>
        <v>12224.912944013253</v>
      </c>
      <c r="L329" s="39"/>
      <c r="M329" s="40"/>
      <c r="N329" s="40"/>
      <c r="O329" s="41"/>
    </row>
    <row r="330" spans="1:15" s="7" customFormat="1" ht="18.75">
      <c r="A330" s="56"/>
      <c r="B330" s="46"/>
      <c r="C330" s="42" t="s">
        <v>222</v>
      </c>
      <c r="D330" s="45" t="s">
        <v>359</v>
      </c>
      <c r="E330" s="44">
        <v>44319</v>
      </c>
      <c r="F330" s="34">
        <v>22469341.824987747</v>
      </c>
      <c r="G330" s="75" t="s">
        <v>596</v>
      </c>
      <c r="H330" s="36">
        <v>22469341.960000001</v>
      </c>
      <c r="I330" s="35" t="s">
        <v>605</v>
      </c>
      <c r="J330" s="37">
        <f t="shared" si="17"/>
        <v>-0.13501225411891937</v>
      </c>
      <c r="K330" s="37">
        <f t="shared" si="18"/>
        <v>12224.912944013253</v>
      </c>
      <c r="L330" s="39"/>
      <c r="M330" s="40"/>
      <c r="N330" s="40"/>
      <c r="O330" s="41"/>
    </row>
    <row r="331" spans="1:15" s="7" customFormat="1" ht="18.75">
      <c r="A331" s="56"/>
      <c r="B331" s="46"/>
      <c r="C331" s="42" t="s">
        <v>349</v>
      </c>
      <c r="D331" s="45" t="s">
        <v>202</v>
      </c>
      <c r="E331" s="44">
        <v>44381</v>
      </c>
      <c r="F331" s="34">
        <v>25032035.137032002</v>
      </c>
      <c r="G331" s="75" t="s">
        <v>351</v>
      </c>
      <c r="H331" s="36">
        <v>25032034.420000002</v>
      </c>
      <c r="I331" s="35" t="s">
        <v>351</v>
      </c>
      <c r="J331" s="37">
        <f t="shared" si="17"/>
        <v>0.71703200042247772</v>
      </c>
      <c r="K331" s="37">
        <f t="shared" si="18"/>
        <v>12224.777931759134</v>
      </c>
      <c r="L331" s="39"/>
      <c r="M331" s="40"/>
      <c r="N331" s="40"/>
      <c r="O331" s="41"/>
    </row>
    <row r="332" spans="1:15" s="7" customFormat="1" ht="18.75">
      <c r="A332" s="56"/>
      <c r="B332" s="46" t="s">
        <v>606</v>
      </c>
      <c r="C332" s="31"/>
      <c r="D332" s="45"/>
      <c r="E332" s="44"/>
      <c r="F332" s="34"/>
      <c r="G332" s="35"/>
      <c r="H332" s="36"/>
      <c r="I332" s="35"/>
      <c r="J332" s="37"/>
      <c r="K332" s="38">
        <f t="shared" si="18"/>
        <v>12225.494963759556</v>
      </c>
      <c r="L332" s="39"/>
      <c r="M332" s="40"/>
      <c r="N332" s="40"/>
      <c r="O332" s="41"/>
    </row>
    <row r="333" spans="1:15" s="7" customFormat="1" ht="18.75">
      <c r="A333" s="56"/>
      <c r="B333" s="46"/>
      <c r="C333" s="31"/>
      <c r="D333" s="45"/>
      <c r="E333" s="44"/>
      <c r="F333" s="86"/>
      <c r="G333" s="35"/>
      <c r="H333" s="115"/>
      <c r="I333" s="35"/>
      <c r="J333" s="37"/>
      <c r="K333" s="38"/>
      <c r="L333" s="39"/>
      <c r="M333" s="40"/>
      <c r="N333" s="41"/>
      <c r="O333" s="41"/>
    </row>
    <row r="334" spans="1:15" s="7" customFormat="1" ht="18.75">
      <c r="A334" s="81">
        <v>10</v>
      </c>
      <c r="B334" s="57" t="s">
        <v>37</v>
      </c>
      <c r="C334" s="31" t="s">
        <v>607</v>
      </c>
      <c r="D334" s="32" t="s">
        <v>608</v>
      </c>
      <c r="E334" s="44"/>
      <c r="F334" s="34">
        <v>854917723.65999985</v>
      </c>
      <c r="G334" s="35"/>
      <c r="H334" s="36"/>
      <c r="I334" s="35"/>
      <c r="J334" s="110">
        <f t="shared" ref="J334:J381" si="19">F334-H334</f>
        <v>854917723.65999985</v>
      </c>
      <c r="K334" s="116">
        <v>0</v>
      </c>
      <c r="L334" s="60"/>
      <c r="M334" s="41"/>
      <c r="N334" s="41"/>
      <c r="O334" s="41"/>
    </row>
    <row r="335" spans="1:15" s="7" customFormat="1" ht="18.75">
      <c r="A335" s="81"/>
      <c r="B335" s="57"/>
      <c r="C335" s="41" t="s">
        <v>609</v>
      </c>
      <c r="D335" s="32" t="s">
        <v>186</v>
      </c>
      <c r="E335" s="44"/>
      <c r="F335" s="34">
        <v>1031349955.1</v>
      </c>
      <c r="G335" s="117" t="s">
        <v>610</v>
      </c>
      <c r="H335" s="47">
        <v>500000000</v>
      </c>
      <c r="I335" s="35">
        <v>42895</v>
      </c>
      <c r="J335" s="110">
        <f t="shared" si="19"/>
        <v>531349955.10000002</v>
      </c>
      <c r="K335" s="110">
        <f>K334+J334</f>
        <v>854917723.65999985</v>
      </c>
      <c r="L335" s="60"/>
      <c r="M335" s="41"/>
      <c r="N335" s="41"/>
      <c r="O335" s="41"/>
    </row>
    <row r="336" spans="1:15" s="7" customFormat="1" ht="18.75">
      <c r="A336" s="81"/>
      <c r="B336" s="57"/>
      <c r="C336" s="29" t="s">
        <v>611</v>
      </c>
      <c r="D336" s="32" t="s">
        <v>192</v>
      </c>
      <c r="E336" s="44"/>
      <c r="F336" s="118">
        <v>1018519583.47</v>
      </c>
      <c r="G336" s="119" t="s">
        <v>612</v>
      </c>
      <c r="H336" s="47">
        <v>500000000</v>
      </c>
      <c r="I336" s="35" t="s">
        <v>613</v>
      </c>
      <c r="J336" s="110">
        <f t="shared" si="19"/>
        <v>518519583.47000003</v>
      </c>
      <c r="K336" s="110">
        <f t="shared" ref="K336:K387" si="20">K335+J335</f>
        <v>1386267678.7599998</v>
      </c>
      <c r="L336" s="60"/>
      <c r="M336" s="41"/>
      <c r="N336" s="41"/>
      <c r="O336" s="41"/>
    </row>
    <row r="337" spans="1:15" s="7" customFormat="1" ht="18.75">
      <c r="A337" s="81"/>
      <c r="B337" s="57"/>
      <c r="C337" s="29" t="s">
        <v>614</v>
      </c>
      <c r="D337" s="32" t="s">
        <v>196</v>
      </c>
      <c r="E337" s="44"/>
      <c r="F337" s="118">
        <v>763894566.66999996</v>
      </c>
      <c r="G337" s="119" t="s">
        <v>615</v>
      </c>
      <c r="H337" s="47">
        <v>500000000</v>
      </c>
      <c r="I337" s="35" t="s">
        <v>616</v>
      </c>
      <c r="J337" s="110">
        <f t="shared" si="19"/>
        <v>263894566.66999996</v>
      </c>
      <c r="K337" s="110">
        <f t="shared" si="20"/>
        <v>1904787262.2299998</v>
      </c>
      <c r="L337" s="60"/>
      <c r="M337" s="41"/>
      <c r="N337" s="41"/>
      <c r="O337" s="41"/>
    </row>
    <row r="338" spans="1:15" s="7" customFormat="1" ht="18.75">
      <c r="A338" s="81"/>
      <c r="B338" s="109"/>
      <c r="C338" s="29" t="s">
        <v>489</v>
      </c>
      <c r="D338" s="32" t="s">
        <v>41</v>
      </c>
      <c r="E338" s="44"/>
      <c r="F338" s="118">
        <v>1011587701.04</v>
      </c>
      <c r="G338" s="117" t="s">
        <v>556</v>
      </c>
      <c r="H338" s="47">
        <v>500000000</v>
      </c>
      <c r="I338" s="35" t="s">
        <v>617</v>
      </c>
      <c r="J338" s="110">
        <f t="shared" si="19"/>
        <v>511587701.03999996</v>
      </c>
      <c r="K338" s="110">
        <f t="shared" si="20"/>
        <v>2168681828.8999996</v>
      </c>
      <c r="L338" s="60"/>
      <c r="M338" s="41"/>
      <c r="N338" s="41"/>
      <c r="O338" s="41"/>
    </row>
    <row r="339" spans="1:15" s="7" customFormat="1" ht="18.75">
      <c r="A339" s="81"/>
      <c r="B339" s="109"/>
      <c r="C339" s="29" t="s">
        <v>618</v>
      </c>
      <c r="D339" s="32" t="s">
        <v>359</v>
      </c>
      <c r="E339" s="44"/>
      <c r="F339" s="118">
        <v>1088465771.8900001</v>
      </c>
      <c r="G339" s="117" t="s">
        <v>619</v>
      </c>
      <c r="H339" s="47">
        <v>500000000</v>
      </c>
      <c r="I339" s="35" t="s">
        <v>620</v>
      </c>
      <c r="J339" s="110">
        <f t="shared" si="19"/>
        <v>588465771.8900001</v>
      </c>
      <c r="K339" s="110">
        <f t="shared" si="20"/>
        <v>2680269529.9399996</v>
      </c>
      <c r="L339" s="60"/>
      <c r="M339" s="41"/>
      <c r="N339" s="41"/>
      <c r="O339" s="41"/>
    </row>
    <row r="340" spans="1:15" s="7" customFormat="1" ht="18.75">
      <c r="A340" s="81"/>
      <c r="B340" s="109"/>
      <c r="C340" s="29" t="s">
        <v>560</v>
      </c>
      <c r="D340" s="32" t="s">
        <v>621</v>
      </c>
      <c r="E340" s="44"/>
      <c r="F340" s="95">
        <v>620782150.30999994</v>
      </c>
      <c r="G340" s="98" t="s">
        <v>561</v>
      </c>
      <c r="H340" s="47">
        <v>437267435.79000002</v>
      </c>
      <c r="I340" s="35" t="s">
        <v>622</v>
      </c>
      <c r="J340" s="110">
        <f t="shared" si="19"/>
        <v>183514714.51999992</v>
      </c>
      <c r="K340" s="110">
        <f t="shared" si="20"/>
        <v>3268735301.8299999</v>
      </c>
      <c r="L340" s="60"/>
      <c r="M340" s="41"/>
      <c r="N340" s="41"/>
      <c r="O340" s="41"/>
    </row>
    <row r="341" spans="1:15" s="7" customFormat="1" ht="18.75">
      <c r="A341" s="81"/>
      <c r="B341" s="109"/>
      <c r="C341" s="29" t="s">
        <v>562</v>
      </c>
      <c r="D341" s="32" t="s">
        <v>623</v>
      </c>
      <c r="E341" s="44"/>
      <c r="F341" s="95">
        <v>999632783.79999995</v>
      </c>
      <c r="G341" s="98">
        <v>42926</v>
      </c>
      <c r="H341" s="47">
        <v>566384030.66999996</v>
      </c>
      <c r="I341" s="35" t="s">
        <v>624</v>
      </c>
      <c r="J341" s="110">
        <f t="shared" si="19"/>
        <v>433248753.13</v>
      </c>
      <c r="K341" s="110">
        <f t="shared" si="20"/>
        <v>3452250016.3499999</v>
      </c>
      <c r="L341" s="60"/>
      <c r="M341" s="41"/>
      <c r="N341" s="41"/>
      <c r="O341" s="41"/>
    </row>
    <row r="342" spans="1:15" s="7" customFormat="1" ht="18.75">
      <c r="A342" s="81"/>
      <c r="B342" s="109"/>
      <c r="C342" s="29" t="s">
        <v>500</v>
      </c>
      <c r="D342" s="32" t="s">
        <v>625</v>
      </c>
      <c r="E342" s="44"/>
      <c r="F342" s="95">
        <v>1003651466.4299999</v>
      </c>
      <c r="G342" s="98">
        <v>42806</v>
      </c>
      <c r="H342" s="47">
        <v>1035997282.59</v>
      </c>
      <c r="I342" s="35" t="s">
        <v>626</v>
      </c>
      <c r="J342" s="110">
        <f t="shared" si="19"/>
        <v>-32345816.160000086</v>
      </c>
      <c r="K342" s="110">
        <f t="shared" si="20"/>
        <v>3885498769.48</v>
      </c>
      <c r="L342" s="60"/>
      <c r="M342" s="41"/>
      <c r="N342" s="41"/>
      <c r="O342" s="41"/>
    </row>
    <row r="343" spans="1:15" s="7" customFormat="1" ht="18.75">
      <c r="A343" s="81"/>
      <c r="B343" s="109"/>
      <c r="C343" s="29" t="s">
        <v>501</v>
      </c>
      <c r="D343" s="32" t="s">
        <v>627</v>
      </c>
      <c r="E343" s="44"/>
      <c r="F343" s="95">
        <v>1035997282.59</v>
      </c>
      <c r="G343" s="98" t="s">
        <v>502</v>
      </c>
      <c r="H343" s="47">
        <v>300000000</v>
      </c>
      <c r="I343" s="35" t="s">
        <v>628</v>
      </c>
      <c r="J343" s="110">
        <f t="shared" si="19"/>
        <v>735997282.59000003</v>
      </c>
      <c r="K343" s="110">
        <f t="shared" si="20"/>
        <v>3853152953.3199997</v>
      </c>
      <c r="L343" s="60"/>
      <c r="M343" s="41"/>
      <c r="N343" s="41"/>
      <c r="O343" s="41"/>
    </row>
    <row r="344" spans="1:15" s="7" customFormat="1" ht="18.75">
      <c r="A344" s="81"/>
      <c r="B344" s="109"/>
      <c r="C344" s="29" t="s">
        <v>504</v>
      </c>
      <c r="D344" s="32" t="s">
        <v>629</v>
      </c>
      <c r="E344" s="44"/>
      <c r="F344" s="95">
        <v>1007197556.87</v>
      </c>
      <c r="G344" s="75">
        <v>43222</v>
      </c>
      <c r="H344" s="47">
        <v>200000000</v>
      </c>
      <c r="I344" s="35" t="s">
        <v>630</v>
      </c>
      <c r="J344" s="110">
        <f t="shared" si="19"/>
        <v>807197556.87</v>
      </c>
      <c r="K344" s="110">
        <f t="shared" si="20"/>
        <v>4589150235.9099998</v>
      </c>
      <c r="L344" s="60"/>
      <c r="M344" s="41"/>
      <c r="N344" s="41"/>
      <c r="O344" s="41"/>
    </row>
    <row r="345" spans="1:15" s="7" customFormat="1" ht="18.75">
      <c r="A345" s="81"/>
      <c r="B345" s="109"/>
      <c r="C345" s="29" t="s">
        <v>506</v>
      </c>
      <c r="D345" s="32" t="s">
        <v>631</v>
      </c>
      <c r="E345" s="44"/>
      <c r="F345" s="95">
        <v>912377407.02999997</v>
      </c>
      <c r="G345" s="75">
        <v>43376</v>
      </c>
      <c r="H345" s="47">
        <f>400000000+512377407.03</f>
        <v>912377407.02999997</v>
      </c>
      <c r="I345" s="35" t="s">
        <v>356</v>
      </c>
      <c r="J345" s="110">
        <f t="shared" si="19"/>
        <v>0</v>
      </c>
      <c r="K345" s="110">
        <f t="shared" si="20"/>
        <v>5396347792.7799997</v>
      </c>
      <c r="L345" s="60"/>
      <c r="M345" s="41"/>
      <c r="N345" s="41"/>
      <c r="O345" s="41"/>
    </row>
    <row r="346" spans="1:15" s="7" customFormat="1" ht="18.75">
      <c r="A346" s="81"/>
      <c r="B346" s="109"/>
      <c r="C346" s="29"/>
      <c r="D346" s="32"/>
      <c r="E346" s="44"/>
      <c r="F346" s="95"/>
      <c r="G346" s="75"/>
      <c r="H346" s="47">
        <f>300000000+707197556.87</f>
        <v>1007197556.87</v>
      </c>
      <c r="I346" s="35"/>
      <c r="J346" s="110">
        <f t="shared" si="19"/>
        <v>-1007197556.87</v>
      </c>
      <c r="K346" s="110">
        <f t="shared" si="20"/>
        <v>5396347792.7799997</v>
      </c>
      <c r="L346" s="60"/>
      <c r="M346" s="41"/>
      <c r="N346" s="41"/>
      <c r="O346" s="41"/>
    </row>
    <row r="347" spans="1:15" s="7" customFormat="1" ht="18.75">
      <c r="A347" s="81"/>
      <c r="B347" s="109"/>
      <c r="C347" s="29" t="s">
        <v>508</v>
      </c>
      <c r="D347" s="32" t="s">
        <v>632</v>
      </c>
      <c r="E347" s="44"/>
      <c r="F347" s="95">
        <v>993772928.23000002</v>
      </c>
      <c r="G347" s="75" t="s">
        <v>509</v>
      </c>
      <c r="H347" s="47">
        <v>993772928.27999997</v>
      </c>
      <c r="I347" s="35" t="s">
        <v>633</v>
      </c>
      <c r="J347" s="110">
        <f t="shared" si="19"/>
        <v>-4.999995231628418E-2</v>
      </c>
      <c r="K347" s="110">
        <f t="shared" si="20"/>
        <v>4389150235.9099998</v>
      </c>
      <c r="L347" s="60"/>
      <c r="M347" s="41"/>
      <c r="N347" s="41"/>
      <c r="O347" s="41"/>
    </row>
    <row r="348" spans="1:15" s="7" customFormat="1" ht="18.75">
      <c r="A348" s="81"/>
      <c r="B348" s="109"/>
      <c r="C348" s="29" t="s">
        <v>355</v>
      </c>
      <c r="D348" s="32" t="s">
        <v>634</v>
      </c>
      <c r="E348" s="44"/>
      <c r="F348" s="95">
        <v>918983838.65400004</v>
      </c>
      <c r="G348" s="75" t="s">
        <v>510</v>
      </c>
      <c r="H348" s="47">
        <f>418983838.65+500000000</f>
        <v>918983838.64999998</v>
      </c>
      <c r="I348" s="35" t="s">
        <v>635</v>
      </c>
      <c r="J348" s="110">
        <f t="shared" si="19"/>
        <v>4.0000677108764648E-3</v>
      </c>
      <c r="K348" s="110">
        <f t="shared" si="20"/>
        <v>4389150235.8599997</v>
      </c>
      <c r="L348" s="60"/>
      <c r="M348" s="41"/>
      <c r="N348" s="41"/>
      <c r="O348" s="41"/>
    </row>
    <row r="349" spans="1:15" s="7" customFormat="1" ht="18.75">
      <c r="A349" s="81"/>
      <c r="B349" s="109"/>
      <c r="C349" s="31" t="s">
        <v>234</v>
      </c>
      <c r="D349" s="32" t="s">
        <v>636</v>
      </c>
      <c r="E349" s="44"/>
      <c r="F349" s="95">
        <v>1073656358.2079999</v>
      </c>
      <c r="G349" s="75" t="s">
        <v>637</v>
      </c>
      <c r="H349" s="47">
        <v>629489590.07000005</v>
      </c>
      <c r="I349" s="35" t="s">
        <v>638</v>
      </c>
      <c r="J349" s="110">
        <f t="shared" si="19"/>
        <v>444166768.13799989</v>
      </c>
      <c r="K349" s="110">
        <f t="shared" si="20"/>
        <v>4389150235.8639994</v>
      </c>
      <c r="L349" s="60"/>
      <c r="M349" s="41"/>
      <c r="N349" s="41"/>
      <c r="O349" s="41"/>
    </row>
    <row r="350" spans="1:15" s="7" customFormat="1" ht="18.75">
      <c r="A350" s="81"/>
      <c r="B350" s="109"/>
      <c r="C350" s="31" t="s">
        <v>514</v>
      </c>
      <c r="D350" s="32" t="s">
        <v>639</v>
      </c>
      <c r="E350" s="44"/>
      <c r="F350" s="95">
        <v>555833231.85599995</v>
      </c>
      <c r="G350" s="75" t="s">
        <v>640</v>
      </c>
      <c r="H350" s="47">
        <v>515000000</v>
      </c>
      <c r="I350" s="35">
        <v>43168</v>
      </c>
      <c r="J350" s="110">
        <f t="shared" si="19"/>
        <v>40833231.855999947</v>
      </c>
      <c r="K350" s="110">
        <f t="shared" si="20"/>
        <v>4833317004.0019989</v>
      </c>
      <c r="L350" s="60"/>
      <c r="M350" s="41"/>
      <c r="N350" s="41"/>
      <c r="O350" s="41"/>
    </row>
    <row r="351" spans="1:15" s="7" customFormat="1" ht="18.75">
      <c r="A351" s="81"/>
      <c r="B351" s="109"/>
      <c r="C351" s="102" t="s">
        <v>238</v>
      </c>
      <c r="D351" s="103" t="s">
        <v>641</v>
      </c>
      <c r="E351" s="44"/>
      <c r="F351" s="104">
        <v>1019612775.2579999</v>
      </c>
      <c r="G351" s="75" t="s">
        <v>642</v>
      </c>
      <c r="H351" s="47">
        <v>485000000</v>
      </c>
      <c r="I351" s="96">
        <v>43199</v>
      </c>
      <c r="J351" s="110">
        <f t="shared" si="19"/>
        <v>534612775.2579999</v>
      </c>
      <c r="K351" s="110">
        <f t="shared" si="20"/>
        <v>4874150235.8579988</v>
      </c>
      <c r="L351" s="60"/>
      <c r="M351" s="41"/>
      <c r="N351" s="41"/>
      <c r="O351" s="41"/>
    </row>
    <row r="352" spans="1:15" s="7" customFormat="1" ht="18.75">
      <c r="A352" s="81"/>
      <c r="B352" s="109"/>
      <c r="C352" s="111" t="s">
        <v>240</v>
      </c>
      <c r="D352" s="103" t="s">
        <v>643</v>
      </c>
      <c r="E352" s="44"/>
      <c r="F352" s="104">
        <v>1067556749.4900002</v>
      </c>
      <c r="G352" s="75" t="s">
        <v>644</v>
      </c>
      <c r="H352" s="47">
        <f>403000000+218000000</f>
        <v>621000000</v>
      </c>
      <c r="I352" s="96">
        <v>43383</v>
      </c>
      <c r="J352" s="110">
        <f t="shared" si="19"/>
        <v>446556749.49000025</v>
      </c>
      <c r="K352" s="110">
        <f t="shared" si="20"/>
        <v>5408763011.1159992</v>
      </c>
      <c r="L352" s="60"/>
      <c r="M352" s="41"/>
      <c r="N352" s="41"/>
      <c r="O352" s="41"/>
    </row>
    <row r="353" spans="1:15" s="7" customFormat="1" ht="18.75">
      <c r="A353" s="81"/>
      <c r="B353" s="109"/>
      <c r="C353" s="102" t="s">
        <v>243</v>
      </c>
      <c r="D353" s="103" t="s">
        <v>645</v>
      </c>
      <c r="E353" s="44"/>
      <c r="F353" s="104">
        <v>1101625580.5800002</v>
      </c>
      <c r="G353" s="75" t="s">
        <v>424</v>
      </c>
      <c r="H353" s="47">
        <v>398614975.25999999</v>
      </c>
      <c r="I353" s="96">
        <v>43111</v>
      </c>
      <c r="J353" s="110">
        <f t="shared" si="19"/>
        <v>703010605.32000017</v>
      </c>
      <c r="K353" s="110">
        <f t="shared" si="20"/>
        <v>5855319760.605999</v>
      </c>
      <c r="L353" s="60"/>
      <c r="M353" s="41"/>
      <c r="N353" s="41"/>
      <c r="O353" s="41"/>
    </row>
    <row r="354" spans="1:15" s="7" customFormat="1" ht="18.75">
      <c r="A354" s="81"/>
      <c r="B354" s="109"/>
      <c r="C354" s="102" t="s">
        <v>246</v>
      </c>
      <c r="D354" s="103" t="s">
        <v>646</v>
      </c>
      <c r="E354" s="44"/>
      <c r="F354" s="104">
        <v>873381471.95249999</v>
      </c>
      <c r="G354" s="105" t="s">
        <v>647</v>
      </c>
      <c r="H354" s="54"/>
      <c r="I354" s="97"/>
      <c r="J354" s="110">
        <f t="shared" si="19"/>
        <v>873381471.95249999</v>
      </c>
      <c r="K354" s="110">
        <f t="shared" si="20"/>
        <v>6558330365.9259987</v>
      </c>
      <c r="L354" s="60"/>
      <c r="M354" s="41"/>
      <c r="N354" s="41"/>
      <c r="O354" s="41"/>
    </row>
    <row r="355" spans="1:15" s="7" customFormat="1" ht="18.75">
      <c r="A355" s="81"/>
      <c r="B355" s="109"/>
      <c r="C355" s="111" t="s">
        <v>248</v>
      </c>
      <c r="D355" s="103" t="s">
        <v>648</v>
      </c>
      <c r="E355" s="44"/>
      <c r="F355" s="104">
        <v>1008268454.2245001</v>
      </c>
      <c r="G355" s="105" t="s">
        <v>649</v>
      </c>
      <c r="H355" s="47">
        <f>590000157.5</f>
        <v>590000157.5</v>
      </c>
      <c r="I355" s="76" t="s">
        <v>650</v>
      </c>
      <c r="J355" s="110">
        <f t="shared" si="19"/>
        <v>418268296.72450006</v>
      </c>
      <c r="K355" s="110">
        <f t="shared" si="20"/>
        <v>7431711837.878499</v>
      </c>
      <c r="L355" s="60"/>
      <c r="M355" s="41"/>
      <c r="N355" s="41"/>
      <c r="O355" s="41"/>
    </row>
    <row r="356" spans="1:15" s="7" customFormat="1" ht="18.75">
      <c r="A356" s="81"/>
      <c r="B356" s="109"/>
      <c r="C356" s="111" t="s">
        <v>250</v>
      </c>
      <c r="D356" s="103" t="s">
        <v>54</v>
      </c>
      <c r="E356" s="44"/>
      <c r="F356" s="104">
        <v>939732468.74000001</v>
      </c>
      <c r="G356" s="105" t="s">
        <v>651</v>
      </c>
      <c r="H356" s="47">
        <f>340000157.5+512443565.81+137556434.19</f>
        <v>990000157.5</v>
      </c>
      <c r="I356" s="76" t="s">
        <v>525</v>
      </c>
      <c r="J356" s="110">
        <f t="shared" si="19"/>
        <v>-50267688.75999999</v>
      </c>
      <c r="K356" s="110">
        <f t="shared" si="20"/>
        <v>7849980134.6029987</v>
      </c>
      <c r="L356" s="60"/>
      <c r="M356" s="41"/>
      <c r="N356" s="41"/>
      <c r="O356" s="41"/>
    </row>
    <row r="357" spans="1:15" s="7" customFormat="1" ht="18.75">
      <c r="A357" s="81"/>
      <c r="B357" s="109"/>
      <c r="C357" s="111" t="s">
        <v>139</v>
      </c>
      <c r="D357" s="103" t="s">
        <v>379</v>
      </c>
      <c r="E357" s="44"/>
      <c r="F357" s="104">
        <v>1115087566.1600001</v>
      </c>
      <c r="G357" s="105" t="s">
        <v>364</v>
      </c>
      <c r="H357" s="47">
        <v>300000000</v>
      </c>
      <c r="I357" s="76" t="s">
        <v>652</v>
      </c>
      <c r="J357" s="110">
        <f t="shared" si="19"/>
        <v>815087566.16000009</v>
      </c>
      <c r="K357" s="110">
        <f t="shared" si="20"/>
        <v>7799712445.8429985</v>
      </c>
      <c r="L357" s="60"/>
      <c r="M357" s="41"/>
      <c r="N357" s="41"/>
      <c r="O357" s="41"/>
    </row>
    <row r="358" spans="1:15" s="7" customFormat="1" ht="18.75">
      <c r="A358" s="81"/>
      <c r="B358" s="109"/>
      <c r="C358" s="62" t="s">
        <v>142</v>
      </c>
      <c r="D358" s="103" t="s">
        <v>381</v>
      </c>
      <c r="E358" s="44"/>
      <c r="F358" s="104">
        <v>951760056.74399996</v>
      </c>
      <c r="G358" s="105"/>
      <c r="H358" s="47">
        <f>200000000+89182014.77</f>
        <v>289182014.76999998</v>
      </c>
      <c r="I358" s="76" t="s">
        <v>653</v>
      </c>
      <c r="J358" s="110">
        <f t="shared" si="19"/>
        <v>662578041.97399998</v>
      </c>
      <c r="K358" s="110">
        <f t="shared" si="20"/>
        <v>8614800012.0029984</v>
      </c>
      <c r="L358" s="60"/>
      <c r="M358" s="41"/>
      <c r="N358" s="41"/>
      <c r="O358" s="41"/>
    </row>
    <row r="359" spans="1:15" s="7" customFormat="1" ht="18.75">
      <c r="A359" s="81"/>
      <c r="B359" s="109"/>
      <c r="C359" s="62" t="s">
        <v>145</v>
      </c>
      <c r="D359" s="103" t="s">
        <v>383</v>
      </c>
      <c r="E359" s="44"/>
      <c r="F359" s="104">
        <v>1147197662.3310001</v>
      </c>
      <c r="G359" s="105" t="s">
        <v>362</v>
      </c>
      <c r="H359" s="47">
        <v>600000000</v>
      </c>
      <c r="I359" s="76" t="s">
        <v>143</v>
      </c>
      <c r="J359" s="110">
        <f t="shared" si="19"/>
        <v>547197662.33100009</v>
      </c>
      <c r="K359" s="110">
        <f t="shared" si="20"/>
        <v>9277378053.9769974</v>
      </c>
      <c r="L359" s="60"/>
      <c r="M359" s="41"/>
      <c r="N359" s="41"/>
      <c r="O359" s="41"/>
    </row>
    <row r="360" spans="1:15" s="7" customFormat="1" ht="18.75">
      <c r="A360" s="81"/>
      <c r="B360" s="109"/>
      <c r="C360" s="62" t="s">
        <v>148</v>
      </c>
      <c r="D360" s="103" t="s">
        <v>384</v>
      </c>
      <c r="E360" s="44"/>
      <c r="F360" s="104">
        <v>1601246724.0000002</v>
      </c>
      <c r="G360" s="105" t="s">
        <v>433</v>
      </c>
      <c r="H360" s="47">
        <f>726618528.05+273381471.95+500000000+281649926.5+218350073.5</f>
        <v>2000000000</v>
      </c>
      <c r="I360" s="76" t="s">
        <v>318</v>
      </c>
      <c r="J360" s="110">
        <f t="shared" si="19"/>
        <v>-398753275.99999976</v>
      </c>
      <c r="K360" s="110">
        <f t="shared" si="20"/>
        <v>9824575716.3079967</v>
      </c>
      <c r="L360" s="60"/>
      <c r="M360" s="41"/>
      <c r="N360" s="41"/>
      <c r="O360" s="41"/>
    </row>
    <row r="361" spans="1:15" s="7" customFormat="1" ht="18.75">
      <c r="A361" s="81"/>
      <c r="B361" s="109"/>
      <c r="C361" s="62" t="s">
        <v>151</v>
      </c>
      <c r="D361" s="103" t="s">
        <v>385</v>
      </c>
      <c r="E361" s="44"/>
      <c r="F361" s="104">
        <v>1888229700.819</v>
      </c>
      <c r="G361" s="105" t="s">
        <v>152</v>
      </c>
      <c r="H361" s="47">
        <v>2000000000</v>
      </c>
      <c r="I361" s="76" t="s">
        <v>654</v>
      </c>
      <c r="J361" s="110">
        <f t="shared" si="19"/>
        <v>-111770299.18099999</v>
      </c>
      <c r="K361" s="110">
        <f t="shared" si="20"/>
        <v>9425822440.3079967</v>
      </c>
      <c r="L361" s="60"/>
      <c r="M361" s="41"/>
      <c r="N361" s="41"/>
      <c r="O361" s="41"/>
    </row>
    <row r="362" spans="1:15" s="7" customFormat="1" ht="18.75">
      <c r="A362" s="81"/>
      <c r="B362" s="109"/>
      <c r="C362" s="62" t="s">
        <v>154</v>
      </c>
      <c r="D362" s="103" t="s">
        <v>386</v>
      </c>
      <c r="E362" s="44"/>
      <c r="F362" s="104">
        <v>1741664223.684</v>
      </c>
      <c r="G362" s="105" t="s">
        <v>156</v>
      </c>
      <c r="H362" s="47">
        <f>288230175.64+711770139.36+564572319.53+435427680.47+913000000</f>
        <v>2913000315</v>
      </c>
      <c r="I362" s="76" t="s">
        <v>655</v>
      </c>
      <c r="J362" s="110">
        <f t="shared" si="19"/>
        <v>-1171336091.316</v>
      </c>
      <c r="K362" s="110">
        <f t="shared" si="20"/>
        <v>9314052141.126997</v>
      </c>
      <c r="L362" s="60"/>
      <c r="M362" s="41"/>
      <c r="N362" s="41"/>
      <c r="O362" s="41"/>
    </row>
    <row r="363" spans="1:15" s="7" customFormat="1" ht="18.75">
      <c r="A363" s="81"/>
      <c r="B363" s="109"/>
      <c r="C363" s="62" t="s">
        <v>158</v>
      </c>
      <c r="D363" s="103" t="s">
        <v>388</v>
      </c>
      <c r="E363" s="44"/>
      <c r="F363" s="104">
        <v>2072388208.1280003</v>
      </c>
      <c r="G363" s="105" t="s">
        <v>160</v>
      </c>
      <c r="H363" s="47">
        <f>36674404.47+963325595.53+87000000+924904105.29+75095894.71</f>
        <v>2087000000</v>
      </c>
      <c r="I363" s="76" t="s">
        <v>656</v>
      </c>
      <c r="J363" s="110">
        <f t="shared" si="19"/>
        <v>-14611791.871999741</v>
      </c>
      <c r="K363" s="110">
        <f t="shared" si="20"/>
        <v>8142716049.810997</v>
      </c>
      <c r="L363" s="60"/>
      <c r="M363" s="41"/>
      <c r="N363" s="41"/>
      <c r="O363" s="41"/>
    </row>
    <row r="364" spans="1:15" s="7" customFormat="1" ht="18.75">
      <c r="A364" s="81"/>
      <c r="B364" s="109"/>
      <c r="C364" s="62" t="s">
        <v>162</v>
      </c>
      <c r="D364" s="103" t="s">
        <v>39</v>
      </c>
      <c r="E364" s="44"/>
      <c r="F364" s="104">
        <v>1722106082.8439999</v>
      </c>
      <c r="G364" s="105" t="s">
        <v>164</v>
      </c>
      <c r="H364" s="47">
        <f>1000000000+48000000+666568328.97+285431671.03</f>
        <v>2000000000</v>
      </c>
      <c r="I364" s="76" t="s">
        <v>657</v>
      </c>
      <c r="J364" s="110">
        <f t="shared" si="19"/>
        <v>-277893917.15600014</v>
      </c>
      <c r="K364" s="110">
        <f t="shared" si="20"/>
        <v>8128104257.9389973</v>
      </c>
      <c r="L364" s="60"/>
      <c r="M364" s="41"/>
      <c r="N364" s="41"/>
      <c r="O364" s="41"/>
    </row>
    <row r="365" spans="1:15" s="7" customFormat="1" ht="18.75">
      <c r="A365" s="81"/>
      <c r="B365" s="109"/>
      <c r="C365" s="62" t="s">
        <v>166</v>
      </c>
      <c r="D365" s="103" t="s">
        <v>390</v>
      </c>
      <c r="E365" s="44"/>
      <c r="F365" s="104">
        <v>2143903478.1989999</v>
      </c>
      <c r="G365" s="105" t="s">
        <v>168</v>
      </c>
      <c r="H365" s="47">
        <f>120000000+479000000+401000000+722106082.84+738956537.1</f>
        <v>2461062619.9400001</v>
      </c>
      <c r="I365" s="76" t="s">
        <v>658</v>
      </c>
      <c r="J365" s="110">
        <f t="shared" si="19"/>
        <v>-317159141.74100018</v>
      </c>
      <c r="K365" s="110">
        <f t="shared" si="20"/>
        <v>7850210340.7829971</v>
      </c>
      <c r="L365" s="60"/>
      <c r="M365" s="41"/>
      <c r="N365" s="41"/>
      <c r="O365" s="41"/>
    </row>
    <row r="366" spans="1:15" s="7" customFormat="1" ht="18.75">
      <c r="A366" s="81"/>
      <c r="B366" s="109"/>
      <c r="C366" s="62" t="s">
        <v>170</v>
      </c>
      <c r="D366" s="103" t="s">
        <v>392</v>
      </c>
      <c r="E366" s="44"/>
      <c r="F366" s="104">
        <v>1709506890.3989999</v>
      </c>
      <c r="G366" s="105" t="s">
        <v>172</v>
      </c>
      <c r="H366" s="47">
        <f>1000000000+1000000000</f>
        <v>2000000000</v>
      </c>
      <c r="I366" s="76" t="s">
        <v>659</v>
      </c>
      <c r="J366" s="110">
        <f t="shared" si="19"/>
        <v>-290493109.60100007</v>
      </c>
      <c r="K366" s="110">
        <f t="shared" si="20"/>
        <v>7533051199.041997</v>
      </c>
      <c r="L366" s="60"/>
      <c r="M366" s="41"/>
      <c r="N366" s="41"/>
      <c r="O366" s="41"/>
    </row>
    <row r="367" spans="1:15" s="7" customFormat="1" ht="18.75">
      <c r="A367" s="81"/>
      <c r="B367" s="109"/>
      <c r="C367" s="62" t="s">
        <v>174</v>
      </c>
      <c r="D367" s="103" t="s">
        <v>393</v>
      </c>
      <c r="E367" s="44"/>
      <c r="F367" s="104">
        <v>1566206212.0320001</v>
      </c>
      <c r="G367" s="105" t="s">
        <v>176</v>
      </c>
      <c r="H367" s="47">
        <f>1000000000+856096521.8+143903478.2</f>
        <v>2000000000</v>
      </c>
      <c r="I367" s="76" t="s">
        <v>660</v>
      </c>
      <c r="J367" s="110">
        <f t="shared" si="19"/>
        <v>-433793787.96799994</v>
      </c>
      <c r="K367" s="110">
        <f t="shared" si="20"/>
        <v>7242558089.4409971</v>
      </c>
      <c r="L367" s="60"/>
      <c r="M367" s="41"/>
      <c r="N367" s="41"/>
      <c r="O367" s="41"/>
    </row>
    <row r="368" spans="1:15" s="7" customFormat="1" ht="18.75">
      <c r="A368" s="81"/>
      <c r="B368" s="109"/>
      <c r="C368" s="62" t="s">
        <v>178</v>
      </c>
      <c r="D368" s="103" t="s">
        <v>528</v>
      </c>
      <c r="E368" s="44"/>
      <c r="F368" s="104">
        <v>1318967772.234</v>
      </c>
      <c r="G368" s="105" t="s">
        <v>179</v>
      </c>
      <c r="H368" s="47">
        <v>853410368.60000002</v>
      </c>
      <c r="I368" s="76" t="s">
        <v>378</v>
      </c>
      <c r="J368" s="110">
        <f t="shared" si="19"/>
        <v>465557403.63399994</v>
      </c>
      <c r="K368" s="110">
        <f t="shared" si="20"/>
        <v>6808764301.4729977</v>
      </c>
      <c r="L368" s="60"/>
      <c r="M368" s="41"/>
      <c r="N368" s="41"/>
      <c r="O368" s="41"/>
    </row>
    <row r="369" spans="1:15" s="7" customFormat="1" ht="18.75">
      <c r="A369" s="81"/>
      <c r="B369" s="109"/>
      <c r="C369" s="62" t="s">
        <v>181</v>
      </c>
      <c r="D369" s="103" t="s">
        <v>35</v>
      </c>
      <c r="E369" s="44"/>
      <c r="F369" s="104">
        <v>1163621944.4850001</v>
      </c>
      <c r="G369" s="105" t="s">
        <v>183</v>
      </c>
      <c r="H369" s="47">
        <v>1000000000</v>
      </c>
      <c r="I369" s="76" t="s">
        <v>661</v>
      </c>
      <c r="J369" s="110">
        <f t="shared" si="19"/>
        <v>163621944.48500013</v>
      </c>
      <c r="K369" s="110">
        <f t="shared" si="20"/>
        <v>7274321705.1069975</v>
      </c>
      <c r="L369" s="60"/>
      <c r="M369" s="41"/>
      <c r="N369" s="41"/>
      <c r="O369" s="41"/>
    </row>
    <row r="370" spans="1:15" s="7" customFormat="1" ht="18.75">
      <c r="A370" s="81"/>
      <c r="B370" s="109"/>
      <c r="C370" s="62" t="s">
        <v>185</v>
      </c>
      <c r="D370" s="103" t="s">
        <v>530</v>
      </c>
      <c r="E370" s="44"/>
      <c r="F370" s="104">
        <v>1399827554.79</v>
      </c>
      <c r="G370" s="105" t="s">
        <v>187</v>
      </c>
      <c r="H370" s="47">
        <f>433793787.97+566206212.03</f>
        <v>1000000000</v>
      </c>
      <c r="I370" s="76" t="s">
        <v>662</v>
      </c>
      <c r="J370" s="110">
        <f t="shared" si="19"/>
        <v>399827554.78999996</v>
      </c>
      <c r="K370" s="110">
        <f t="shared" si="20"/>
        <v>7437943649.5919971</v>
      </c>
      <c r="L370" s="60"/>
      <c r="M370" s="41"/>
      <c r="N370" s="41"/>
      <c r="O370" s="41"/>
    </row>
    <row r="371" spans="1:15" s="7" customFormat="1" ht="18.75">
      <c r="A371" s="81"/>
      <c r="B371" s="109"/>
      <c r="C371" s="62" t="s">
        <v>189</v>
      </c>
      <c r="D371" s="103" t="s">
        <v>532</v>
      </c>
      <c r="E371" s="44"/>
      <c r="F371" s="104">
        <v>1222078173.1759999</v>
      </c>
      <c r="G371" s="105" t="s">
        <v>377</v>
      </c>
      <c r="H371" s="47">
        <f>114826015.74+885173984.26</f>
        <v>1000000000</v>
      </c>
      <c r="I371" s="75">
        <v>44111</v>
      </c>
      <c r="J371" s="110">
        <f t="shared" si="19"/>
        <v>222078173.17599988</v>
      </c>
      <c r="K371" s="110">
        <f t="shared" si="20"/>
        <v>7837771204.3819971</v>
      </c>
      <c r="L371" s="60"/>
      <c r="M371" s="41"/>
      <c r="N371" s="41"/>
      <c r="O371" s="41"/>
    </row>
    <row r="372" spans="1:15" s="7" customFormat="1" ht="18.75">
      <c r="A372" s="81"/>
      <c r="B372" s="109"/>
      <c r="C372" s="62" t="s">
        <v>191</v>
      </c>
      <c r="D372" s="103" t="s">
        <v>534</v>
      </c>
      <c r="E372" s="44">
        <v>43986</v>
      </c>
      <c r="F372" s="104">
        <v>1885196274.2600002</v>
      </c>
      <c r="G372" s="105" t="s">
        <v>193</v>
      </c>
      <c r="H372" s="47">
        <v>1000000000</v>
      </c>
      <c r="I372" s="75">
        <v>44112</v>
      </c>
      <c r="J372" s="110">
        <f t="shared" si="19"/>
        <v>885196274.26000023</v>
      </c>
      <c r="K372" s="110">
        <f t="shared" si="20"/>
        <v>8059849377.5579967</v>
      </c>
      <c r="L372" s="60"/>
      <c r="M372" s="41"/>
      <c r="N372" s="41"/>
      <c r="O372" s="41"/>
    </row>
    <row r="373" spans="1:15" s="7" customFormat="1" ht="18.75">
      <c r="A373" s="81"/>
      <c r="B373" s="109"/>
      <c r="C373" s="62" t="s">
        <v>195</v>
      </c>
      <c r="D373" s="103" t="s">
        <v>535</v>
      </c>
      <c r="E373" s="44" t="s">
        <v>197</v>
      </c>
      <c r="F373" s="104">
        <v>2074497615.4559999</v>
      </c>
      <c r="G373" s="105" t="s">
        <v>198</v>
      </c>
      <c r="H373" s="47">
        <f>48795928.75+951204071.25</f>
        <v>1000000000</v>
      </c>
      <c r="I373" s="75">
        <v>44052</v>
      </c>
      <c r="J373" s="110">
        <f t="shared" si="19"/>
        <v>1074497615.4559999</v>
      </c>
      <c r="K373" s="110">
        <f t="shared" si="20"/>
        <v>8945045651.817997</v>
      </c>
      <c r="L373" s="60"/>
      <c r="M373" s="41"/>
      <c r="N373" s="41"/>
      <c r="O373" s="41"/>
    </row>
    <row r="374" spans="1:15" s="7" customFormat="1" ht="18.75">
      <c r="A374" s="81"/>
      <c r="B374" s="109"/>
      <c r="C374" s="62" t="s">
        <v>199</v>
      </c>
      <c r="D374" s="103" t="s">
        <v>359</v>
      </c>
      <c r="E374" s="44">
        <v>44049</v>
      </c>
      <c r="F374" s="104">
        <v>2252888155.1999998</v>
      </c>
      <c r="G374" s="105">
        <v>43897</v>
      </c>
      <c r="H374" s="47"/>
      <c r="I374" s="76"/>
      <c r="J374" s="110">
        <f t="shared" si="19"/>
        <v>2252888155.1999998</v>
      </c>
      <c r="K374" s="110">
        <f t="shared" si="20"/>
        <v>10019543267.273996</v>
      </c>
      <c r="L374" s="60"/>
      <c r="M374" s="41"/>
      <c r="N374" s="41"/>
      <c r="O374" s="41"/>
    </row>
    <row r="375" spans="1:15" s="7" customFormat="1" ht="18.75">
      <c r="A375" s="81"/>
      <c r="B375" s="109"/>
      <c r="C375" s="62" t="s">
        <v>201</v>
      </c>
      <c r="D375" s="103" t="s">
        <v>538</v>
      </c>
      <c r="E375" s="44" t="s">
        <v>449</v>
      </c>
      <c r="F375" s="104">
        <v>1784096336.8</v>
      </c>
      <c r="G375" s="105">
        <v>43929</v>
      </c>
      <c r="H375" s="47"/>
      <c r="I375" s="76"/>
      <c r="J375" s="110">
        <f t="shared" si="19"/>
        <v>1784096336.8</v>
      </c>
      <c r="K375" s="110">
        <f t="shared" si="20"/>
        <v>12272431422.473995</v>
      </c>
      <c r="L375" s="60"/>
      <c r="M375" s="41"/>
      <c r="N375" s="41"/>
      <c r="O375" s="41"/>
    </row>
    <row r="376" spans="1:15" s="7" customFormat="1" ht="18.75">
      <c r="A376" s="81"/>
      <c r="B376" s="109"/>
      <c r="C376" s="62" t="s">
        <v>203</v>
      </c>
      <c r="D376" s="103" t="s">
        <v>43</v>
      </c>
      <c r="E376" s="44">
        <v>44020</v>
      </c>
      <c r="F376" s="104">
        <v>2258358612.4759998</v>
      </c>
      <c r="G376" s="105" t="s">
        <v>450</v>
      </c>
      <c r="H376" s="47"/>
      <c r="I376" s="76"/>
      <c r="J376" s="110">
        <f t="shared" si="19"/>
        <v>2258358612.4759998</v>
      </c>
      <c r="K376" s="110">
        <f t="shared" si="20"/>
        <v>14056527759.273994</v>
      </c>
      <c r="L376" s="60"/>
      <c r="M376" s="41"/>
      <c r="N376" s="41"/>
      <c r="O376" s="41"/>
    </row>
    <row r="377" spans="1:15" s="7" customFormat="1" ht="18.75">
      <c r="A377" s="81"/>
      <c r="B377" s="109"/>
      <c r="C377" s="62" t="s">
        <v>207</v>
      </c>
      <c r="D377" s="103" t="s">
        <v>540</v>
      </c>
      <c r="E377" s="44" t="s">
        <v>209</v>
      </c>
      <c r="F377" s="104">
        <v>1588451154.4599998</v>
      </c>
      <c r="G377" s="105" t="s">
        <v>210</v>
      </c>
      <c r="H377" s="47"/>
      <c r="I377" s="76"/>
      <c r="J377" s="110">
        <f t="shared" si="19"/>
        <v>1588451154.4599998</v>
      </c>
      <c r="K377" s="110">
        <f t="shared" si="20"/>
        <v>16314886371.749994</v>
      </c>
      <c r="L377" s="60"/>
      <c r="M377" s="41"/>
      <c r="N377" s="41"/>
      <c r="O377" s="41"/>
    </row>
    <row r="378" spans="1:15" s="7" customFormat="1" ht="18.75">
      <c r="A378" s="81"/>
      <c r="B378" s="109"/>
      <c r="C378" s="62" t="s">
        <v>212</v>
      </c>
      <c r="D378" s="103" t="s">
        <v>542</v>
      </c>
      <c r="E378" s="44">
        <v>44084</v>
      </c>
      <c r="F378" s="104">
        <v>2060048455.9502501</v>
      </c>
      <c r="G378" s="105" t="s">
        <v>213</v>
      </c>
      <c r="H378" s="47"/>
      <c r="I378" s="76"/>
      <c r="J378" s="110">
        <f t="shared" si="19"/>
        <v>2060048455.9502501</v>
      </c>
      <c r="K378" s="110">
        <f t="shared" si="20"/>
        <v>17903337526.209995</v>
      </c>
      <c r="L378" s="60"/>
      <c r="M378" s="41"/>
      <c r="N378" s="41"/>
      <c r="O378" s="41"/>
    </row>
    <row r="379" spans="1:15" s="7" customFormat="1" ht="18.75">
      <c r="A379" s="81"/>
      <c r="B379" s="109"/>
      <c r="C379" s="120" t="s">
        <v>663</v>
      </c>
      <c r="D379" s="103"/>
      <c r="E379" s="44"/>
      <c r="F379" s="104"/>
      <c r="G379" s="105"/>
      <c r="H379" s="47">
        <v>16087541230.15</v>
      </c>
      <c r="I379" s="76"/>
      <c r="J379" s="110">
        <f t="shared" si="19"/>
        <v>-16087541230.15</v>
      </c>
      <c r="K379" s="110">
        <f t="shared" si="20"/>
        <v>19963385982.160244</v>
      </c>
      <c r="L379" s="60"/>
      <c r="M379" s="41"/>
      <c r="N379" s="41"/>
      <c r="O379" s="41"/>
    </row>
    <row r="380" spans="1:15" s="7" customFormat="1" ht="18.75">
      <c r="A380" s="81"/>
      <c r="B380" s="109"/>
      <c r="C380" s="120"/>
      <c r="D380" s="103"/>
      <c r="E380" s="44"/>
      <c r="F380" s="104"/>
      <c r="G380" s="105"/>
      <c r="H380" s="47">
        <f>1000000000+928617417.25</f>
        <v>1928617417.25</v>
      </c>
      <c r="I380" s="76" t="s">
        <v>288</v>
      </c>
      <c r="J380" s="110">
        <f t="shared" si="19"/>
        <v>-1928617417.25</v>
      </c>
      <c r="K380" s="110">
        <f t="shared" si="20"/>
        <v>3875844752.0102444</v>
      </c>
      <c r="L380" s="60"/>
      <c r="M380" s="41"/>
      <c r="N380" s="41"/>
      <c r="O380" s="41"/>
    </row>
    <row r="381" spans="1:15" s="7" customFormat="1" ht="18.75">
      <c r="A381" s="81"/>
      <c r="B381" s="109"/>
      <c r="C381" s="120"/>
      <c r="D381" s="103"/>
      <c r="E381" s="44"/>
      <c r="F381" s="104"/>
      <c r="G381" s="105"/>
      <c r="H381" s="47">
        <v>1928617417.25</v>
      </c>
      <c r="I381" s="76" t="s">
        <v>664</v>
      </c>
      <c r="J381" s="110">
        <f t="shared" si="19"/>
        <v>-1928617417.25</v>
      </c>
      <c r="K381" s="110">
        <f t="shared" si="20"/>
        <v>1947227334.7602444</v>
      </c>
      <c r="L381" s="60"/>
      <c r="M381" s="41"/>
      <c r="N381" s="41"/>
      <c r="O381" s="41"/>
    </row>
    <row r="382" spans="1:15" s="7" customFormat="1" ht="18.75">
      <c r="A382" s="81"/>
      <c r="B382" s="109"/>
      <c r="C382" s="62" t="s">
        <v>214</v>
      </c>
      <c r="D382" s="103" t="s">
        <v>543</v>
      </c>
      <c r="E382" s="44">
        <v>43962</v>
      </c>
      <c r="F382" s="104">
        <v>2059277037.6057498</v>
      </c>
      <c r="G382" s="105" t="s">
        <v>216</v>
      </c>
      <c r="H382" s="47">
        <v>2059277037.6099999</v>
      </c>
      <c r="I382" s="44">
        <v>44441</v>
      </c>
      <c r="J382" s="110">
        <f>F382-H382</f>
        <v>-4.2500495910644531E-3</v>
      </c>
      <c r="K382" s="110">
        <f t="shared" si="20"/>
        <v>18609917.51024437</v>
      </c>
      <c r="L382" s="60"/>
      <c r="M382" s="41"/>
      <c r="N382" s="41"/>
      <c r="O382" s="41"/>
    </row>
    <row r="383" spans="1:15" s="7" customFormat="1" ht="18.75">
      <c r="A383" s="81"/>
      <c r="B383" s="109"/>
      <c r="C383" s="62" t="s">
        <v>218</v>
      </c>
      <c r="D383" s="103" t="s">
        <v>544</v>
      </c>
      <c r="E383" s="44">
        <v>44024</v>
      </c>
      <c r="F383" s="104">
        <v>2240956154.83425</v>
      </c>
      <c r="G383" s="105">
        <v>44531</v>
      </c>
      <c r="H383" s="47">
        <f>540956154.83+1700000000</f>
        <v>2240956154.8299999</v>
      </c>
      <c r="I383" s="105">
        <v>44442</v>
      </c>
      <c r="J383" s="110">
        <f>F383-H383</f>
        <v>4.2500495910644531E-3</v>
      </c>
      <c r="K383" s="110">
        <f t="shared" si="20"/>
        <v>18609917.50599432</v>
      </c>
      <c r="L383" s="60"/>
      <c r="M383" s="41"/>
      <c r="N383" s="41"/>
      <c r="O383" s="41"/>
    </row>
    <row r="384" spans="1:15" s="7" customFormat="1" ht="18.75">
      <c r="A384" s="81"/>
      <c r="B384" s="109"/>
      <c r="C384" s="62" t="s">
        <v>219</v>
      </c>
      <c r="D384" s="103" t="s">
        <v>545</v>
      </c>
      <c r="E384" s="44">
        <v>44409</v>
      </c>
      <c r="F384" s="104">
        <v>2672978699.6307502</v>
      </c>
      <c r="G384" s="105" t="s">
        <v>220</v>
      </c>
      <c r="H384" s="47">
        <v>2672978699.6300001</v>
      </c>
      <c r="I384" s="44">
        <v>44200</v>
      </c>
      <c r="J384" s="110">
        <f>F384-H384</f>
        <v>7.5006484985351563E-4</v>
      </c>
      <c r="K384" s="110">
        <f t="shared" si="20"/>
        <v>18609917.51024437</v>
      </c>
      <c r="L384" s="60"/>
      <c r="M384" s="41"/>
      <c r="N384" s="41"/>
      <c r="O384" s="41"/>
    </row>
    <row r="385" spans="1:15" s="7" customFormat="1" ht="18.75">
      <c r="A385" s="81"/>
      <c r="B385" s="109"/>
      <c r="C385" s="62" t="s">
        <v>221</v>
      </c>
      <c r="D385" s="103" t="s">
        <v>38</v>
      </c>
      <c r="E385" s="44">
        <v>44471</v>
      </c>
      <c r="F385" s="104">
        <v>2164696806.8150001</v>
      </c>
      <c r="G385" s="105">
        <v>44319</v>
      </c>
      <c r="H385" s="47">
        <f>800000000+264696806.82</f>
        <v>1064696806.8199999</v>
      </c>
      <c r="I385" s="76" t="s">
        <v>300</v>
      </c>
      <c r="J385" s="110">
        <f>F385-H385</f>
        <v>1099999999.9950001</v>
      </c>
      <c r="K385" s="110">
        <f t="shared" si="20"/>
        <v>18609917.510994434</v>
      </c>
      <c r="L385" s="60"/>
      <c r="M385" s="41"/>
      <c r="N385" s="41"/>
      <c r="O385" s="41"/>
    </row>
    <row r="386" spans="1:15" s="7" customFormat="1" ht="18.75">
      <c r="A386" s="81"/>
      <c r="B386" s="109"/>
      <c r="C386" s="62" t="s">
        <v>222</v>
      </c>
      <c r="D386" s="103" t="s">
        <v>548</v>
      </c>
      <c r="E386" s="44">
        <v>44319</v>
      </c>
      <c r="F386" s="104">
        <v>2526146689.6082501</v>
      </c>
      <c r="G386" s="105" t="s">
        <v>224</v>
      </c>
      <c r="H386" s="47"/>
      <c r="I386" s="76"/>
      <c r="J386" s="110">
        <f>F386-H386</f>
        <v>2526146689.6082501</v>
      </c>
      <c r="K386" s="110">
        <f t="shared" si="20"/>
        <v>1118609917.5059946</v>
      </c>
      <c r="L386" s="60"/>
      <c r="M386" s="41"/>
      <c r="N386" s="41"/>
      <c r="O386" s="41"/>
    </row>
    <row r="387" spans="1:15" s="7" customFormat="1" ht="18.75">
      <c r="A387" s="81"/>
      <c r="B387" s="57" t="s">
        <v>665</v>
      </c>
      <c r="C387" s="31"/>
      <c r="D387" s="32"/>
      <c r="E387" s="44"/>
      <c r="F387" s="34"/>
      <c r="G387" s="35"/>
      <c r="H387" s="47"/>
      <c r="I387" s="35"/>
      <c r="J387" s="116"/>
      <c r="K387" s="116">
        <f t="shared" si="20"/>
        <v>3644756607.1142445</v>
      </c>
      <c r="L387" s="60"/>
      <c r="M387" s="41"/>
      <c r="N387" s="41"/>
      <c r="O387" s="41"/>
    </row>
    <row r="388" spans="1:15" s="7" customFormat="1" ht="18.75">
      <c r="A388" s="81"/>
      <c r="B388" s="57"/>
      <c r="C388" s="31"/>
      <c r="D388" s="32"/>
      <c r="E388" s="44"/>
      <c r="F388" s="34"/>
      <c r="G388" s="35"/>
      <c r="H388" s="47"/>
      <c r="I388" s="35"/>
      <c r="J388" s="37"/>
      <c r="K388" s="110"/>
      <c r="L388" s="60"/>
      <c r="M388" s="41"/>
      <c r="N388" s="41"/>
      <c r="O388" s="41"/>
    </row>
    <row r="389" spans="1:15" s="7" customFormat="1" ht="18.75">
      <c r="A389" s="56">
        <v>11</v>
      </c>
      <c r="B389" s="30" t="s">
        <v>666</v>
      </c>
      <c r="C389" s="31" t="s">
        <v>667</v>
      </c>
      <c r="D389" s="32" t="s">
        <v>668</v>
      </c>
      <c r="E389" s="44"/>
      <c r="F389" s="34">
        <v>54120646.350000001</v>
      </c>
      <c r="G389" s="35"/>
      <c r="H389" s="36">
        <v>54120646.350000001</v>
      </c>
      <c r="I389" s="35"/>
      <c r="J389" s="37">
        <f>F389-H389</f>
        <v>0</v>
      </c>
      <c r="K389" s="37"/>
      <c r="L389" s="39"/>
      <c r="M389" s="40"/>
      <c r="N389" s="40"/>
      <c r="O389" s="41"/>
    </row>
    <row r="390" spans="1:15" s="7" customFormat="1" ht="18.75">
      <c r="C390" s="29" t="s">
        <v>562</v>
      </c>
      <c r="D390" s="32" t="s">
        <v>669</v>
      </c>
      <c r="E390" s="44"/>
      <c r="F390" s="34">
        <v>73747719.109999999</v>
      </c>
      <c r="G390" s="98">
        <v>42922</v>
      </c>
      <c r="H390" s="48">
        <v>73747719.109999999</v>
      </c>
      <c r="I390" s="35" t="s">
        <v>670</v>
      </c>
      <c r="J390" s="37">
        <f t="shared" ref="J390:J427" si="21">F390-H390</f>
        <v>0</v>
      </c>
      <c r="K390" s="37">
        <f>J389+K389</f>
        <v>0</v>
      </c>
      <c r="L390" s="39"/>
      <c r="M390" s="40"/>
      <c r="N390" s="40"/>
      <c r="O390" s="41"/>
    </row>
    <row r="391" spans="1:15" s="7" customFormat="1" ht="18.75">
      <c r="A391" s="56"/>
      <c r="B391" s="30"/>
      <c r="C391" s="29" t="s">
        <v>494</v>
      </c>
      <c r="D391" s="32" t="s">
        <v>671</v>
      </c>
      <c r="E391" s="44"/>
      <c r="F391" s="34">
        <v>59501833.060000002</v>
      </c>
      <c r="G391" s="98" t="s">
        <v>672</v>
      </c>
      <c r="H391" s="87"/>
      <c r="I391" s="35"/>
      <c r="J391" s="37">
        <f t="shared" si="21"/>
        <v>59501833.060000002</v>
      </c>
      <c r="K391" s="37">
        <f>J390+K390</f>
        <v>0</v>
      </c>
      <c r="L391" s="39"/>
      <c r="M391" s="40"/>
      <c r="N391" s="40"/>
      <c r="O391" s="41"/>
    </row>
    <row r="392" spans="1:15" s="7" customFormat="1" ht="18.75">
      <c r="A392" s="56"/>
      <c r="B392" s="30"/>
      <c r="C392" s="29" t="s">
        <v>497</v>
      </c>
      <c r="D392" s="32" t="s">
        <v>673</v>
      </c>
      <c r="E392" s="44"/>
      <c r="F392" s="34">
        <v>43270802.229999997</v>
      </c>
      <c r="G392" s="98" t="s">
        <v>674</v>
      </c>
      <c r="H392" s="121">
        <v>43270802.229999997</v>
      </c>
      <c r="I392" s="35"/>
      <c r="J392" s="37">
        <f t="shared" si="21"/>
        <v>0</v>
      </c>
      <c r="K392" s="37">
        <f t="shared" ref="K392:K429" si="22">J391+K391</f>
        <v>59501833.060000002</v>
      </c>
      <c r="L392" s="39"/>
      <c r="M392" s="40"/>
      <c r="N392" s="40"/>
      <c r="O392" s="41"/>
    </row>
    <row r="393" spans="1:15" s="7" customFormat="1" ht="18.75">
      <c r="A393" s="56"/>
      <c r="B393" s="30"/>
      <c r="C393" s="29" t="s">
        <v>501</v>
      </c>
      <c r="D393" s="32" t="s">
        <v>675</v>
      </c>
      <c r="E393" s="44"/>
      <c r="F393" s="95">
        <v>83865204.790000007</v>
      </c>
      <c r="G393" s="98" t="s">
        <v>676</v>
      </c>
      <c r="H393" s="36">
        <v>83865204.790000007</v>
      </c>
      <c r="I393" s="35"/>
      <c r="J393" s="37">
        <f t="shared" si="21"/>
        <v>0</v>
      </c>
      <c r="K393" s="37">
        <f t="shared" si="22"/>
        <v>59501833.060000002</v>
      </c>
      <c r="L393" s="39"/>
      <c r="M393" s="40"/>
      <c r="N393" s="40"/>
      <c r="O393" s="41"/>
    </row>
    <row r="394" spans="1:15" s="7" customFormat="1" ht="18.75">
      <c r="A394" s="56"/>
      <c r="B394" s="30"/>
      <c r="C394" s="29" t="s">
        <v>504</v>
      </c>
      <c r="D394" s="32" t="s">
        <v>677</v>
      </c>
      <c r="E394" s="44"/>
      <c r="F394" s="95">
        <v>85342827.329999998</v>
      </c>
      <c r="G394" s="98">
        <v>43375</v>
      </c>
      <c r="H394" s="36">
        <v>85888770.519999996</v>
      </c>
      <c r="I394" s="35"/>
      <c r="J394" s="37">
        <f t="shared" si="21"/>
        <v>-545943.18999999762</v>
      </c>
      <c r="K394" s="37">
        <f t="shared" si="22"/>
        <v>59501833.060000002</v>
      </c>
      <c r="L394" s="39"/>
      <c r="M394" s="40"/>
      <c r="N394" s="40"/>
      <c r="O394" s="41"/>
    </row>
    <row r="395" spans="1:15" s="7" customFormat="1" ht="18.75">
      <c r="A395" s="56"/>
      <c r="B395" s="30"/>
      <c r="C395" s="29" t="s">
        <v>506</v>
      </c>
      <c r="D395" s="32" t="s">
        <v>678</v>
      </c>
      <c r="E395" s="44"/>
      <c r="F395" s="95">
        <v>76167608.489999995</v>
      </c>
      <c r="G395" s="98">
        <v>43376</v>
      </c>
      <c r="H395" s="121">
        <v>141778229.06999999</v>
      </c>
      <c r="I395" s="35" t="s">
        <v>670</v>
      </c>
      <c r="J395" s="37">
        <f t="shared" si="21"/>
        <v>-65610620.579999998</v>
      </c>
      <c r="K395" s="37">
        <f t="shared" si="22"/>
        <v>58955889.870000005</v>
      </c>
      <c r="L395" s="39"/>
      <c r="M395" s="40"/>
      <c r="N395" s="40"/>
      <c r="O395" s="41"/>
    </row>
    <row r="396" spans="1:15" s="7" customFormat="1" ht="18.75">
      <c r="A396" s="56"/>
      <c r="B396" s="30"/>
      <c r="C396" s="29" t="s">
        <v>508</v>
      </c>
      <c r="D396" s="32" t="s">
        <v>679</v>
      </c>
      <c r="E396" s="44"/>
      <c r="F396" s="95">
        <v>85888770.519999996</v>
      </c>
      <c r="G396" s="75" t="s">
        <v>509</v>
      </c>
      <c r="H396" s="121">
        <v>100000000</v>
      </c>
      <c r="I396" s="35" t="s">
        <v>680</v>
      </c>
      <c r="J396" s="37">
        <f t="shared" si="21"/>
        <v>-14111229.480000004</v>
      </c>
      <c r="K396" s="37">
        <f t="shared" si="22"/>
        <v>-6654730.7099999934</v>
      </c>
      <c r="L396" s="39"/>
      <c r="M396" s="40"/>
      <c r="N396" s="40"/>
      <c r="O396" s="41"/>
    </row>
    <row r="397" spans="1:15" s="7" customFormat="1" ht="18.75">
      <c r="A397" s="56"/>
      <c r="B397" s="30"/>
      <c r="C397" s="29" t="s">
        <v>355</v>
      </c>
      <c r="D397" s="32" t="s">
        <v>681</v>
      </c>
      <c r="E397" s="44"/>
      <c r="F397" s="95">
        <v>80844985.024930552</v>
      </c>
      <c r="G397" s="122" t="s">
        <v>510</v>
      </c>
      <c r="H397" s="121">
        <v>80844985.024930552</v>
      </c>
      <c r="I397" s="35" t="s">
        <v>682</v>
      </c>
      <c r="J397" s="37">
        <f t="shared" si="21"/>
        <v>0</v>
      </c>
      <c r="K397" s="37">
        <f t="shared" si="22"/>
        <v>-20765960.189999998</v>
      </c>
      <c r="L397" s="39"/>
      <c r="M397" s="40"/>
      <c r="N397" s="40"/>
      <c r="O397" s="41"/>
    </row>
    <row r="398" spans="1:15" s="7" customFormat="1" ht="18.75">
      <c r="A398" s="123"/>
      <c r="B398" s="30"/>
      <c r="C398" s="31" t="s">
        <v>234</v>
      </c>
      <c r="D398" s="32" t="s">
        <v>683</v>
      </c>
      <c r="E398" s="44"/>
      <c r="F398" s="95">
        <v>92051510.66383639</v>
      </c>
      <c r="G398" s="75" t="s">
        <v>684</v>
      </c>
      <c r="H398" s="36">
        <v>92051510.659999996</v>
      </c>
      <c r="I398" s="35" t="s">
        <v>685</v>
      </c>
      <c r="J398" s="37">
        <f t="shared" si="21"/>
        <v>3.8363933563232422E-3</v>
      </c>
      <c r="K398" s="37">
        <f t="shared" si="22"/>
        <v>-20765960.189999998</v>
      </c>
      <c r="L398" s="39"/>
      <c r="M398" s="40"/>
      <c r="N398" s="40"/>
      <c r="O398" s="41"/>
    </row>
    <row r="399" spans="1:15" s="7" customFormat="1" ht="18.75">
      <c r="A399" s="56"/>
      <c r="B399" s="57"/>
      <c r="C399" s="31" t="s">
        <v>514</v>
      </c>
      <c r="D399" s="32" t="s">
        <v>686</v>
      </c>
      <c r="E399" s="44"/>
      <c r="F399" s="95">
        <v>89652061.554535925</v>
      </c>
      <c r="G399" s="75" t="s">
        <v>687</v>
      </c>
      <c r="H399" s="121">
        <v>89652061.554535925</v>
      </c>
      <c r="I399" s="35" t="s">
        <v>688</v>
      </c>
      <c r="J399" s="37">
        <f t="shared" si="21"/>
        <v>0</v>
      </c>
      <c r="K399" s="110">
        <f t="shared" si="22"/>
        <v>-20765960.186163604</v>
      </c>
      <c r="L399" s="124"/>
      <c r="M399" s="40"/>
      <c r="N399" s="40"/>
      <c r="O399" s="41"/>
    </row>
    <row r="400" spans="1:15" s="7" customFormat="1" ht="18.75">
      <c r="A400" s="56"/>
      <c r="B400" s="57"/>
      <c r="C400" s="102" t="s">
        <v>238</v>
      </c>
      <c r="D400" s="32" t="s">
        <v>689</v>
      </c>
      <c r="E400" s="44"/>
      <c r="F400" s="95">
        <v>77453409.909912944</v>
      </c>
      <c r="G400" s="75" t="s">
        <v>690</v>
      </c>
      <c r="H400" s="121">
        <v>77453409.909912944</v>
      </c>
      <c r="I400" s="35" t="s">
        <v>691</v>
      </c>
      <c r="J400" s="37">
        <f t="shared" si="21"/>
        <v>0</v>
      </c>
      <c r="K400" s="110">
        <f t="shared" si="22"/>
        <v>-20765960.186163604</v>
      </c>
      <c r="L400" s="124"/>
      <c r="M400" s="40"/>
      <c r="N400" s="40"/>
      <c r="O400" s="41"/>
    </row>
    <row r="401" spans="1:15" s="7" customFormat="1" ht="18.75">
      <c r="A401" s="56"/>
      <c r="B401" s="30"/>
      <c r="C401" s="102" t="s">
        <v>517</v>
      </c>
      <c r="D401" s="32" t="s">
        <v>692</v>
      </c>
      <c r="E401" s="44"/>
      <c r="F401" s="95">
        <v>82276396.016265512</v>
      </c>
      <c r="G401" s="75" t="s">
        <v>693</v>
      </c>
      <c r="H401" s="121">
        <v>61510435.82</v>
      </c>
      <c r="I401" s="35" t="s">
        <v>682</v>
      </c>
      <c r="J401" s="37">
        <f t="shared" si="21"/>
        <v>20765960.196265511</v>
      </c>
      <c r="K401" s="37">
        <f t="shared" si="22"/>
        <v>-20765960.186163604</v>
      </c>
      <c r="L401" s="39"/>
      <c r="M401" s="40"/>
      <c r="N401" s="40"/>
      <c r="O401" s="41"/>
    </row>
    <row r="402" spans="1:15" s="7" customFormat="1" ht="18.75">
      <c r="A402" s="56"/>
      <c r="B402" s="30"/>
      <c r="C402" s="102" t="s">
        <v>243</v>
      </c>
      <c r="D402" s="32" t="s">
        <v>694</v>
      </c>
      <c r="E402" s="44"/>
      <c r="F402" s="95">
        <v>83732365.786419839</v>
      </c>
      <c r="G402" s="75" t="s">
        <v>695</v>
      </c>
      <c r="H402" s="121">
        <v>83732365.786419839</v>
      </c>
      <c r="I402" s="35" t="s">
        <v>696</v>
      </c>
      <c r="J402" s="37">
        <f t="shared" si="21"/>
        <v>0</v>
      </c>
      <c r="K402" s="37">
        <f t="shared" si="22"/>
        <v>1.0101906955242157E-2</v>
      </c>
      <c r="L402" s="39"/>
      <c r="M402" s="40"/>
      <c r="N402" s="40"/>
      <c r="O402" s="41"/>
    </row>
    <row r="403" spans="1:15" s="7" customFormat="1" ht="18.75">
      <c r="A403" s="56"/>
      <c r="B403" s="30"/>
      <c r="C403" s="102" t="s">
        <v>246</v>
      </c>
      <c r="D403" s="103" t="s">
        <v>621</v>
      </c>
      <c r="E403" s="44"/>
      <c r="F403" s="104">
        <v>82306760.921937734</v>
      </c>
      <c r="G403" s="105" t="s">
        <v>697</v>
      </c>
      <c r="H403" s="121">
        <v>82306760.920000002</v>
      </c>
      <c r="I403" s="35" t="s">
        <v>568</v>
      </c>
      <c r="J403" s="37">
        <f t="shared" si="21"/>
        <v>1.9377321004867554E-3</v>
      </c>
      <c r="K403" s="37">
        <f t="shared" si="22"/>
        <v>1.0101906955242157E-2</v>
      </c>
      <c r="L403" s="39"/>
      <c r="M403" s="40"/>
      <c r="N403" s="40"/>
      <c r="O403" s="41"/>
    </row>
    <row r="404" spans="1:15" s="7" customFormat="1" ht="18.75">
      <c r="A404" s="56"/>
      <c r="B404" s="30"/>
      <c r="C404" s="102" t="s">
        <v>522</v>
      </c>
      <c r="D404" s="103" t="s">
        <v>623</v>
      </c>
      <c r="E404" s="44"/>
      <c r="F404" s="104">
        <v>75113034.127400443</v>
      </c>
      <c r="G404" s="105" t="s">
        <v>698</v>
      </c>
      <c r="H404" s="121">
        <v>75113034.127400443</v>
      </c>
      <c r="I404" s="125" t="s">
        <v>699</v>
      </c>
      <c r="J404" s="37">
        <f t="shared" si="21"/>
        <v>0</v>
      </c>
      <c r="K404" s="37">
        <f t="shared" si="22"/>
        <v>1.2039639055728912E-2</v>
      </c>
      <c r="L404" s="39"/>
      <c r="M404" s="40"/>
      <c r="N404" s="40"/>
      <c r="O404" s="41"/>
    </row>
    <row r="405" spans="1:15" s="7" customFormat="1" ht="18.75">
      <c r="A405" s="56"/>
      <c r="B405" s="30"/>
      <c r="C405" s="102" t="s">
        <v>250</v>
      </c>
      <c r="D405" s="103" t="s">
        <v>204</v>
      </c>
      <c r="E405" s="44"/>
      <c r="F405" s="104">
        <v>66304192.460000001</v>
      </c>
      <c r="G405" s="105" t="s">
        <v>700</v>
      </c>
      <c r="H405" s="121">
        <v>66304192.460000001</v>
      </c>
      <c r="I405" s="125" t="s">
        <v>699</v>
      </c>
      <c r="J405" s="37">
        <f t="shared" si="21"/>
        <v>0</v>
      </c>
      <c r="K405" s="37">
        <f t="shared" si="22"/>
        <v>1.2039639055728912E-2</v>
      </c>
      <c r="L405" s="39"/>
      <c r="M405" s="40"/>
      <c r="N405" s="40"/>
      <c r="O405" s="41"/>
    </row>
    <row r="406" spans="1:15" s="7" customFormat="1" ht="18.75">
      <c r="A406" s="56"/>
      <c r="B406" s="30"/>
      <c r="C406" s="102" t="s">
        <v>139</v>
      </c>
      <c r="D406" s="103" t="s">
        <v>208</v>
      </c>
      <c r="E406" s="44"/>
      <c r="F406" s="104">
        <v>96276362.680000007</v>
      </c>
      <c r="G406" s="105" t="s">
        <v>431</v>
      </c>
      <c r="H406" s="121">
        <v>96276362.680000007</v>
      </c>
      <c r="I406" s="125" t="s">
        <v>699</v>
      </c>
      <c r="J406" s="37">
        <f t="shared" si="21"/>
        <v>0</v>
      </c>
      <c r="K406" s="37">
        <f t="shared" si="22"/>
        <v>1.2039639055728912E-2</v>
      </c>
      <c r="L406" s="39"/>
      <c r="M406" s="40"/>
      <c r="N406" s="40"/>
      <c r="O406" s="41"/>
    </row>
    <row r="407" spans="1:15" s="7" customFormat="1" ht="18.75">
      <c r="A407" s="56"/>
      <c r="B407" s="30"/>
      <c r="C407" s="62" t="s">
        <v>142</v>
      </c>
      <c r="D407" s="103" t="s">
        <v>52</v>
      </c>
      <c r="E407" s="44"/>
      <c r="F407" s="104">
        <v>99571233.17875798</v>
      </c>
      <c r="G407" s="105" t="s">
        <v>256</v>
      </c>
      <c r="H407" s="121">
        <v>99571233.17875798</v>
      </c>
      <c r="I407" s="125" t="s">
        <v>699</v>
      </c>
      <c r="J407" s="37">
        <f t="shared" si="21"/>
        <v>0</v>
      </c>
      <c r="K407" s="37">
        <f t="shared" si="22"/>
        <v>1.2039639055728912E-2</v>
      </c>
      <c r="L407" s="39"/>
      <c r="M407" s="40"/>
      <c r="N407" s="40"/>
      <c r="O407" s="41"/>
    </row>
    <row r="408" spans="1:15" s="7" customFormat="1" ht="18.75">
      <c r="A408" s="56"/>
      <c r="B408" s="30"/>
      <c r="C408" s="62" t="s">
        <v>145</v>
      </c>
      <c r="D408" s="103" t="s">
        <v>215</v>
      </c>
      <c r="E408" s="44"/>
      <c r="F408" s="104">
        <v>89345295.456702396</v>
      </c>
      <c r="G408" s="105" t="s">
        <v>256</v>
      </c>
      <c r="H408" s="121">
        <v>89345295.456702396</v>
      </c>
      <c r="I408" s="125" t="s">
        <v>699</v>
      </c>
      <c r="J408" s="37">
        <f t="shared" si="21"/>
        <v>0</v>
      </c>
      <c r="K408" s="37">
        <f t="shared" si="22"/>
        <v>1.2039639055728912E-2</v>
      </c>
      <c r="L408" s="39"/>
      <c r="M408" s="40"/>
      <c r="N408" s="40"/>
      <c r="O408" s="41"/>
    </row>
    <row r="409" spans="1:15" s="7" customFormat="1" ht="18.75">
      <c r="A409" s="56"/>
      <c r="B409" s="30"/>
      <c r="C409" s="62" t="s">
        <v>148</v>
      </c>
      <c r="D409" s="103" t="s">
        <v>65</v>
      </c>
      <c r="E409" s="44"/>
      <c r="F409" s="104">
        <v>102791593.61363254</v>
      </c>
      <c r="G409" s="105">
        <v>43742</v>
      </c>
      <c r="H409" s="126">
        <f>51395796.81+51398211.81</f>
        <v>102794008.62</v>
      </c>
      <c r="I409" s="127" t="s">
        <v>701</v>
      </c>
      <c r="J409" s="37">
        <f t="shared" si="21"/>
        <v>-2415.0063674598932</v>
      </c>
      <c r="K409" s="37">
        <f t="shared" si="22"/>
        <v>1.2039639055728912E-2</v>
      </c>
      <c r="L409" s="39"/>
      <c r="M409" s="40"/>
      <c r="N409" s="40"/>
      <c r="O409" s="41"/>
    </row>
    <row r="410" spans="1:15" s="7" customFormat="1" ht="18.75">
      <c r="A410" s="56"/>
      <c r="B410" s="30"/>
      <c r="C410" s="62" t="s">
        <v>151</v>
      </c>
      <c r="D410" s="103" t="s">
        <v>71</v>
      </c>
      <c r="E410" s="44"/>
      <c r="F410" s="104">
        <v>94112967.843117625</v>
      </c>
      <c r="G410" s="105" t="s">
        <v>152</v>
      </c>
      <c r="H410" s="128">
        <f>47056483.93+47056483.93</f>
        <v>94112967.859999999</v>
      </c>
      <c r="I410" s="127" t="s">
        <v>587</v>
      </c>
      <c r="J410" s="37">
        <f t="shared" si="21"/>
        <v>-1.6882374882698059E-2</v>
      </c>
      <c r="K410" s="37">
        <f t="shared" si="22"/>
        <v>-2414.9943278208375</v>
      </c>
      <c r="L410" s="129"/>
      <c r="M410" s="40"/>
      <c r="N410" s="40"/>
      <c r="O410" s="41"/>
    </row>
    <row r="411" spans="1:15" s="7" customFormat="1" ht="18.75">
      <c r="A411" s="56"/>
      <c r="B411" s="30"/>
      <c r="C411" s="62" t="s">
        <v>154</v>
      </c>
      <c r="D411" s="103" t="s">
        <v>26</v>
      </c>
      <c r="E411" s="44"/>
      <c r="F411" s="104">
        <v>96031650.647531971</v>
      </c>
      <c r="G411" s="105" t="s">
        <v>156</v>
      </c>
      <c r="H411" s="130">
        <f>48015825.3+48015825.3</f>
        <v>96031650.599999994</v>
      </c>
      <c r="I411" s="35" t="s">
        <v>702</v>
      </c>
      <c r="J411" s="37">
        <f t="shared" si="21"/>
        <v>4.7531977295875549E-2</v>
      </c>
      <c r="K411" s="37">
        <f t="shared" si="22"/>
        <v>-2415.0112101957202</v>
      </c>
      <c r="L411" s="39"/>
      <c r="M411" s="40"/>
      <c r="N411" s="40"/>
      <c r="O411" s="41"/>
    </row>
    <row r="412" spans="1:15" s="7" customFormat="1" ht="18.75">
      <c r="A412" s="56"/>
      <c r="B412" s="30"/>
      <c r="C412" s="62" t="s">
        <v>158</v>
      </c>
      <c r="D412" s="103" t="s">
        <v>223</v>
      </c>
      <c r="E412" s="44"/>
      <c r="F412" s="104">
        <v>87415270.953249976</v>
      </c>
      <c r="G412" s="105" t="s">
        <v>160</v>
      </c>
      <c r="H412" s="121">
        <f>43415270.95+44000000</f>
        <v>87415270.950000003</v>
      </c>
      <c r="I412" s="35">
        <v>43872</v>
      </c>
      <c r="J412" s="37">
        <f t="shared" si="21"/>
        <v>3.2499730587005615E-3</v>
      </c>
      <c r="K412" s="37">
        <f t="shared" si="22"/>
        <v>-2414.9636782184243</v>
      </c>
      <c r="L412" s="39"/>
      <c r="M412" s="40"/>
      <c r="N412" s="40"/>
      <c r="O412" s="41"/>
    </row>
    <row r="413" spans="1:15" s="7" customFormat="1" ht="18.75">
      <c r="A413" s="56"/>
      <c r="B413" s="30"/>
      <c r="C413" s="62" t="s">
        <v>162</v>
      </c>
      <c r="D413" s="103" t="s">
        <v>367</v>
      </c>
      <c r="E413" s="44"/>
      <c r="F413" s="104">
        <v>95200066.890084252</v>
      </c>
      <c r="G413" s="105" t="s">
        <v>164</v>
      </c>
      <c r="H413" s="121">
        <v>95200066.890000001</v>
      </c>
      <c r="I413" s="35" t="s">
        <v>703</v>
      </c>
      <c r="J413" s="37">
        <f t="shared" si="21"/>
        <v>8.4251165390014648E-5</v>
      </c>
      <c r="K413" s="37">
        <f t="shared" si="22"/>
        <v>-2414.9604282453656</v>
      </c>
      <c r="L413" s="39"/>
      <c r="M413" s="40"/>
      <c r="N413" s="40"/>
      <c r="O413" s="41"/>
    </row>
    <row r="414" spans="1:15" s="7" customFormat="1" ht="18.75">
      <c r="A414" s="56"/>
      <c r="B414" s="30"/>
      <c r="C414" s="62" t="s">
        <v>166</v>
      </c>
      <c r="D414" s="103" t="s">
        <v>368</v>
      </c>
      <c r="E414" s="44"/>
      <c r="F414" s="104">
        <v>89637831.43321766</v>
      </c>
      <c r="G414" s="105" t="s">
        <v>168</v>
      </c>
      <c r="H414" s="121">
        <v>89637831.430000007</v>
      </c>
      <c r="I414" s="35" t="s">
        <v>322</v>
      </c>
      <c r="J414" s="37">
        <f t="shared" si="21"/>
        <v>3.217652440071106E-3</v>
      </c>
      <c r="K414" s="37">
        <f t="shared" si="22"/>
        <v>-2414.9603439942002</v>
      </c>
      <c r="L414" s="39"/>
      <c r="M414" s="40"/>
      <c r="N414" s="40"/>
      <c r="O414" s="41"/>
    </row>
    <row r="415" spans="1:15" s="7" customFormat="1" ht="18.75">
      <c r="A415" s="56"/>
      <c r="B415" s="30"/>
      <c r="C415" s="62" t="s">
        <v>170</v>
      </c>
      <c r="D415" s="103" t="s">
        <v>370</v>
      </c>
      <c r="E415" s="44"/>
      <c r="F415" s="104">
        <v>83547857.299937919</v>
      </c>
      <c r="G415" s="105" t="s">
        <v>172</v>
      </c>
      <c r="H415" s="121">
        <v>83547857.299937919</v>
      </c>
      <c r="I415" s="35" t="s">
        <v>172</v>
      </c>
      <c r="J415" s="37">
        <f t="shared" si="21"/>
        <v>0</v>
      </c>
      <c r="K415" s="37">
        <f t="shared" si="22"/>
        <v>-2414.9571263417602</v>
      </c>
      <c r="L415" s="39"/>
      <c r="M415" s="40"/>
      <c r="N415" s="40"/>
      <c r="O415" s="41"/>
    </row>
    <row r="416" spans="1:15" s="7" customFormat="1" ht="18.75">
      <c r="A416" s="56"/>
      <c r="B416" s="30"/>
      <c r="C416" s="62" t="s">
        <v>174</v>
      </c>
      <c r="D416" s="103" t="s">
        <v>371</v>
      </c>
      <c r="E416" s="44"/>
      <c r="F416" s="104">
        <v>90642151.390713006</v>
      </c>
      <c r="G416" s="105" t="s">
        <v>176</v>
      </c>
      <c r="H416" s="121">
        <v>90642151.390713006</v>
      </c>
      <c r="I416" s="35" t="s">
        <v>701</v>
      </c>
      <c r="J416" s="37">
        <f t="shared" si="21"/>
        <v>0</v>
      </c>
      <c r="K416" s="37">
        <f t="shared" si="22"/>
        <v>-2414.9571263417602</v>
      </c>
      <c r="L416" s="39"/>
      <c r="M416" s="40"/>
      <c r="N416" s="40"/>
      <c r="O416" s="41"/>
    </row>
    <row r="417" spans="1:15" s="7" customFormat="1" ht="18.75">
      <c r="A417" s="56"/>
      <c r="B417" s="30"/>
      <c r="C417" s="62" t="s">
        <v>178</v>
      </c>
      <c r="D417" s="103" t="s">
        <v>372</v>
      </c>
      <c r="E417" s="44"/>
      <c r="F417" s="104">
        <v>83115350.508144125</v>
      </c>
      <c r="G417" s="105" t="s">
        <v>179</v>
      </c>
      <c r="H417" s="121">
        <v>83115350.5</v>
      </c>
      <c r="I417" s="35" t="s">
        <v>704</v>
      </c>
      <c r="J417" s="37">
        <f t="shared" si="21"/>
        <v>8.1441253423690796E-3</v>
      </c>
      <c r="K417" s="37">
        <f t="shared" si="22"/>
        <v>-2414.9571263417602</v>
      </c>
      <c r="L417" s="131">
        <v>51398211.810000002</v>
      </c>
      <c r="M417" s="40"/>
      <c r="N417" s="40"/>
      <c r="O417" s="41"/>
    </row>
    <row r="418" spans="1:15" s="7" customFormat="1" ht="18.75">
      <c r="A418" s="56"/>
      <c r="B418" s="30"/>
      <c r="C418" s="62" t="s">
        <v>181</v>
      </c>
      <c r="D418" s="103" t="s">
        <v>373</v>
      </c>
      <c r="E418" s="44"/>
      <c r="F418" s="104">
        <v>96421808.02414903</v>
      </c>
      <c r="G418" s="105" t="s">
        <v>183</v>
      </c>
      <c r="H418" s="121">
        <v>96421808.02414903</v>
      </c>
      <c r="I418" s="35" t="s">
        <v>705</v>
      </c>
      <c r="J418" s="37">
        <f t="shared" si="21"/>
        <v>0</v>
      </c>
      <c r="K418" s="37">
        <f t="shared" si="22"/>
        <v>-2414.9489822164178</v>
      </c>
      <c r="L418" s="131">
        <v>48015825.299999997</v>
      </c>
      <c r="M418" s="40"/>
      <c r="N418" s="40"/>
      <c r="O418" s="41"/>
    </row>
    <row r="419" spans="1:15" s="7" customFormat="1" ht="18.75">
      <c r="A419" s="56"/>
      <c r="B419" s="30"/>
      <c r="C419" s="62" t="s">
        <v>185</v>
      </c>
      <c r="D419" s="103" t="s">
        <v>92</v>
      </c>
      <c r="E419" s="44"/>
      <c r="F419" s="104">
        <v>95026426.536264405</v>
      </c>
      <c r="G419" s="105" t="s">
        <v>187</v>
      </c>
      <c r="H419" s="121">
        <v>95026426.540000007</v>
      </c>
      <c r="I419" s="35" t="s">
        <v>706</v>
      </c>
      <c r="J419" s="37">
        <f t="shared" si="21"/>
        <v>-3.7356019020080566E-3</v>
      </c>
      <c r="K419" s="37">
        <f t="shared" si="22"/>
        <v>-2414.9489822164178</v>
      </c>
      <c r="L419" s="39"/>
      <c r="M419" s="40"/>
      <c r="N419" s="40"/>
      <c r="O419" s="41"/>
    </row>
    <row r="420" spans="1:15" s="7" customFormat="1" ht="18.75">
      <c r="A420" s="56"/>
      <c r="B420" s="30"/>
      <c r="C420" s="62" t="s">
        <v>189</v>
      </c>
      <c r="D420" s="103" t="s">
        <v>63</v>
      </c>
      <c r="E420" s="44"/>
      <c r="F420" s="104">
        <v>91332797.020685315</v>
      </c>
      <c r="G420" s="105" t="s">
        <v>282</v>
      </c>
      <c r="H420" s="121">
        <v>91332797.019999996</v>
      </c>
      <c r="I420" s="35" t="s">
        <v>707</v>
      </c>
      <c r="J420" s="37">
        <f t="shared" si="21"/>
        <v>6.8531930446624756E-4</v>
      </c>
      <c r="K420" s="37">
        <f t="shared" si="22"/>
        <v>-2414.9527178183198</v>
      </c>
      <c r="L420" s="39"/>
      <c r="M420" s="40"/>
      <c r="N420" s="40"/>
      <c r="O420" s="41"/>
    </row>
    <row r="421" spans="1:15" s="7" customFormat="1" ht="18.75">
      <c r="A421" s="56"/>
      <c r="B421" s="30"/>
      <c r="C421" s="62" t="s">
        <v>191</v>
      </c>
      <c r="D421" s="103" t="s">
        <v>374</v>
      </c>
      <c r="E421" s="44">
        <v>43986</v>
      </c>
      <c r="F421" s="104">
        <v>115025151.07114933</v>
      </c>
      <c r="G421" s="105" t="s">
        <v>193</v>
      </c>
      <c r="H421" s="121">
        <v>115025151.06999999</v>
      </c>
      <c r="I421" s="35">
        <v>43842</v>
      </c>
      <c r="J421" s="37">
        <f t="shared" si="21"/>
        <v>1.1493414640426636E-3</v>
      </c>
      <c r="K421" s="37">
        <f t="shared" si="22"/>
        <v>-2414.9520324990153</v>
      </c>
      <c r="L421" s="39"/>
      <c r="M421" s="40"/>
      <c r="N421" s="40"/>
      <c r="O421" s="41"/>
    </row>
    <row r="422" spans="1:15" s="7" customFormat="1" ht="18.75">
      <c r="A422" s="56"/>
      <c r="B422" s="30"/>
      <c r="C422" s="62" t="s">
        <v>195</v>
      </c>
      <c r="D422" s="103" t="s">
        <v>376</v>
      </c>
      <c r="E422" s="44" t="s">
        <v>197</v>
      </c>
      <c r="F422" s="104">
        <v>6015702.0118977595</v>
      </c>
      <c r="G422" s="105" t="s">
        <v>198</v>
      </c>
      <c r="H422" s="121">
        <v>6015702.0099999998</v>
      </c>
      <c r="I422" s="35" t="s">
        <v>708</v>
      </c>
      <c r="J422" s="37">
        <f t="shared" si="21"/>
        <v>1.897759735584259E-3</v>
      </c>
      <c r="K422" s="37">
        <f t="shared" si="22"/>
        <v>-2414.9508831575513</v>
      </c>
      <c r="L422" s="39"/>
      <c r="M422" s="40"/>
      <c r="N422" s="40"/>
      <c r="O422" s="41"/>
    </row>
    <row r="423" spans="1:15" s="7" customFormat="1" ht="18.75">
      <c r="A423" s="56"/>
      <c r="B423" s="30"/>
      <c r="C423" s="62" t="s">
        <v>199</v>
      </c>
      <c r="D423" s="103" t="s">
        <v>54</v>
      </c>
      <c r="E423" s="44">
        <v>44049</v>
      </c>
      <c r="F423" s="104">
        <v>10662947.678115599</v>
      </c>
      <c r="G423" s="105">
        <v>43897</v>
      </c>
      <c r="H423" s="121">
        <v>10662947.68</v>
      </c>
      <c r="I423" s="35" t="s">
        <v>709</v>
      </c>
      <c r="J423" s="37">
        <f t="shared" si="21"/>
        <v>-1.8844008445739746E-3</v>
      </c>
      <c r="K423" s="37">
        <f t="shared" si="22"/>
        <v>-2414.9489853978157</v>
      </c>
      <c r="L423" s="39">
        <v>43415270.950000003</v>
      </c>
      <c r="M423" s="40"/>
      <c r="N423" s="40"/>
      <c r="O423" s="41"/>
    </row>
    <row r="424" spans="1:15" s="7" customFormat="1" ht="18.75">
      <c r="A424" s="56"/>
      <c r="B424" s="30"/>
      <c r="C424" s="62" t="s">
        <v>201</v>
      </c>
      <c r="D424" s="103" t="s">
        <v>379</v>
      </c>
      <c r="E424" s="44">
        <v>44081</v>
      </c>
      <c r="F424" s="104">
        <v>103965487.74169531</v>
      </c>
      <c r="G424" s="105">
        <v>44020</v>
      </c>
      <c r="H424" s="121">
        <f>103965487.74</f>
        <v>103965487.73999999</v>
      </c>
      <c r="I424" s="35">
        <v>43961</v>
      </c>
      <c r="J424" s="37">
        <f t="shared" si="21"/>
        <v>1.6953200101852417E-3</v>
      </c>
      <c r="K424" s="37">
        <f t="shared" si="22"/>
        <v>-2414.9508697986603</v>
      </c>
      <c r="L424" s="39">
        <v>43999999.998304702</v>
      </c>
      <c r="M424" s="40"/>
      <c r="N424" s="40"/>
      <c r="O424" s="41"/>
    </row>
    <row r="425" spans="1:15" s="7" customFormat="1" ht="18.75">
      <c r="A425" s="56"/>
      <c r="B425" s="30"/>
      <c r="C425" s="62" t="s">
        <v>203</v>
      </c>
      <c r="D425" s="103" t="s">
        <v>381</v>
      </c>
      <c r="E425" s="44">
        <v>43990</v>
      </c>
      <c r="F425" s="104">
        <v>115233768.09614791</v>
      </c>
      <c r="G425" s="105" t="s">
        <v>290</v>
      </c>
      <c r="H425" s="121">
        <v>115233768.09999999</v>
      </c>
      <c r="I425" s="35" t="s">
        <v>710</v>
      </c>
      <c r="J425" s="37">
        <f t="shared" si="21"/>
        <v>-3.8520842790603638E-3</v>
      </c>
      <c r="K425" s="37">
        <f t="shared" si="22"/>
        <v>-2414.9491744786501</v>
      </c>
      <c r="L425" s="39"/>
      <c r="M425" s="40"/>
      <c r="N425" s="40"/>
      <c r="O425" s="41"/>
    </row>
    <row r="426" spans="1:15" s="7" customFormat="1" ht="18.75">
      <c r="A426" s="56"/>
      <c r="B426" s="30"/>
      <c r="C426" s="62" t="s">
        <v>207</v>
      </c>
      <c r="D426" s="103" t="s">
        <v>383</v>
      </c>
      <c r="E426" s="44" t="s">
        <v>209</v>
      </c>
      <c r="F426" s="104">
        <v>109516955.7633612</v>
      </c>
      <c r="G426" s="105" t="s">
        <v>210</v>
      </c>
      <c r="H426" s="121">
        <v>109516955.76000001</v>
      </c>
      <c r="I426" s="35" t="s">
        <v>703</v>
      </c>
      <c r="J426" s="37">
        <f t="shared" si="21"/>
        <v>3.3611953258514404E-3</v>
      </c>
      <c r="K426" s="37">
        <f t="shared" si="22"/>
        <v>-2414.9530265629292</v>
      </c>
      <c r="L426" s="39"/>
      <c r="M426" s="40"/>
      <c r="N426" s="40"/>
      <c r="O426" s="41"/>
    </row>
    <row r="427" spans="1:15" s="7" customFormat="1" ht="18.75">
      <c r="A427" s="56"/>
      <c r="B427" s="30"/>
      <c r="C427" s="62" t="s">
        <v>212</v>
      </c>
      <c r="D427" s="103" t="s">
        <v>384</v>
      </c>
      <c r="E427" s="44">
        <v>44084</v>
      </c>
      <c r="F427" s="104">
        <v>111181712.33646186</v>
      </c>
      <c r="G427" s="105" t="s">
        <v>213</v>
      </c>
      <c r="H427" s="121">
        <v>111181712.34</v>
      </c>
      <c r="I427" s="35">
        <v>44289</v>
      </c>
      <c r="J427" s="37">
        <f t="shared" si="21"/>
        <v>-3.5381466150283813E-3</v>
      </c>
      <c r="K427" s="37">
        <f t="shared" si="22"/>
        <v>-2414.9496653676033</v>
      </c>
      <c r="L427" s="39"/>
      <c r="M427" s="40"/>
      <c r="N427" s="40"/>
      <c r="O427" s="41"/>
    </row>
    <row r="428" spans="1:15" s="7" customFormat="1" ht="18.75">
      <c r="A428" s="56"/>
      <c r="B428" s="30"/>
      <c r="C428" s="62" t="s">
        <v>214</v>
      </c>
      <c r="D428" s="103" t="s">
        <v>385</v>
      </c>
      <c r="E428" s="44">
        <v>43962</v>
      </c>
      <c r="F428" s="104">
        <v>116870487.04993647</v>
      </c>
      <c r="G428" s="105" t="s">
        <v>216</v>
      </c>
      <c r="H428" s="121">
        <v>116870487.05</v>
      </c>
      <c r="I428" s="35">
        <v>44289</v>
      </c>
      <c r="J428" s="37">
        <f>F428-H428</f>
        <v>-6.3523650169372559E-5</v>
      </c>
      <c r="K428" s="37">
        <f t="shared" si="22"/>
        <v>-2414.9532035142183</v>
      </c>
      <c r="L428" s="39"/>
      <c r="M428" s="40"/>
      <c r="N428" s="40"/>
      <c r="O428" s="41"/>
    </row>
    <row r="429" spans="1:15" s="7" customFormat="1" ht="18.75">
      <c r="A429" s="56"/>
      <c r="B429" s="30"/>
      <c r="C429" s="62" t="s">
        <v>218</v>
      </c>
      <c r="D429" s="103" t="s">
        <v>386</v>
      </c>
      <c r="E429" s="44">
        <v>44024</v>
      </c>
      <c r="F429" s="104">
        <v>106297256.70667949</v>
      </c>
      <c r="G429" s="105">
        <v>44531</v>
      </c>
      <c r="H429" s="121">
        <v>106297256.70999999</v>
      </c>
      <c r="I429" s="35" t="s">
        <v>711</v>
      </c>
      <c r="J429" s="37">
        <f>F429-H429</f>
        <v>-3.3205002546310425E-3</v>
      </c>
      <c r="K429" s="37">
        <f t="shared" si="22"/>
        <v>-2414.9532670378685</v>
      </c>
      <c r="L429" s="39"/>
      <c r="M429" s="40"/>
      <c r="N429" s="40"/>
      <c r="O429" s="41"/>
    </row>
    <row r="430" spans="1:15" s="7" customFormat="1" ht="18.75">
      <c r="A430" s="56"/>
      <c r="B430" s="30"/>
      <c r="C430" s="62" t="s">
        <v>219</v>
      </c>
      <c r="D430" s="103" t="s">
        <v>388</v>
      </c>
      <c r="E430" s="44">
        <v>44409</v>
      </c>
      <c r="F430" s="104">
        <v>89908082.430451751</v>
      </c>
      <c r="G430" s="105" t="s">
        <v>220</v>
      </c>
      <c r="H430" s="121">
        <v>89908082.430000007</v>
      </c>
      <c r="I430" s="35" t="s">
        <v>711</v>
      </c>
      <c r="J430" s="37">
        <f>F430-H430</f>
        <v>4.5174360275268555E-4</v>
      </c>
      <c r="K430" s="37">
        <f>J429+K429</f>
        <v>-2414.9565875381231</v>
      </c>
      <c r="L430" s="39"/>
      <c r="M430" s="40"/>
      <c r="N430" s="40"/>
      <c r="O430" s="41"/>
    </row>
    <row r="431" spans="1:15" s="7" customFormat="1" ht="18.75">
      <c r="A431" s="56"/>
      <c r="B431" s="30"/>
      <c r="C431" s="62" t="s">
        <v>221</v>
      </c>
      <c r="D431" s="103" t="s">
        <v>39</v>
      </c>
      <c r="E431" s="44">
        <v>44441</v>
      </c>
      <c r="F431" s="104">
        <v>118521433.75417884</v>
      </c>
      <c r="G431" s="105">
        <v>44289</v>
      </c>
      <c r="H431" s="121">
        <v>118521433.75</v>
      </c>
      <c r="I431" s="44">
        <v>44200</v>
      </c>
      <c r="J431" s="37">
        <f>F431-H431</f>
        <v>4.1788369417190552E-3</v>
      </c>
      <c r="K431" s="37">
        <f>J430+K430</f>
        <v>-2414.9561357945204</v>
      </c>
      <c r="L431" s="39"/>
      <c r="M431" s="40"/>
      <c r="N431" s="40"/>
      <c r="O431" s="41"/>
    </row>
    <row r="432" spans="1:15" s="7" customFormat="1" ht="18.75">
      <c r="A432" s="56"/>
      <c r="B432" s="30"/>
      <c r="C432" s="62" t="s">
        <v>222</v>
      </c>
      <c r="D432" s="103" t="s">
        <v>390</v>
      </c>
      <c r="E432" s="44">
        <v>44411</v>
      </c>
      <c r="F432" s="104">
        <v>95134967.033427075</v>
      </c>
      <c r="G432" s="105" t="s">
        <v>85</v>
      </c>
      <c r="H432" s="121"/>
      <c r="I432" s="35"/>
      <c r="J432" s="37">
        <f>F432-H432</f>
        <v>95134967.033427075</v>
      </c>
      <c r="K432" s="37">
        <f>J431+K431</f>
        <v>-2414.9519569575787</v>
      </c>
      <c r="L432" s="39"/>
      <c r="M432" s="40"/>
      <c r="N432" s="40"/>
      <c r="O432" s="41"/>
    </row>
    <row r="433" spans="1:15" s="7" customFormat="1" ht="18.75">
      <c r="A433" s="56"/>
      <c r="B433" s="30" t="s">
        <v>712</v>
      </c>
      <c r="C433" s="29"/>
      <c r="D433" s="32"/>
      <c r="E433" s="44"/>
      <c r="F433" s="34"/>
      <c r="G433" s="132"/>
      <c r="H433" s="87"/>
      <c r="I433" s="35"/>
      <c r="J433" s="37"/>
      <c r="K433" s="38">
        <f>J432+K432</f>
        <v>95132552.081470117</v>
      </c>
      <c r="L433" s="39"/>
      <c r="M433" s="40"/>
      <c r="N433" s="40"/>
      <c r="O433" s="41"/>
    </row>
    <row r="434" spans="1:15" s="7" customFormat="1" ht="18.75">
      <c r="A434" s="56"/>
      <c r="B434" s="46"/>
      <c r="C434" s="29"/>
      <c r="D434" s="45"/>
      <c r="E434" s="44"/>
      <c r="F434" s="86"/>
      <c r="G434" s="132"/>
      <c r="H434" s="87"/>
      <c r="I434" s="35"/>
      <c r="J434" s="37"/>
      <c r="K434" s="38"/>
      <c r="L434" s="39"/>
      <c r="M434" s="40"/>
      <c r="N434" s="40"/>
      <c r="O434" s="41"/>
    </row>
    <row r="435" spans="1:15" s="7" customFormat="1" ht="18.75">
      <c r="A435" s="56">
        <v>12</v>
      </c>
      <c r="B435" s="46" t="s">
        <v>40</v>
      </c>
      <c r="C435" s="31" t="s">
        <v>170</v>
      </c>
      <c r="D435" s="45" t="s">
        <v>140</v>
      </c>
      <c r="E435" s="44"/>
      <c r="F435" s="34">
        <v>4918077.8600000003</v>
      </c>
      <c r="G435" s="35" t="s">
        <v>172</v>
      </c>
      <c r="H435" s="36">
        <v>4918077.8600000003</v>
      </c>
      <c r="I435" s="35" t="s">
        <v>713</v>
      </c>
      <c r="J435" s="37">
        <f t="shared" ref="J435:J446" si="23">F435-H435</f>
        <v>0</v>
      </c>
      <c r="K435" s="37">
        <v>0</v>
      </c>
      <c r="L435" s="39"/>
      <c r="M435" s="40"/>
      <c r="N435" s="40"/>
      <c r="O435" s="41"/>
    </row>
    <row r="436" spans="1:15" s="7" customFormat="1" ht="18.75">
      <c r="A436" s="56"/>
      <c r="B436" s="46"/>
      <c r="C436" s="31" t="s">
        <v>174</v>
      </c>
      <c r="D436" s="45" t="s">
        <v>120</v>
      </c>
      <c r="E436" s="44"/>
      <c r="F436" s="34">
        <v>10776307.354341479</v>
      </c>
      <c r="G436" s="35" t="s">
        <v>176</v>
      </c>
      <c r="H436" s="36">
        <v>10776307.35</v>
      </c>
      <c r="I436" s="35" t="s">
        <v>714</v>
      </c>
      <c r="J436" s="37">
        <f t="shared" si="23"/>
        <v>4.3414793908596039E-3</v>
      </c>
      <c r="K436" s="37">
        <f>J435+K435</f>
        <v>0</v>
      </c>
      <c r="L436" s="39"/>
      <c r="M436" s="40"/>
      <c r="N436" s="40"/>
      <c r="O436" s="41"/>
    </row>
    <row r="437" spans="1:15" s="7" customFormat="1" ht="18.75">
      <c r="A437" s="56"/>
      <c r="B437" s="46"/>
      <c r="C437" s="31" t="s">
        <v>178</v>
      </c>
      <c r="D437" s="45" t="s">
        <v>146</v>
      </c>
      <c r="E437" s="44"/>
      <c r="F437" s="34">
        <v>8731494.3427125756</v>
      </c>
      <c r="G437" s="35" t="s">
        <v>179</v>
      </c>
      <c r="H437" s="36">
        <v>8731494.3399999999</v>
      </c>
      <c r="I437" s="35" t="s">
        <v>715</v>
      </c>
      <c r="J437" s="37">
        <f t="shared" si="23"/>
        <v>2.7125757187604904E-3</v>
      </c>
      <c r="K437" s="37">
        <v>0</v>
      </c>
      <c r="L437" s="39"/>
      <c r="M437" s="40"/>
      <c r="N437" s="40"/>
      <c r="O437" s="41"/>
    </row>
    <row r="438" spans="1:15" s="7" customFormat="1" ht="18.75">
      <c r="A438" s="56"/>
      <c r="B438" s="46"/>
      <c r="C438" s="42" t="s">
        <v>181</v>
      </c>
      <c r="D438" s="45" t="s">
        <v>80</v>
      </c>
      <c r="E438" s="44"/>
      <c r="F438" s="34">
        <v>9523576.1952470988</v>
      </c>
      <c r="G438" s="35" t="s">
        <v>183</v>
      </c>
      <c r="H438" s="36">
        <v>9523576.1952470988</v>
      </c>
      <c r="I438" s="35" t="s">
        <v>716</v>
      </c>
      <c r="J438" s="37">
        <f t="shared" si="23"/>
        <v>0</v>
      </c>
      <c r="K438" s="37">
        <f t="shared" ref="K438:K449" si="24">J437+K437</f>
        <v>2.7125757187604904E-3</v>
      </c>
      <c r="L438" s="39"/>
      <c r="M438" s="40"/>
      <c r="N438" s="40"/>
      <c r="O438" s="41"/>
    </row>
    <row r="439" spans="1:15" s="7" customFormat="1" ht="18.75">
      <c r="A439" s="133"/>
      <c r="B439" s="46"/>
      <c r="C439" s="31" t="s">
        <v>185</v>
      </c>
      <c r="D439" s="45" t="s">
        <v>124</v>
      </c>
      <c r="E439" s="44"/>
      <c r="F439" s="34">
        <v>10643172.682779212</v>
      </c>
      <c r="G439" s="35" t="s">
        <v>187</v>
      </c>
      <c r="H439" s="36">
        <v>10643172.682779212</v>
      </c>
      <c r="I439" s="35" t="s">
        <v>717</v>
      </c>
      <c r="J439" s="37">
        <f t="shared" si="23"/>
        <v>0</v>
      </c>
      <c r="K439" s="37">
        <f t="shared" si="24"/>
        <v>2.7125757187604904E-3</v>
      </c>
      <c r="L439" s="39"/>
      <c r="M439" s="40"/>
      <c r="N439" s="40"/>
      <c r="O439" s="41"/>
    </row>
    <row r="440" spans="1:15" s="7" customFormat="1" ht="18.75">
      <c r="A440" s="133"/>
      <c r="B440" s="46"/>
      <c r="C440" s="31" t="s">
        <v>189</v>
      </c>
      <c r="D440" s="45" t="s">
        <v>155</v>
      </c>
      <c r="E440" s="44"/>
      <c r="F440" s="34">
        <v>10305724.638231909</v>
      </c>
      <c r="G440" s="35" t="s">
        <v>282</v>
      </c>
      <c r="H440" s="36">
        <v>10305724.638231909</v>
      </c>
      <c r="I440" s="35" t="s">
        <v>718</v>
      </c>
      <c r="J440" s="37">
        <f t="shared" si="23"/>
        <v>0</v>
      </c>
      <c r="K440" s="37">
        <f t="shared" si="24"/>
        <v>2.7125757187604904E-3</v>
      </c>
      <c r="L440" s="39"/>
      <c r="M440" s="40"/>
      <c r="N440" s="40"/>
      <c r="O440" s="41"/>
    </row>
    <row r="441" spans="1:15" s="7" customFormat="1" ht="18.75">
      <c r="A441" s="133"/>
      <c r="B441" s="46"/>
      <c r="C441" s="31" t="s">
        <v>191</v>
      </c>
      <c r="D441" s="45" t="s">
        <v>159</v>
      </c>
      <c r="E441" s="44">
        <v>43986</v>
      </c>
      <c r="F441" s="34">
        <v>14723327.991588509</v>
      </c>
      <c r="G441" s="35" t="s">
        <v>193</v>
      </c>
      <c r="H441" s="36">
        <v>14723327.991588509</v>
      </c>
      <c r="I441" s="35" t="s">
        <v>718</v>
      </c>
      <c r="J441" s="37">
        <f t="shared" si="23"/>
        <v>0</v>
      </c>
      <c r="K441" s="37">
        <f t="shared" si="24"/>
        <v>2.7125757187604904E-3</v>
      </c>
      <c r="L441" s="39"/>
      <c r="M441" s="40"/>
      <c r="N441" s="40"/>
      <c r="O441" s="41"/>
    </row>
    <row r="442" spans="1:15" s="7" customFormat="1" ht="18.75">
      <c r="A442" s="133"/>
      <c r="B442" s="46"/>
      <c r="C442" s="31" t="s">
        <v>195</v>
      </c>
      <c r="D442" s="45" t="s">
        <v>163</v>
      </c>
      <c r="E442" s="44" t="s">
        <v>197</v>
      </c>
      <c r="F442" s="34">
        <v>13900114.668134362</v>
      </c>
      <c r="G442" s="35" t="s">
        <v>198</v>
      </c>
      <c r="H442" s="36">
        <v>13900114.668134362</v>
      </c>
      <c r="I442" s="35" t="s">
        <v>718</v>
      </c>
      <c r="J442" s="37">
        <f t="shared" si="23"/>
        <v>0</v>
      </c>
      <c r="K442" s="37">
        <f t="shared" si="24"/>
        <v>2.7125757187604904E-3</v>
      </c>
      <c r="L442" s="39"/>
      <c r="M442" s="40"/>
      <c r="N442" s="40"/>
      <c r="O442" s="41"/>
    </row>
    <row r="443" spans="1:15" s="7" customFormat="1" ht="18.75">
      <c r="A443" s="133"/>
      <c r="B443" s="46"/>
      <c r="C443" s="31" t="s">
        <v>199</v>
      </c>
      <c r="D443" s="45" t="s">
        <v>167</v>
      </c>
      <c r="E443" s="44">
        <v>44049</v>
      </c>
      <c r="F443" s="34">
        <v>13371274.2941106</v>
      </c>
      <c r="G443" s="44">
        <v>43897</v>
      </c>
      <c r="H443" s="36">
        <v>13371274.2941106</v>
      </c>
      <c r="I443" s="35" t="s">
        <v>719</v>
      </c>
      <c r="J443" s="37">
        <f t="shared" si="23"/>
        <v>0</v>
      </c>
      <c r="K443" s="37">
        <f t="shared" si="24"/>
        <v>2.7125757187604904E-3</v>
      </c>
      <c r="L443" s="39"/>
      <c r="M443" s="40"/>
      <c r="N443" s="40"/>
      <c r="O443" s="41"/>
    </row>
    <row r="444" spans="1:15" s="7" customFormat="1" ht="18.75">
      <c r="A444" s="133"/>
      <c r="B444" s="46"/>
      <c r="C444" s="31" t="s">
        <v>201</v>
      </c>
      <c r="D444" s="45" t="s">
        <v>171</v>
      </c>
      <c r="E444" s="44">
        <v>44081</v>
      </c>
      <c r="F444" s="34">
        <v>13520486.141899798</v>
      </c>
      <c r="G444" s="35">
        <v>44020</v>
      </c>
      <c r="H444" s="36">
        <v>13520486.15</v>
      </c>
      <c r="I444" s="35">
        <v>44533</v>
      </c>
      <c r="J444" s="37">
        <f t="shared" si="23"/>
        <v>-8.1002023071050644E-3</v>
      </c>
      <c r="K444" s="37">
        <f t="shared" si="24"/>
        <v>2.7125757187604904E-3</v>
      </c>
      <c r="L444" s="39"/>
      <c r="M444" s="40"/>
      <c r="N444" s="40"/>
      <c r="O444" s="41"/>
    </row>
    <row r="445" spans="1:15" s="7" customFormat="1" ht="18.75">
      <c r="A445" s="133"/>
      <c r="B445" s="46"/>
      <c r="C445" s="31" t="s">
        <v>203</v>
      </c>
      <c r="D445" s="45" t="s">
        <v>175</v>
      </c>
      <c r="E445" s="44">
        <v>43990</v>
      </c>
      <c r="F445" s="34">
        <v>11602588.102525039</v>
      </c>
      <c r="G445" s="35" t="s">
        <v>290</v>
      </c>
      <c r="H445" s="36">
        <v>11602588.102525039</v>
      </c>
      <c r="I445" s="35" t="s">
        <v>720</v>
      </c>
      <c r="J445" s="37">
        <f t="shared" si="23"/>
        <v>0</v>
      </c>
      <c r="K445" s="37">
        <f t="shared" si="24"/>
        <v>-5.387626588344574E-3</v>
      </c>
      <c r="L445" s="39"/>
      <c r="M445" s="40"/>
      <c r="N445" s="40"/>
      <c r="O445" s="41"/>
    </row>
    <row r="446" spans="1:15" s="7" customFormat="1" ht="18.75">
      <c r="A446" s="133"/>
      <c r="B446" s="46"/>
      <c r="C446" s="31" t="s">
        <v>207</v>
      </c>
      <c r="D446" s="45" t="s">
        <v>111</v>
      </c>
      <c r="E446" s="44" t="s">
        <v>209</v>
      </c>
      <c r="F446" s="34">
        <v>11289607.808962999</v>
      </c>
      <c r="G446" s="35" t="s">
        <v>210</v>
      </c>
      <c r="H446" s="36">
        <v>11289607.810000001</v>
      </c>
      <c r="I446" s="35" t="s">
        <v>603</v>
      </c>
      <c r="J446" s="37">
        <f t="shared" si="23"/>
        <v>-1.0370016098022461E-3</v>
      </c>
      <c r="K446" s="37">
        <f t="shared" si="24"/>
        <v>-5.387626588344574E-3</v>
      </c>
      <c r="L446" s="39"/>
      <c r="M446" s="40"/>
      <c r="N446" s="40"/>
      <c r="O446" s="41"/>
    </row>
    <row r="447" spans="1:15" s="7" customFormat="1" ht="18.75">
      <c r="A447" s="133"/>
      <c r="B447" s="46"/>
      <c r="C447" s="31" t="s">
        <v>212</v>
      </c>
      <c r="D447" s="45" t="s">
        <v>182</v>
      </c>
      <c r="E447" s="44">
        <v>44084</v>
      </c>
      <c r="F447" s="34">
        <v>12724587.179960081</v>
      </c>
      <c r="G447" s="35" t="s">
        <v>213</v>
      </c>
      <c r="H447" s="36">
        <v>12724587.18</v>
      </c>
      <c r="I447" s="35" t="s">
        <v>603</v>
      </c>
      <c r="K447" s="37">
        <f t="shared" si="24"/>
        <v>-6.4246281981468201E-3</v>
      </c>
      <c r="L447" s="39"/>
      <c r="M447" s="40"/>
      <c r="N447" s="40"/>
      <c r="O447" s="41"/>
    </row>
    <row r="448" spans="1:15" s="7" customFormat="1" ht="18.75">
      <c r="A448" s="133"/>
      <c r="B448" s="46"/>
      <c r="C448" s="31" t="s">
        <v>214</v>
      </c>
      <c r="D448" s="45" t="s">
        <v>186</v>
      </c>
      <c r="E448" s="44">
        <v>43962</v>
      </c>
      <c r="F448" s="34">
        <v>13212476.877818545</v>
      </c>
      <c r="G448" s="35" t="s">
        <v>216</v>
      </c>
      <c r="H448" s="36">
        <v>13212476.880000001</v>
      </c>
      <c r="I448" s="35">
        <v>43842</v>
      </c>
      <c r="J448" s="37">
        <f>F448-H448</f>
        <v>-2.1814554929733276E-3</v>
      </c>
      <c r="K448" s="37">
        <f t="shared" si="24"/>
        <v>-6.4246281981468201E-3</v>
      </c>
      <c r="L448" s="39"/>
      <c r="M448" s="40"/>
      <c r="N448" s="40"/>
      <c r="O448" s="41"/>
    </row>
    <row r="449" spans="1:15" s="7" customFormat="1" ht="18.75">
      <c r="A449" s="133"/>
      <c r="B449" s="46"/>
      <c r="C449" s="31" t="s">
        <v>218</v>
      </c>
      <c r="D449" s="45" t="s">
        <v>192</v>
      </c>
      <c r="E449" s="44">
        <v>44024</v>
      </c>
      <c r="F449" s="34">
        <v>14301999.50485228</v>
      </c>
      <c r="G449" s="35">
        <v>44531</v>
      </c>
      <c r="H449" s="36"/>
      <c r="I449" s="35"/>
      <c r="J449" s="37">
        <f>F449-H449</f>
        <v>14301999.50485228</v>
      </c>
      <c r="K449" s="37">
        <f t="shared" si="24"/>
        <v>-8.6060836911201477E-3</v>
      </c>
      <c r="L449" s="39"/>
      <c r="M449" s="40"/>
      <c r="N449" s="40"/>
      <c r="O449" s="41"/>
    </row>
    <row r="450" spans="1:15" s="7" customFormat="1" ht="18.75">
      <c r="A450" s="133"/>
      <c r="B450" s="46"/>
      <c r="C450" s="31" t="s">
        <v>219</v>
      </c>
      <c r="D450" s="45" t="s">
        <v>196</v>
      </c>
      <c r="E450" s="44">
        <v>44409</v>
      </c>
      <c r="F450" s="34">
        <v>11115723.555229044</v>
      </c>
      <c r="G450" s="35" t="s">
        <v>220</v>
      </c>
      <c r="H450" s="36">
        <v>11115723.560000001</v>
      </c>
      <c r="I450" s="35" t="s">
        <v>391</v>
      </c>
      <c r="J450" s="37">
        <f>F450-H450</f>
        <v>-4.7709569334983826E-3</v>
      </c>
      <c r="K450" s="37">
        <f>J449+K449</f>
        <v>14301999.496246196</v>
      </c>
      <c r="L450" s="39"/>
      <c r="M450" s="40"/>
      <c r="N450" s="40"/>
      <c r="O450" s="41"/>
    </row>
    <row r="451" spans="1:15" s="7" customFormat="1" ht="18.75">
      <c r="A451" s="133"/>
      <c r="B451" s="46"/>
      <c r="C451" s="31" t="s">
        <v>221</v>
      </c>
      <c r="D451" s="45" t="s">
        <v>41</v>
      </c>
      <c r="E451" s="44">
        <v>44471</v>
      </c>
      <c r="F451" s="34">
        <v>13770824.307569753</v>
      </c>
      <c r="G451" s="35" t="s">
        <v>27</v>
      </c>
      <c r="H451" s="36"/>
      <c r="I451" s="35"/>
      <c r="J451" s="37">
        <f>F451-H451</f>
        <v>13770824.307569753</v>
      </c>
      <c r="K451" s="37">
        <f>J450+K450</f>
        <v>14301999.491475239</v>
      </c>
      <c r="L451" s="39"/>
      <c r="M451" s="40"/>
      <c r="N451" s="40"/>
      <c r="O451" s="41"/>
    </row>
    <row r="452" spans="1:15" s="7" customFormat="1" ht="18.75">
      <c r="A452" s="133"/>
      <c r="B452" s="46"/>
      <c r="C452" s="31" t="s">
        <v>222</v>
      </c>
      <c r="D452" s="45" t="s">
        <v>359</v>
      </c>
      <c r="E452" s="44">
        <v>44319</v>
      </c>
      <c r="F452" s="34">
        <v>11397697.096527472</v>
      </c>
      <c r="G452" s="35" t="s">
        <v>224</v>
      </c>
      <c r="H452" s="36"/>
      <c r="I452" s="35"/>
      <c r="J452" s="37">
        <f>F452-H452</f>
        <v>11397697.096527472</v>
      </c>
      <c r="K452" s="37">
        <f>J451+K451</f>
        <v>28072823.799044993</v>
      </c>
      <c r="L452" s="39"/>
      <c r="M452" s="40"/>
      <c r="N452" s="40"/>
      <c r="O452" s="41"/>
    </row>
    <row r="453" spans="1:15" s="7" customFormat="1" ht="18.75">
      <c r="A453" s="56"/>
      <c r="B453" s="46" t="s">
        <v>721</v>
      </c>
      <c r="C453" s="31"/>
      <c r="D453" s="45"/>
      <c r="E453" s="44"/>
      <c r="F453" s="34"/>
      <c r="G453" s="35"/>
      <c r="H453" s="36"/>
      <c r="I453" s="35"/>
      <c r="J453" s="37"/>
      <c r="K453" s="38">
        <f>J452+K452</f>
        <v>39470520.895572469</v>
      </c>
      <c r="L453" s="39"/>
      <c r="M453" s="40"/>
      <c r="N453" s="40"/>
      <c r="O453" s="41"/>
    </row>
    <row r="454" spans="1:15" s="7" customFormat="1" ht="18.75">
      <c r="A454" s="56"/>
      <c r="B454" s="46"/>
      <c r="C454" s="31"/>
      <c r="D454" s="45"/>
      <c r="E454" s="44"/>
      <c r="F454" s="86"/>
      <c r="G454" s="35"/>
      <c r="H454" s="115"/>
      <c r="I454" s="35"/>
      <c r="J454" s="37"/>
      <c r="K454" s="38"/>
      <c r="L454" s="39"/>
      <c r="M454" s="40"/>
      <c r="N454" s="40"/>
      <c r="O454" s="41"/>
    </row>
    <row r="455" spans="1:15" s="7" customFormat="1" ht="18.75">
      <c r="A455" s="56"/>
      <c r="B455" s="46"/>
      <c r="C455" s="31"/>
      <c r="D455" s="45"/>
      <c r="E455" s="44"/>
      <c r="F455" s="86"/>
      <c r="G455" s="35"/>
      <c r="H455" s="115"/>
      <c r="I455" s="35"/>
      <c r="J455" s="37"/>
      <c r="K455" s="38"/>
      <c r="L455" s="39"/>
      <c r="M455" s="40"/>
      <c r="N455" s="40"/>
      <c r="O455" s="41"/>
    </row>
    <row r="456" spans="1:15" s="7" customFormat="1" ht="18.75">
      <c r="A456" s="56">
        <v>13</v>
      </c>
      <c r="B456" s="46" t="s">
        <v>42</v>
      </c>
      <c r="C456" s="31" t="s">
        <v>226</v>
      </c>
      <c r="D456" s="45" t="s">
        <v>208</v>
      </c>
      <c r="E456" s="44"/>
      <c r="F456" s="34">
        <v>34295277.159999996</v>
      </c>
      <c r="G456" s="35"/>
      <c r="H456" s="47">
        <f>34295277.16+27362732.13</f>
        <v>61658009.289999992</v>
      </c>
      <c r="I456" s="35"/>
      <c r="J456" s="37">
        <f>F456-H456</f>
        <v>-27362732.129999995</v>
      </c>
      <c r="K456" s="37"/>
      <c r="L456" s="39"/>
      <c r="M456" s="40"/>
      <c r="N456" s="40"/>
      <c r="O456" s="41"/>
    </row>
    <row r="457" spans="1:15" s="7" customFormat="1" ht="18.75">
      <c r="A457" s="56"/>
      <c r="B457" s="46"/>
      <c r="C457" s="31" t="s">
        <v>228</v>
      </c>
      <c r="D457" s="45" t="s">
        <v>52</v>
      </c>
      <c r="E457" s="44"/>
      <c r="F457" s="34">
        <v>30679198.18</v>
      </c>
      <c r="G457" s="35"/>
      <c r="H457" s="47">
        <f>3316466.05+1353254.74</f>
        <v>4669720.79</v>
      </c>
      <c r="I457" s="35"/>
      <c r="J457" s="37">
        <f t="shared" ref="J457:J488" si="25">F457-H457</f>
        <v>26009477.390000001</v>
      </c>
      <c r="K457" s="37">
        <f>J456+K456</f>
        <v>-27362732.129999995</v>
      </c>
      <c r="L457" s="39"/>
      <c r="M457" s="40"/>
      <c r="N457" s="40"/>
      <c r="O457" s="41"/>
    </row>
    <row r="458" spans="1:15" s="7" customFormat="1" ht="18.75">
      <c r="A458" s="56"/>
      <c r="B458" s="46"/>
      <c r="C458" s="31" t="s">
        <v>231</v>
      </c>
      <c r="D458" s="45" t="s">
        <v>215</v>
      </c>
      <c r="E458" s="44"/>
      <c r="F458" s="34">
        <v>32400308.510000002</v>
      </c>
      <c r="G458" s="35"/>
      <c r="H458" s="47">
        <v>31047053.77</v>
      </c>
      <c r="I458" s="35"/>
      <c r="J458" s="37">
        <f t="shared" si="25"/>
        <v>1353254.7400000021</v>
      </c>
      <c r="K458" s="37">
        <f t="shared" ref="K458:K490" si="26">J457+K457</f>
        <v>-1353254.7399999946</v>
      </c>
      <c r="L458" s="39"/>
      <c r="M458" s="40"/>
      <c r="N458" s="40"/>
      <c r="O458" s="41"/>
    </row>
    <row r="459" spans="1:15" s="7" customFormat="1" ht="18.75">
      <c r="A459" s="56"/>
      <c r="B459" s="46"/>
      <c r="C459" s="31" t="s">
        <v>234</v>
      </c>
      <c r="D459" s="45" t="s">
        <v>65</v>
      </c>
      <c r="E459" s="44"/>
      <c r="F459" s="34">
        <v>31495065.251264997</v>
      </c>
      <c r="G459" s="35"/>
      <c r="H459" s="47">
        <v>31495065.251264997</v>
      </c>
      <c r="I459" s="35"/>
      <c r="J459" s="37">
        <f t="shared" si="25"/>
        <v>0</v>
      </c>
      <c r="K459" s="37">
        <f t="shared" si="26"/>
        <v>7.4505805969238281E-9</v>
      </c>
      <c r="L459" s="39"/>
      <c r="M459" s="40"/>
      <c r="N459" s="40"/>
      <c r="O459" s="41"/>
    </row>
    <row r="460" spans="1:15" s="7" customFormat="1" ht="18.75">
      <c r="A460" s="56"/>
      <c r="B460" s="46"/>
      <c r="C460" s="31" t="s">
        <v>236</v>
      </c>
      <c r="D460" s="45" t="s">
        <v>71</v>
      </c>
      <c r="E460" s="44"/>
      <c r="F460" s="34">
        <v>28423584.508000497</v>
      </c>
      <c r="G460" s="35"/>
      <c r="H460" s="48">
        <v>28423584.508000497</v>
      </c>
      <c r="I460" s="35"/>
      <c r="J460" s="37">
        <f t="shared" si="25"/>
        <v>0</v>
      </c>
      <c r="K460" s="37">
        <f t="shared" si="26"/>
        <v>7.4505805969238281E-9</v>
      </c>
      <c r="L460" s="39"/>
      <c r="M460" s="40"/>
      <c r="N460" s="40"/>
      <c r="O460" s="41"/>
    </row>
    <row r="461" spans="1:15" s="7" customFormat="1" ht="18.75">
      <c r="A461" s="56"/>
      <c r="B461" s="46"/>
      <c r="C461" s="31" t="s">
        <v>238</v>
      </c>
      <c r="D461" s="45" t="s">
        <v>26</v>
      </c>
      <c r="E461" s="44"/>
      <c r="F461" s="34">
        <v>34759256.113260008</v>
      </c>
      <c r="G461" s="35"/>
      <c r="H461" s="47">
        <v>34759256.109999999</v>
      </c>
      <c r="I461" s="35"/>
      <c r="J461" s="37">
        <f t="shared" si="25"/>
        <v>3.2600089907646179E-3</v>
      </c>
      <c r="K461" s="37">
        <f t="shared" si="26"/>
        <v>7.4505805969238281E-9</v>
      </c>
      <c r="L461" s="39"/>
      <c r="M461" s="40"/>
      <c r="N461" s="40"/>
      <c r="O461" s="41"/>
    </row>
    <row r="462" spans="1:15" s="7" customFormat="1" ht="18.75">
      <c r="A462" s="56"/>
      <c r="B462" s="46"/>
      <c r="C462" s="31" t="s">
        <v>240</v>
      </c>
      <c r="D462" s="45" t="s">
        <v>223</v>
      </c>
      <c r="E462" s="44"/>
      <c r="F462" s="34">
        <v>39181774.551233999</v>
      </c>
      <c r="G462" s="35"/>
      <c r="H462" s="47">
        <v>39181774.549999997</v>
      </c>
      <c r="I462" s="35" t="s">
        <v>722</v>
      </c>
      <c r="J462" s="37">
        <f t="shared" si="25"/>
        <v>1.234002411365509E-3</v>
      </c>
      <c r="K462" s="37">
        <f t="shared" si="26"/>
        <v>3.2600164413452148E-3</v>
      </c>
      <c r="L462" s="39"/>
      <c r="M462" s="40"/>
      <c r="N462" s="40"/>
      <c r="O462" s="41"/>
    </row>
    <row r="463" spans="1:15" s="7" customFormat="1" ht="18.75">
      <c r="A463" s="56"/>
      <c r="B463" s="46"/>
      <c r="C463" s="31" t="s">
        <v>243</v>
      </c>
      <c r="D463" s="45" t="s">
        <v>367</v>
      </c>
      <c r="E463" s="44"/>
      <c r="F463" s="34">
        <v>35561216.282256</v>
      </c>
      <c r="G463" s="35"/>
      <c r="H463" s="47">
        <v>35561216.280000001</v>
      </c>
      <c r="I463" s="134"/>
      <c r="J463" s="37">
        <f t="shared" si="25"/>
        <v>2.2559985518455505E-3</v>
      </c>
      <c r="K463" s="37">
        <f t="shared" si="26"/>
        <v>4.4940188527107239E-3</v>
      </c>
      <c r="L463" s="39"/>
      <c r="M463" s="40"/>
      <c r="N463" s="40"/>
      <c r="O463" s="41"/>
    </row>
    <row r="464" spans="1:15" s="7" customFormat="1" ht="18.75">
      <c r="A464" s="56"/>
      <c r="B464" s="46"/>
      <c r="C464" s="31" t="s">
        <v>246</v>
      </c>
      <c r="D464" s="45" t="s">
        <v>368</v>
      </c>
      <c r="E464" s="44"/>
      <c r="F464" s="34">
        <v>24610497.191128798</v>
      </c>
      <c r="G464" s="35"/>
      <c r="H464" s="47">
        <v>24610497.191128798</v>
      </c>
      <c r="I464" s="134"/>
      <c r="J464" s="37">
        <f t="shared" si="25"/>
        <v>0</v>
      </c>
      <c r="K464" s="37">
        <f t="shared" si="26"/>
        <v>6.7500174045562744E-3</v>
      </c>
      <c r="L464" s="39"/>
      <c r="M464" s="40"/>
      <c r="N464" s="40"/>
      <c r="O464" s="41"/>
    </row>
    <row r="465" spans="1:15" s="7" customFormat="1" ht="18.75">
      <c r="A465" s="56"/>
      <c r="B465" s="46"/>
      <c r="C465" s="31" t="s">
        <v>248</v>
      </c>
      <c r="D465" s="45" t="s">
        <v>370</v>
      </c>
      <c r="E465" s="44"/>
      <c r="F465" s="34">
        <v>23167828.037025005</v>
      </c>
      <c r="G465" s="35"/>
      <c r="H465" s="47">
        <v>23167828.037025005</v>
      </c>
      <c r="I465" s="135"/>
      <c r="J465" s="37">
        <f t="shared" si="25"/>
        <v>0</v>
      </c>
      <c r="K465" s="37">
        <f t="shared" si="26"/>
        <v>6.7500174045562744E-3</v>
      </c>
      <c r="L465" s="39"/>
      <c r="M465" s="40"/>
      <c r="N465" s="40"/>
      <c r="O465" s="41"/>
    </row>
    <row r="466" spans="1:15" s="7" customFormat="1" ht="18.75">
      <c r="A466" s="56"/>
      <c r="B466" s="46"/>
      <c r="C466" s="31" t="s">
        <v>250</v>
      </c>
      <c r="D466" s="45" t="s">
        <v>371</v>
      </c>
      <c r="E466" s="44"/>
      <c r="F466" s="34">
        <v>36162747.950000003</v>
      </c>
      <c r="G466" s="35"/>
      <c r="H466" s="47">
        <v>36162747.950000003</v>
      </c>
      <c r="I466" s="134"/>
      <c r="J466" s="37">
        <f t="shared" si="25"/>
        <v>0</v>
      </c>
      <c r="K466" s="37">
        <f t="shared" si="26"/>
        <v>6.7500174045562744E-3</v>
      </c>
      <c r="L466" s="39"/>
      <c r="M466" s="40"/>
      <c r="N466" s="40"/>
      <c r="O466" s="41"/>
    </row>
    <row r="467" spans="1:15" s="7" customFormat="1" ht="18.75">
      <c r="A467" s="56"/>
      <c r="B467" s="46"/>
      <c r="C467" s="31" t="s">
        <v>139</v>
      </c>
      <c r="D467" s="45" t="s">
        <v>372</v>
      </c>
      <c r="E467" s="44"/>
      <c r="F467" s="34">
        <v>39309716.61225</v>
      </c>
      <c r="G467" s="35"/>
      <c r="H467" s="47">
        <v>39309716.619999997</v>
      </c>
      <c r="I467" s="134"/>
      <c r="J467" s="37">
        <f t="shared" si="25"/>
        <v>-7.749997079372406E-3</v>
      </c>
      <c r="K467" s="37">
        <f t="shared" si="26"/>
        <v>6.7500174045562744E-3</v>
      </c>
      <c r="L467" s="39"/>
      <c r="M467" s="40"/>
      <c r="N467" s="40"/>
      <c r="O467" s="41"/>
    </row>
    <row r="468" spans="1:15" s="7" customFormat="1" ht="18.75">
      <c r="A468" s="56"/>
      <c r="B468" s="46"/>
      <c r="C468" s="31" t="s">
        <v>254</v>
      </c>
      <c r="D468" s="45" t="s">
        <v>373</v>
      </c>
      <c r="E468" s="44"/>
      <c r="F468" s="34">
        <v>30969785.329150502</v>
      </c>
      <c r="G468" s="35" t="s">
        <v>723</v>
      </c>
      <c r="H468" s="47"/>
      <c r="I468" s="134"/>
      <c r="J468" s="37">
        <f t="shared" si="25"/>
        <v>30969785.329150502</v>
      </c>
      <c r="K468" s="37">
        <f t="shared" si="26"/>
        <v>-9.9997967481613159E-4</v>
      </c>
      <c r="L468" s="39"/>
      <c r="M468" s="40"/>
      <c r="N468" s="40"/>
      <c r="O468" s="41"/>
    </row>
    <row r="469" spans="1:15" s="7" customFormat="1" ht="18.75">
      <c r="A469" s="56"/>
      <c r="B469" s="46"/>
      <c r="C469" s="31" t="s">
        <v>257</v>
      </c>
      <c r="D469" s="45" t="s">
        <v>92</v>
      </c>
      <c r="E469" s="44"/>
      <c r="F469" s="34">
        <v>34388707.351004995</v>
      </c>
      <c r="G469" s="35" t="s">
        <v>723</v>
      </c>
      <c r="H469" s="47">
        <f>34388707.35+30969785.33</f>
        <v>65358492.68</v>
      </c>
      <c r="I469" s="136" t="s">
        <v>256</v>
      </c>
      <c r="J469" s="37">
        <f t="shared" si="25"/>
        <v>-30969785.328995004</v>
      </c>
      <c r="K469" s="37">
        <f t="shared" si="26"/>
        <v>30969785.328150522</v>
      </c>
      <c r="L469" s="39"/>
      <c r="M469" s="40"/>
      <c r="N469" s="40"/>
      <c r="O469" s="41"/>
    </row>
    <row r="470" spans="1:15" s="7" customFormat="1" ht="18.75">
      <c r="A470" s="56"/>
      <c r="B470" s="46"/>
      <c r="C470" s="31" t="s">
        <v>259</v>
      </c>
      <c r="D470" s="45" t="s">
        <v>63</v>
      </c>
      <c r="E470" s="44"/>
      <c r="F470" s="34">
        <v>39904579.531435497</v>
      </c>
      <c r="G470" s="35" t="s">
        <v>724</v>
      </c>
      <c r="H470" s="47">
        <v>39904579.530000001</v>
      </c>
      <c r="I470" s="134" t="s">
        <v>261</v>
      </c>
      <c r="J470" s="37">
        <f t="shared" si="25"/>
        <v>1.435495913028717E-3</v>
      </c>
      <c r="K470" s="37">
        <f t="shared" si="26"/>
        <v>-8.4448233246803284E-4</v>
      </c>
      <c r="L470" s="39"/>
      <c r="M470" s="40"/>
      <c r="N470" s="40"/>
      <c r="O470" s="41"/>
    </row>
    <row r="471" spans="1:15" s="7" customFormat="1" ht="18.75">
      <c r="A471" s="56"/>
      <c r="B471" s="46"/>
      <c r="C471" s="31" t="s">
        <v>262</v>
      </c>
      <c r="D471" s="45" t="s">
        <v>374</v>
      </c>
      <c r="E471" s="44"/>
      <c r="F471" s="34">
        <v>38672785.085917495</v>
      </c>
      <c r="G471" s="35" t="s">
        <v>152</v>
      </c>
      <c r="H471" s="47">
        <v>38672785.079999998</v>
      </c>
      <c r="I471" s="94" t="s">
        <v>725</v>
      </c>
      <c r="J471" s="37">
        <f t="shared" si="25"/>
        <v>5.9174969792366028E-3</v>
      </c>
      <c r="K471" s="37">
        <f t="shared" si="26"/>
        <v>5.910135805606842E-4</v>
      </c>
      <c r="L471" s="39"/>
      <c r="M471" s="40"/>
      <c r="N471" s="40"/>
      <c r="O471" s="41"/>
    </row>
    <row r="472" spans="1:15" s="7" customFormat="1" ht="18.75">
      <c r="A472" s="56"/>
      <c r="B472" s="46"/>
      <c r="C472" s="31" t="s">
        <v>264</v>
      </c>
      <c r="D472" s="45" t="s">
        <v>376</v>
      </c>
      <c r="E472" s="44"/>
      <c r="F472" s="34">
        <v>41897792.523352496</v>
      </c>
      <c r="G472" s="35" t="s">
        <v>156</v>
      </c>
      <c r="H472" s="47">
        <v>41897792.523352496</v>
      </c>
      <c r="I472" s="43" t="s">
        <v>527</v>
      </c>
      <c r="J472" s="37">
        <f t="shared" si="25"/>
        <v>0</v>
      </c>
      <c r="K472" s="37">
        <f t="shared" si="26"/>
        <v>6.508510559797287E-3</v>
      </c>
      <c r="L472" s="39"/>
      <c r="M472" s="40"/>
      <c r="N472" s="40"/>
      <c r="O472" s="41"/>
    </row>
    <row r="473" spans="1:15" s="7" customFormat="1" ht="18.75">
      <c r="A473" s="56"/>
      <c r="B473" s="49"/>
      <c r="C473" s="31" t="s">
        <v>266</v>
      </c>
      <c r="D473" s="45" t="s">
        <v>54</v>
      </c>
      <c r="E473" s="44"/>
      <c r="F473" s="34">
        <v>36528851.628643498</v>
      </c>
      <c r="G473" s="35" t="s">
        <v>160</v>
      </c>
      <c r="H473" s="47">
        <v>36528851.628643498</v>
      </c>
      <c r="I473" s="137" t="s">
        <v>527</v>
      </c>
      <c r="J473" s="37">
        <f t="shared" si="25"/>
        <v>0</v>
      </c>
      <c r="K473" s="37">
        <f t="shared" si="26"/>
        <v>6.508510559797287E-3</v>
      </c>
      <c r="L473" s="39"/>
      <c r="M473" s="40"/>
      <c r="N473" s="40"/>
      <c r="O473" s="41"/>
    </row>
    <row r="474" spans="1:15" s="7" customFormat="1" ht="18.75">
      <c r="A474" s="56"/>
      <c r="B474" s="46"/>
      <c r="C474" s="31" t="s">
        <v>162</v>
      </c>
      <c r="D474" s="45" t="s">
        <v>379</v>
      </c>
      <c r="E474" s="44"/>
      <c r="F474" s="34">
        <v>25425781.653258003</v>
      </c>
      <c r="G474" s="35" t="s">
        <v>164</v>
      </c>
      <c r="H474" s="47">
        <v>25425781.653258003</v>
      </c>
      <c r="I474" s="35" t="s">
        <v>157</v>
      </c>
      <c r="J474" s="37">
        <f t="shared" si="25"/>
        <v>0</v>
      </c>
      <c r="K474" s="37">
        <f t="shared" si="26"/>
        <v>6.508510559797287E-3</v>
      </c>
      <c r="L474" s="39"/>
      <c r="M474" s="40"/>
      <c r="N474" s="40"/>
      <c r="O474" s="41"/>
    </row>
    <row r="475" spans="1:15" s="7" customFormat="1" ht="18.75">
      <c r="A475" s="56"/>
      <c r="B475" s="46"/>
      <c r="C475" s="31" t="s">
        <v>166</v>
      </c>
      <c r="D475" s="45" t="s">
        <v>381</v>
      </c>
      <c r="E475" s="44"/>
      <c r="F475" s="34">
        <v>36546005.629444502</v>
      </c>
      <c r="G475" s="35" t="s">
        <v>168</v>
      </c>
      <c r="H475" s="47">
        <v>36546005.630000003</v>
      </c>
      <c r="I475" s="35" t="s">
        <v>726</v>
      </c>
      <c r="J475" s="37">
        <f t="shared" si="25"/>
        <v>-5.5550038814544678E-4</v>
      </c>
      <c r="K475" s="37">
        <f t="shared" si="26"/>
        <v>6.508510559797287E-3</v>
      </c>
      <c r="L475" s="39"/>
      <c r="M475" s="40"/>
      <c r="N475" s="40"/>
      <c r="O475" s="41"/>
    </row>
    <row r="476" spans="1:15" s="7" customFormat="1" ht="18.75">
      <c r="A476" s="56"/>
      <c r="B476" s="46"/>
      <c r="C476" s="31" t="s">
        <v>170</v>
      </c>
      <c r="D476" s="45" t="s">
        <v>381</v>
      </c>
      <c r="E476" s="44"/>
      <c r="F476" s="34">
        <v>34682791.580472</v>
      </c>
      <c r="G476" s="35" t="s">
        <v>172</v>
      </c>
      <c r="H476" s="47">
        <v>34682791.579999998</v>
      </c>
      <c r="I476" s="35" t="s">
        <v>591</v>
      </c>
      <c r="J476" s="37">
        <f t="shared" si="25"/>
        <v>4.7200173139572144E-4</v>
      </c>
      <c r="K476" s="37">
        <f t="shared" si="26"/>
        <v>5.9530101716518402E-3</v>
      </c>
      <c r="L476" s="39"/>
      <c r="M476" s="40"/>
      <c r="N476" s="40"/>
      <c r="O476" s="41"/>
    </row>
    <row r="477" spans="1:15" s="7" customFormat="1" ht="18.75">
      <c r="A477" s="56"/>
      <c r="B477" s="46"/>
      <c r="C477" s="31" t="s">
        <v>174</v>
      </c>
      <c r="D477" s="45" t="s">
        <v>381</v>
      </c>
      <c r="E477" s="44"/>
      <c r="F477" s="34">
        <v>31662544.443117</v>
      </c>
      <c r="G477" s="35" t="s">
        <v>176</v>
      </c>
      <c r="H477" s="47">
        <v>31662544.443117</v>
      </c>
      <c r="I477" s="35" t="s">
        <v>727</v>
      </c>
      <c r="J477" s="37">
        <f t="shared" si="25"/>
        <v>0</v>
      </c>
      <c r="K477" s="37">
        <f t="shared" si="26"/>
        <v>6.4250119030475616E-3</v>
      </c>
      <c r="L477" s="39"/>
      <c r="M477" s="40"/>
      <c r="N477" s="40"/>
      <c r="O477" s="41"/>
    </row>
    <row r="478" spans="1:15" s="7" customFormat="1" ht="18.75">
      <c r="A478" s="56"/>
      <c r="B478" s="46"/>
      <c r="C478" s="31" t="s">
        <v>178</v>
      </c>
      <c r="D478" s="45" t="s">
        <v>385</v>
      </c>
      <c r="E478" s="44"/>
      <c r="F478" s="34">
        <v>38696669.0038215</v>
      </c>
      <c r="G478" s="35" t="s">
        <v>179</v>
      </c>
      <c r="H478" s="47">
        <v>38696669</v>
      </c>
      <c r="I478" s="35" t="s">
        <v>728</v>
      </c>
      <c r="J478" s="37">
        <f t="shared" si="25"/>
        <v>3.8214996457099915E-3</v>
      </c>
      <c r="K478" s="37">
        <f t="shared" si="26"/>
        <v>6.4250119030475616E-3</v>
      </c>
      <c r="L478" s="39"/>
      <c r="M478" s="40"/>
      <c r="N478" s="40"/>
      <c r="O478" s="41"/>
    </row>
    <row r="479" spans="1:15" s="7" customFormat="1" ht="18.75">
      <c r="A479" s="56"/>
      <c r="B479" s="46"/>
      <c r="C479" s="42" t="s">
        <v>181</v>
      </c>
      <c r="D479" s="45" t="s">
        <v>386</v>
      </c>
      <c r="E479" s="44"/>
      <c r="F479" s="34">
        <v>44294500.689946495</v>
      </c>
      <c r="G479" s="35" t="s">
        <v>183</v>
      </c>
      <c r="H479" s="47">
        <v>44294500.689999998</v>
      </c>
      <c r="I479" s="35" t="s">
        <v>729</v>
      </c>
      <c r="J479" s="37">
        <f t="shared" si="25"/>
        <v>-5.350261926651001E-5</v>
      </c>
      <c r="K479" s="37">
        <f t="shared" si="26"/>
        <v>1.0246511548757553E-2</v>
      </c>
      <c r="L479" s="39"/>
      <c r="M479" s="40"/>
      <c r="N479" s="40"/>
      <c r="O479" s="41"/>
    </row>
    <row r="480" spans="1:15" s="7" customFormat="1" ht="18.75">
      <c r="A480" s="56"/>
      <c r="B480" s="46"/>
      <c r="C480" s="31" t="s">
        <v>185</v>
      </c>
      <c r="D480" s="45" t="s">
        <v>385</v>
      </c>
      <c r="E480" s="44"/>
      <c r="F480" s="34">
        <v>38843552.634967491</v>
      </c>
      <c r="G480" s="35" t="s">
        <v>730</v>
      </c>
      <c r="H480" s="47">
        <v>38843552.630000003</v>
      </c>
      <c r="I480" s="35" t="s">
        <v>731</v>
      </c>
      <c r="J480" s="37">
        <f t="shared" si="25"/>
        <v>4.9674883484840393E-3</v>
      </c>
      <c r="K480" s="37">
        <f t="shared" si="26"/>
        <v>1.0193008929491043E-2</v>
      </c>
      <c r="L480" s="39"/>
      <c r="M480" s="40"/>
      <c r="N480" s="40"/>
      <c r="O480" s="41"/>
    </row>
    <row r="481" spans="1:15" s="7" customFormat="1" ht="18.75">
      <c r="A481" s="56"/>
      <c r="B481" s="46"/>
      <c r="C481" s="31" t="s">
        <v>189</v>
      </c>
      <c r="D481" s="45" t="s">
        <v>39</v>
      </c>
      <c r="E481" s="44"/>
      <c r="F481" s="34">
        <v>37938307.080008999</v>
      </c>
      <c r="G481" s="35" t="s">
        <v>377</v>
      </c>
      <c r="H481" s="55">
        <v>37938307.079999998</v>
      </c>
      <c r="I481" s="138">
        <v>43868</v>
      </c>
      <c r="J481" s="37">
        <f t="shared" si="25"/>
        <v>9.0003013610839844E-6</v>
      </c>
      <c r="K481" s="37">
        <f t="shared" si="26"/>
        <v>1.5160497277975082E-2</v>
      </c>
      <c r="L481" s="39"/>
      <c r="M481" s="40"/>
      <c r="N481" s="40"/>
      <c r="O481" s="41"/>
    </row>
    <row r="482" spans="1:15" s="7" customFormat="1" ht="18.75">
      <c r="A482" s="56"/>
      <c r="B482" s="46"/>
      <c r="C482" s="31" t="s">
        <v>191</v>
      </c>
      <c r="D482" s="45" t="s">
        <v>390</v>
      </c>
      <c r="E482" s="44">
        <v>43986</v>
      </c>
      <c r="F482" s="34">
        <v>50635310.856206998</v>
      </c>
      <c r="G482" s="35" t="s">
        <v>193</v>
      </c>
      <c r="H482" s="47">
        <v>50635310.859999999</v>
      </c>
      <c r="I482" s="35" t="s">
        <v>732</v>
      </c>
      <c r="J482" s="37">
        <f t="shared" si="25"/>
        <v>-3.7930011749267578E-3</v>
      </c>
      <c r="K482" s="37">
        <f t="shared" si="26"/>
        <v>1.5169497579336166E-2</v>
      </c>
      <c r="L482" s="39"/>
      <c r="M482" s="40"/>
      <c r="N482" s="40"/>
      <c r="O482" s="41"/>
    </row>
    <row r="483" spans="1:15" s="7" customFormat="1" ht="18.75">
      <c r="A483" s="56"/>
      <c r="B483" s="46"/>
      <c r="C483" s="31" t="s">
        <v>195</v>
      </c>
      <c r="D483" s="45" t="s">
        <v>392</v>
      </c>
      <c r="E483" s="44" t="s">
        <v>197</v>
      </c>
      <c r="F483" s="34">
        <v>34981284.249995999</v>
      </c>
      <c r="G483" s="35" t="s">
        <v>334</v>
      </c>
      <c r="H483" s="47">
        <v>34981284.25</v>
      </c>
      <c r="I483" s="35" t="s">
        <v>732</v>
      </c>
      <c r="J483" s="37">
        <f t="shared" si="25"/>
        <v>-4.0009617805480957E-6</v>
      </c>
      <c r="K483" s="37">
        <f t="shared" si="26"/>
        <v>1.1376496404409409E-2</v>
      </c>
      <c r="L483" s="39"/>
      <c r="M483" s="40"/>
      <c r="N483" s="40"/>
      <c r="O483" s="41"/>
    </row>
    <row r="484" spans="1:15" s="7" customFormat="1" ht="18.75">
      <c r="A484" s="56"/>
      <c r="B484" s="46"/>
      <c r="C484" s="31" t="s">
        <v>199</v>
      </c>
      <c r="D484" s="45" t="s">
        <v>393</v>
      </c>
      <c r="E484" s="44" t="s">
        <v>733</v>
      </c>
      <c r="F484" s="34">
        <v>35768913.679799996</v>
      </c>
      <c r="G484" s="35" t="s">
        <v>734</v>
      </c>
      <c r="H484" s="47">
        <v>35768913.68</v>
      </c>
      <c r="I484" s="35" t="s">
        <v>719</v>
      </c>
      <c r="J484" s="37">
        <f t="shared" si="25"/>
        <v>-2.0000338554382324E-4</v>
      </c>
      <c r="K484" s="37">
        <f t="shared" si="26"/>
        <v>1.137249544262886E-2</v>
      </c>
      <c r="L484" s="39"/>
      <c r="M484" s="40"/>
      <c r="N484" s="40"/>
      <c r="O484" s="41"/>
    </row>
    <row r="485" spans="1:15" s="7" customFormat="1" ht="18.75">
      <c r="A485" s="56"/>
      <c r="B485" s="46"/>
      <c r="C485" s="31" t="s">
        <v>201</v>
      </c>
      <c r="D485" s="45" t="s">
        <v>528</v>
      </c>
      <c r="E485" s="44" t="s">
        <v>735</v>
      </c>
      <c r="F485" s="34">
        <v>40565526.609509997</v>
      </c>
      <c r="G485" s="35" t="s">
        <v>290</v>
      </c>
      <c r="H485" s="47">
        <v>40565526.609999999</v>
      </c>
      <c r="I485" s="35" t="s">
        <v>601</v>
      </c>
      <c r="J485" s="37">
        <f t="shared" si="25"/>
        <v>-4.900023341178894E-4</v>
      </c>
      <c r="K485" s="37">
        <f t="shared" si="26"/>
        <v>1.1172492057085037E-2</v>
      </c>
      <c r="L485" s="39"/>
      <c r="M485" s="40"/>
      <c r="N485" s="40"/>
      <c r="O485" s="41"/>
    </row>
    <row r="486" spans="1:15" s="7" customFormat="1" ht="18.75">
      <c r="A486" s="56"/>
      <c r="B486" s="46"/>
      <c r="C486" s="31" t="s">
        <v>203</v>
      </c>
      <c r="D486" s="45" t="s">
        <v>35</v>
      </c>
      <c r="E486" s="44">
        <v>44020</v>
      </c>
      <c r="F486" s="34">
        <v>44417139.906000003</v>
      </c>
      <c r="G486" s="35" t="s">
        <v>450</v>
      </c>
      <c r="H486" s="47">
        <v>41318269.68</v>
      </c>
      <c r="I486" s="35" t="s">
        <v>285</v>
      </c>
      <c r="J486" s="37">
        <f t="shared" si="25"/>
        <v>3098870.2260000035</v>
      </c>
      <c r="K486" s="37">
        <f t="shared" si="26"/>
        <v>1.0682489722967148E-2</v>
      </c>
      <c r="L486" s="39"/>
      <c r="M486" s="40"/>
      <c r="N486" s="40"/>
      <c r="O486" s="41"/>
    </row>
    <row r="487" spans="1:15" s="7" customFormat="1" ht="18.75">
      <c r="A487" s="56"/>
      <c r="B487" s="46"/>
      <c r="C487" s="31" t="s">
        <v>207</v>
      </c>
      <c r="D487" s="45" t="s">
        <v>530</v>
      </c>
      <c r="E487" s="44" t="s">
        <v>292</v>
      </c>
      <c r="F487" s="34">
        <v>44057988.052489996</v>
      </c>
      <c r="G487" s="35" t="s">
        <v>293</v>
      </c>
      <c r="H487" s="47">
        <v>44057988.049999997</v>
      </c>
      <c r="I487" s="35" t="s">
        <v>736</v>
      </c>
      <c r="J487" s="37">
        <f t="shared" si="25"/>
        <v>2.4899989366531372E-3</v>
      </c>
      <c r="K487" s="37">
        <f t="shared" si="26"/>
        <v>3098870.2366824932</v>
      </c>
      <c r="L487" s="39"/>
      <c r="M487" s="40"/>
      <c r="N487" s="40"/>
      <c r="O487" s="41"/>
    </row>
    <row r="488" spans="1:15" s="7" customFormat="1" ht="18.75">
      <c r="A488" s="56"/>
      <c r="B488" s="46"/>
      <c r="C488" s="31" t="s">
        <v>212</v>
      </c>
      <c r="D488" s="45" t="s">
        <v>532</v>
      </c>
      <c r="E488" s="44">
        <v>44084</v>
      </c>
      <c r="F488" s="34">
        <v>47278558.893079497</v>
      </c>
      <c r="G488" s="35" t="s">
        <v>213</v>
      </c>
      <c r="H488" s="47">
        <v>47278558.890000001</v>
      </c>
      <c r="I488" s="35" t="s">
        <v>291</v>
      </c>
      <c r="J488" s="37">
        <f t="shared" si="25"/>
        <v>3.0794963240623474E-3</v>
      </c>
      <c r="K488" s="37">
        <f t="shared" si="26"/>
        <v>3098870.2391724922</v>
      </c>
      <c r="L488" s="39"/>
      <c r="M488" s="40"/>
      <c r="N488" s="40"/>
      <c r="O488" s="41"/>
    </row>
    <row r="489" spans="1:15" s="7" customFormat="1" ht="18.75">
      <c r="A489" s="56"/>
      <c r="B489" s="46">
        <v>30</v>
      </c>
      <c r="C489" s="31" t="s">
        <v>214</v>
      </c>
      <c r="D489" s="45" t="s">
        <v>534</v>
      </c>
      <c r="E489" s="44">
        <v>43962</v>
      </c>
      <c r="F489" s="34">
        <v>48076345.048290253</v>
      </c>
      <c r="G489" s="35">
        <v>43963</v>
      </c>
      <c r="H489" s="47"/>
      <c r="I489" s="35"/>
      <c r="J489" s="37">
        <f>F489-H489</f>
        <v>48076345.048290253</v>
      </c>
      <c r="K489" s="37">
        <f t="shared" si="26"/>
        <v>3098870.2422519885</v>
      </c>
      <c r="L489" s="39"/>
      <c r="M489" s="40"/>
      <c r="N489" s="40"/>
      <c r="O489" s="41"/>
    </row>
    <row r="490" spans="1:15" s="7" customFormat="1" ht="18.75">
      <c r="A490" s="56"/>
      <c r="B490" s="46">
        <v>30</v>
      </c>
      <c r="C490" s="31" t="s">
        <v>218</v>
      </c>
      <c r="D490" s="45" t="s">
        <v>535</v>
      </c>
      <c r="E490" s="44">
        <v>44024</v>
      </c>
      <c r="F490" s="34">
        <v>46955169.110612996</v>
      </c>
      <c r="G490" s="35">
        <v>44531</v>
      </c>
      <c r="H490" s="47"/>
      <c r="I490" s="35"/>
      <c r="J490" s="37">
        <f>F490-H490</f>
        <v>46955169.110612996</v>
      </c>
      <c r="K490" s="37">
        <f t="shared" si="26"/>
        <v>51175215.290542245</v>
      </c>
      <c r="L490" s="39"/>
      <c r="M490" s="40"/>
      <c r="N490" s="40"/>
      <c r="O490" s="41"/>
    </row>
    <row r="491" spans="1:15" s="7" customFormat="1" ht="18.75">
      <c r="A491" s="56"/>
      <c r="B491" s="46">
        <v>30</v>
      </c>
      <c r="C491" s="31" t="s">
        <v>219</v>
      </c>
      <c r="D491" s="45" t="s">
        <v>538</v>
      </c>
      <c r="E491" s="44">
        <v>44409</v>
      </c>
      <c r="F491" s="34">
        <v>48969993.699518502</v>
      </c>
      <c r="G491" s="35">
        <v>44379</v>
      </c>
      <c r="H491" s="47"/>
      <c r="I491" s="35"/>
      <c r="J491" s="37">
        <f>F491-H491</f>
        <v>48969993.699518502</v>
      </c>
      <c r="K491" s="37">
        <f>J490+K490</f>
        <v>98130384.401155233</v>
      </c>
      <c r="L491" s="39"/>
      <c r="M491" s="40"/>
      <c r="N491" s="40"/>
      <c r="O491" s="41"/>
    </row>
    <row r="492" spans="1:15" s="7" customFormat="1" ht="18.75">
      <c r="A492" s="56"/>
      <c r="B492" s="46"/>
      <c r="C492" s="31" t="s">
        <v>221</v>
      </c>
      <c r="D492" s="45" t="s">
        <v>43</v>
      </c>
      <c r="E492" s="44">
        <v>44410</v>
      </c>
      <c r="F492" s="34">
        <v>47911744.384638742</v>
      </c>
      <c r="G492" s="35">
        <v>44258</v>
      </c>
      <c r="H492" s="47"/>
      <c r="I492" s="35"/>
      <c r="J492" s="37">
        <f>F492-H492</f>
        <v>47911744.384638742</v>
      </c>
      <c r="K492" s="37">
        <f>J491+K491</f>
        <v>147100378.10067374</v>
      </c>
      <c r="L492" s="39"/>
      <c r="M492" s="40"/>
      <c r="N492" s="40"/>
      <c r="O492" s="41"/>
    </row>
    <row r="493" spans="1:15" s="7" customFormat="1" ht="18.75">
      <c r="A493" s="56"/>
      <c r="B493" s="46"/>
      <c r="C493" s="31" t="s">
        <v>222</v>
      </c>
      <c r="D493" s="45" t="s">
        <v>540</v>
      </c>
      <c r="E493" s="44">
        <v>44319</v>
      </c>
      <c r="F493" s="34">
        <v>48237864.923729241</v>
      </c>
      <c r="G493" s="35" t="s">
        <v>224</v>
      </c>
      <c r="H493" s="47"/>
      <c r="I493" s="35"/>
      <c r="J493" s="37">
        <f>F493-H493</f>
        <v>48237864.923729241</v>
      </c>
      <c r="K493" s="37">
        <f>J492+K492</f>
        <v>195012122.48531246</v>
      </c>
      <c r="L493" s="39"/>
      <c r="M493" s="40"/>
      <c r="N493" s="40"/>
      <c r="O493" s="41"/>
    </row>
    <row r="494" spans="1:15" s="7" customFormat="1" ht="18.75">
      <c r="A494" s="56"/>
      <c r="B494" s="46" t="s">
        <v>737</v>
      </c>
      <c r="C494" s="31"/>
      <c r="D494" s="45"/>
      <c r="E494" s="44"/>
      <c r="F494" s="34"/>
      <c r="G494" s="35"/>
      <c r="H494" s="36"/>
      <c r="I494" s="139"/>
      <c r="J494" s="37"/>
      <c r="K494" s="38">
        <f>J493+K493</f>
        <v>243249987.4090417</v>
      </c>
      <c r="L494" s="39"/>
      <c r="M494" s="40"/>
      <c r="N494" s="40"/>
      <c r="O494" s="41"/>
    </row>
    <row r="495" spans="1:15" s="7" customFormat="1" ht="18.75">
      <c r="A495" s="56"/>
      <c r="B495" s="46"/>
      <c r="C495" s="140"/>
      <c r="D495" s="45"/>
      <c r="E495" s="44"/>
      <c r="F495" s="34"/>
      <c r="G495" s="35"/>
      <c r="H495" s="36"/>
      <c r="I495" s="139"/>
      <c r="J495" s="37"/>
      <c r="K495" s="38"/>
      <c r="L495" s="39"/>
      <c r="M495" s="40"/>
      <c r="N495" s="40"/>
      <c r="O495" s="41"/>
    </row>
    <row r="496" spans="1:15" s="7" customFormat="1" ht="18.75">
      <c r="A496" s="81">
        <v>14</v>
      </c>
      <c r="B496" s="141" t="s">
        <v>738</v>
      </c>
      <c r="C496" s="32" t="s">
        <v>739</v>
      </c>
      <c r="D496" s="142"/>
      <c r="E496" s="44"/>
      <c r="F496" s="34">
        <v>10320732207.879999</v>
      </c>
      <c r="G496" s="143"/>
      <c r="H496" s="47">
        <f>2487990509.4+2459391344.52+2248267941.75+1322366256.04</f>
        <v>8518016051.71</v>
      </c>
      <c r="I496" s="58"/>
      <c r="J496" s="37">
        <f t="shared" ref="J496:J536" si="27">F496-H496</f>
        <v>1802716156.1699991</v>
      </c>
      <c r="K496" s="110">
        <v>0</v>
      </c>
      <c r="L496" s="60"/>
      <c r="M496" s="41"/>
      <c r="N496" s="41"/>
      <c r="O496" s="41"/>
    </row>
    <row r="497" spans="1:15" s="7" customFormat="1" ht="18.75">
      <c r="A497" s="81"/>
      <c r="B497" s="109"/>
      <c r="C497" s="29" t="s">
        <v>494</v>
      </c>
      <c r="D497" s="32" t="s">
        <v>740</v>
      </c>
      <c r="E497" s="44"/>
      <c r="F497" s="95">
        <v>1999889468.6500001</v>
      </c>
      <c r="G497" s="96">
        <v>42962</v>
      </c>
      <c r="H497" s="47">
        <v>1951841146.8900001</v>
      </c>
      <c r="I497" s="96">
        <v>42977</v>
      </c>
      <c r="J497" s="37">
        <f t="shared" si="27"/>
        <v>48048321.75999999</v>
      </c>
      <c r="K497" s="110">
        <f>J496+K496</f>
        <v>1802716156.1699991</v>
      </c>
      <c r="L497" s="60"/>
      <c r="M497" s="41"/>
      <c r="N497" s="41"/>
      <c r="O497" s="41"/>
    </row>
    <row r="498" spans="1:15" s="7" customFormat="1" ht="18.75">
      <c r="A498" s="81"/>
      <c r="B498" s="109"/>
      <c r="C498" s="29" t="s">
        <v>497</v>
      </c>
      <c r="D498" s="32" t="s">
        <v>741</v>
      </c>
      <c r="E498" s="44"/>
      <c r="F498" s="95">
        <v>2310330463.0599999</v>
      </c>
      <c r="G498" s="96">
        <v>42998</v>
      </c>
      <c r="H498" s="47">
        <v>2254827694.0999999</v>
      </c>
      <c r="I498" s="96">
        <v>43000</v>
      </c>
      <c r="J498" s="37">
        <f t="shared" si="27"/>
        <v>55502768.960000038</v>
      </c>
      <c r="K498" s="110">
        <f t="shared" ref="K498:K542" si="28">K497+J497</f>
        <v>1850764477.9299991</v>
      </c>
      <c r="L498" s="60"/>
      <c r="M498" s="41"/>
      <c r="N498" s="41"/>
      <c r="O498" s="41"/>
    </row>
    <row r="499" spans="1:15" s="7" customFormat="1" ht="18.75">
      <c r="A499" s="81"/>
      <c r="B499" s="109"/>
      <c r="C499" s="29" t="s">
        <v>498</v>
      </c>
      <c r="D499" s="32" t="s">
        <v>742</v>
      </c>
      <c r="E499" s="44"/>
      <c r="F499" s="95">
        <v>2144746510.49</v>
      </c>
      <c r="G499" s="96" t="s">
        <v>493</v>
      </c>
      <c r="H499" s="47">
        <v>2093217927.53</v>
      </c>
      <c r="I499" s="96" t="s">
        <v>743</v>
      </c>
      <c r="J499" s="37">
        <f t="shared" si="27"/>
        <v>51528582.960000038</v>
      </c>
      <c r="K499" s="110">
        <f t="shared" si="28"/>
        <v>1906267246.8899992</v>
      </c>
      <c r="L499" s="60"/>
      <c r="M499" s="41"/>
      <c r="N499" s="41"/>
      <c r="O499" s="41"/>
    </row>
    <row r="500" spans="1:15" s="7" customFormat="1" ht="18.75">
      <c r="A500" s="81"/>
      <c r="B500" s="109"/>
      <c r="C500" s="29" t="s">
        <v>564</v>
      </c>
      <c r="D500" s="32" t="s">
        <v>744</v>
      </c>
      <c r="E500" s="44"/>
      <c r="F500" s="144">
        <v>1950600363.0799999</v>
      </c>
      <c r="G500" s="96"/>
      <c r="H500" s="47">
        <v>1903743083.97</v>
      </c>
      <c r="I500" s="96"/>
      <c r="J500" s="37">
        <f t="shared" si="27"/>
        <v>46857279.109999895</v>
      </c>
      <c r="K500" s="110">
        <f t="shared" si="28"/>
        <v>1957795829.8499992</v>
      </c>
      <c r="L500" s="60"/>
      <c r="M500" s="41"/>
      <c r="N500" s="41"/>
      <c r="O500" s="41"/>
    </row>
    <row r="501" spans="1:15" s="7" customFormat="1" ht="18.75">
      <c r="A501" s="81"/>
      <c r="B501" s="109"/>
      <c r="C501" s="29" t="s">
        <v>500</v>
      </c>
      <c r="D501" s="32" t="s">
        <v>744</v>
      </c>
      <c r="E501" s="44"/>
      <c r="F501" s="144">
        <v>2330206965.04</v>
      </c>
      <c r="G501" s="96">
        <v>42867</v>
      </c>
      <c r="H501" s="47">
        <f>474230784.53+1800000000</f>
        <v>2274230784.5299997</v>
      </c>
      <c r="I501" s="96" t="s">
        <v>745</v>
      </c>
      <c r="J501" s="37">
        <f t="shared" si="27"/>
        <v>55976180.510000229</v>
      </c>
      <c r="K501" s="110">
        <f>K500+J500</f>
        <v>2004653108.9599991</v>
      </c>
      <c r="L501" s="60"/>
      <c r="M501" s="41"/>
      <c r="N501" s="41"/>
      <c r="O501" s="41"/>
    </row>
    <row r="502" spans="1:15" s="7" customFormat="1" ht="18.75">
      <c r="A502" s="81"/>
      <c r="B502" s="109"/>
      <c r="C502" s="29" t="s">
        <v>501</v>
      </c>
      <c r="D502" s="32" t="s">
        <v>746</v>
      </c>
      <c r="E502" s="44"/>
      <c r="F502" s="94">
        <v>2318826625.3299999</v>
      </c>
      <c r="G502" s="96" t="s">
        <v>502</v>
      </c>
      <c r="H502" s="47">
        <v>2263119757.7399998</v>
      </c>
      <c r="I502" s="96" t="s">
        <v>628</v>
      </c>
      <c r="J502" s="37">
        <f t="shared" si="27"/>
        <v>55706867.590000153</v>
      </c>
      <c r="K502" s="110">
        <f t="shared" si="28"/>
        <v>2060629289.4699993</v>
      </c>
      <c r="L502" s="60"/>
      <c r="M502" s="41"/>
      <c r="N502" s="41"/>
      <c r="O502" s="41"/>
    </row>
    <row r="503" spans="1:15" s="7" customFormat="1" ht="18.75">
      <c r="A503" s="81"/>
      <c r="B503" s="109"/>
      <c r="C503" s="29" t="s">
        <v>504</v>
      </c>
      <c r="D503" s="32" t="s">
        <v>747</v>
      </c>
      <c r="E503" s="44"/>
      <c r="F503" s="94">
        <v>2617543065.9000001</v>
      </c>
      <c r="G503" s="75">
        <v>43222</v>
      </c>
      <c r="H503" s="47">
        <v>2554659908.52</v>
      </c>
      <c r="I503" s="96"/>
      <c r="J503" s="37">
        <f t="shared" si="27"/>
        <v>62883157.380000114</v>
      </c>
      <c r="K503" s="110">
        <f t="shared" si="28"/>
        <v>2116336157.0599995</v>
      </c>
      <c r="L503" s="60"/>
      <c r="M503" s="41"/>
      <c r="N503" s="41"/>
      <c r="O503" s="41"/>
    </row>
    <row r="504" spans="1:15" s="7" customFormat="1" ht="18.75">
      <c r="A504" s="81"/>
      <c r="B504" s="109"/>
      <c r="C504" s="29" t="s">
        <v>506</v>
      </c>
      <c r="D504" s="32" t="s">
        <v>748</v>
      </c>
      <c r="E504" s="44"/>
      <c r="F504" s="144">
        <v>1743491779.8499999</v>
      </c>
      <c r="G504" s="75">
        <v>43222</v>
      </c>
      <c r="H504" s="47">
        <v>1686428200.05</v>
      </c>
      <c r="I504" s="96" t="s">
        <v>749</v>
      </c>
      <c r="J504" s="37">
        <f t="shared" si="27"/>
        <v>57063579.799999952</v>
      </c>
      <c r="K504" s="110">
        <f t="shared" si="28"/>
        <v>2179219314.4399996</v>
      </c>
      <c r="L504" s="60"/>
      <c r="M504" s="41"/>
      <c r="N504" s="41"/>
      <c r="O504" s="41"/>
    </row>
    <row r="505" spans="1:15" s="7" customFormat="1" ht="18.75">
      <c r="A505" s="81"/>
      <c r="B505" s="109"/>
      <c r="C505" s="29" t="s">
        <v>508</v>
      </c>
      <c r="D505" s="32" t="s">
        <v>750</v>
      </c>
      <c r="E505" s="44"/>
      <c r="F505" s="144">
        <v>2893594111.25</v>
      </c>
      <c r="G505" s="75" t="s">
        <v>509</v>
      </c>
      <c r="H505" s="47">
        <f>1000000000+1798878425.43</f>
        <v>2798878425.4300003</v>
      </c>
      <c r="I505" s="96"/>
      <c r="J505" s="37">
        <f t="shared" si="27"/>
        <v>94715685.819999695</v>
      </c>
      <c r="K505" s="110">
        <f t="shared" si="28"/>
        <v>2236282894.2399998</v>
      </c>
      <c r="L505" s="60"/>
      <c r="M505" s="41"/>
      <c r="N505" s="41"/>
      <c r="O505" s="41"/>
    </row>
    <row r="506" spans="1:15" s="7" customFormat="1" ht="18.75">
      <c r="A506" s="81"/>
      <c r="B506" s="109"/>
      <c r="C506" s="29" t="s">
        <v>751</v>
      </c>
      <c r="D506" s="32" t="s">
        <v>752</v>
      </c>
      <c r="E506" s="44"/>
      <c r="F506" s="145">
        <v>2494868420.52</v>
      </c>
      <c r="G506" s="75" t="s">
        <v>753</v>
      </c>
      <c r="H506" s="47">
        <v>2413199921.3200002</v>
      </c>
      <c r="I506" s="96"/>
      <c r="J506" s="37">
        <f t="shared" si="27"/>
        <v>81668499.199999809</v>
      </c>
      <c r="K506" s="110">
        <f t="shared" si="28"/>
        <v>2330998580.0599995</v>
      </c>
      <c r="L506" s="60"/>
      <c r="M506" s="41"/>
      <c r="N506" s="41"/>
      <c r="O506" s="41"/>
    </row>
    <row r="507" spans="1:15" s="7" customFormat="1" ht="18.75">
      <c r="A507" s="81"/>
      <c r="B507" s="109"/>
      <c r="C507" s="31" t="s">
        <v>234</v>
      </c>
      <c r="D507" s="32" t="s">
        <v>754</v>
      </c>
      <c r="E507" s="44"/>
      <c r="F507" s="145">
        <v>2985765697.7189999</v>
      </c>
      <c r="G507" s="75" t="s">
        <v>755</v>
      </c>
      <c r="H507" s="47">
        <v>2888043141.5700002</v>
      </c>
      <c r="I507" s="96"/>
      <c r="J507" s="37">
        <f t="shared" si="27"/>
        <v>97722556.148999691</v>
      </c>
      <c r="K507" s="110">
        <f t="shared" si="28"/>
        <v>2412667079.2599993</v>
      </c>
      <c r="L507" s="60"/>
      <c r="M507" s="41"/>
      <c r="N507" s="41"/>
      <c r="O507" s="41"/>
    </row>
    <row r="508" spans="1:15" s="7" customFormat="1" ht="18.75">
      <c r="A508" s="81"/>
      <c r="B508" s="109"/>
      <c r="C508" s="31" t="s">
        <v>514</v>
      </c>
      <c r="D508" s="32" t="s">
        <v>756</v>
      </c>
      <c r="E508" s="44"/>
      <c r="F508" s="145">
        <v>2786641833.1079998</v>
      </c>
      <c r="G508" s="75" t="s">
        <v>757</v>
      </c>
      <c r="H508" s="47">
        <v>2695422262.8000002</v>
      </c>
      <c r="I508" s="96" t="s">
        <v>758</v>
      </c>
      <c r="J508" s="37">
        <f t="shared" si="27"/>
        <v>91219570.307999611</v>
      </c>
      <c r="K508" s="110">
        <f t="shared" si="28"/>
        <v>2510389635.408999</v>
      </c>
      <c r="L508" s="60"/>
      <c r="M508" s="41"/>
      <c r="N508" s="41"/>
      <c r="O508" s="41"/>
    </row>
    <row r="509" spans="1:15" s="7" customFormat="1" ht="18.75">
      <c r="A509" s="81"/>
      <c r="B509" s="109"/>
      <c r="C509" s="102" t="s">
        <v>238</v>
      </c>
      <c r="D509" s="32" t="s">
        <v>759</v>
      </c>
      <c r="E509" s="44"/>
      <c r="F509" s="145">
        <v>2593953503.6940002</v>
      </c>
      <c r="G509" s="75" t="s">
        <v>642</v>
      </c>
      <c r="H509" s="47">
        <v>2509050337.4000001</v>
      </c>
      <c r="I509" s="96">
        <v>43168</v>
      </c>
      <c r="J509" s="37">
        <f t="shared" si="27"/>
        <v>84903166.294000149</v>
      </c>
      <c r="K509" s="110">
        <f t="shared" si="28"/>
        <v>2601609205.7169986</v>
      </c>
      <c r="L509" s="60"/>
      <c r="M509" s="41"/>
      <c r="N509" s="41"/>
      <c r="O509" s="41"/>
    </row>
    <row r="510" spans="1:15" s="7" customFormat="1" ht="18.75">
      <c r="A510" s="81"/>
      <c r="B510" s="109"/>
      <c r="C510" s="111" t="s">
        <v>240</v>
      </c>
      <c r="D510" s="32" t="s">
        <v>760</v>
      </c>
      <c r="E510" s="44"/>
      <c r="F510" s="145">
        <v>2681871500.5320001</v>
      </c>
      <c r="G510" s="75" t="s">
        <v>644</v>
      </c>
      <c r="H510" s="47">
        <v>2594095240.1799998</v>
      </c>
      <c r="I510" s="96">
        <v>43444</v>
      </c>
      <c r="J510" s="37">
        <f t="shared" si="27"/>
        <v>87776260.352000237</v>
      </c>
      <c r="K510" s="110">
        <f t="shared" si="28"/>
        <v>2686512372.0109987</v>
      </c>
      <c r="L510" s="60"/>
      <c r="M510" s="41"/>
      <c r="N510" s="41"/>
      <c r="O510" s="41"/>
    </row>
    <row r="511" spans="1:15" s="7" customFormat="1" ht="18.75">
      <c r="A511" s="81"/>
      <c r="B511" s="109"/>
      <c r="C511" s="102" t="s">
        <v>243</v>
      </c>
      <c r="D511" s="32" t="s">
        <v>761</v>
      </c>
      <c r="E511" s="44"/>
      <c r="F511" s="145">
        <v>2736669142.7459998</v>
      </c>
      <c r="G511" s="75"/>
      <c r="H511" s="47">
        <v>2647094724.7800002</v>
      </c>
      <c r="I511" s="96" t="s">
        <v>762</v>
      </c>
      <c r="J511" s="37">
        <f t="shared" si="27"/>
        <v>89574417.965999603</v>
      </c>
      <c r="K511" s="110">
        <f t="shared" si="28"/>
        <v>2774288632.362999</v>
      </c>
      <c r="L511" s="60"/>
      <c r="M511" s="41"/>
      <c r="N511" s="41"/>
      <c r="O511" s="41"/>
    </row>
    <row r="512" spans="1:15" s="7" customFormat="1" ht="18.75">
      <c r="A512" s="81"/>
      <c r="B512" s="109"/>
      <c r="C512" s="102" t="s">
        <v>246</v>
      </c>
      <c r="D512" s="103" t="s">
        <v>763</v>
      </c>
      <c r="E512" s="44"/>
      <c r="F512" s="145">
        <v>2115495334.1339998</v>
      </c>
      <c r="G512" s="105" t="s">
        <v>647</v>
      </c>
      <c r="H512" s="47">
        <v>2046245481.5899999</v>
      </c>
      <c r="I512" s="75" t="s">
        <v>764</v>
      </c>
      <c r="J512" s="37">
        <f t="shared" si="27"/>
        <v>69249852.54399991</v>
      </c>
      <c r="K512" s="110">
        <f t="shared" si="28"/>
        <v>2863863050.3289986</v>
      </c>
      <c r="L512" s="60"/>
      <c r="M512" s="41"/>
      <c r="N512" s="41"/>
      <c r="O512" s="41"/>
    </row>
    <row r="513" spans="1:15" s="7" customFormat="1" ht="18.75">
      <c r="A513" s="81"/>
      <c r="B513" s="109"/>
      <c r="C513" s="102" t="s">
        <v>522</v>
      </c>
      <c r="D513" s="103" t="s">
        <v>765</v>
      </c>
      <c r="E513" s="44"/>
      <c r="F513" s="145">
        <v>3383213340.3705006</v>
      </c>
      <c r="G513" s="105" t="s">
        <v>649</v>
      </c>
      <c r="H513" s="100">
        <v>3272476766.0900002</v>
      </c>
      <c r="I513" s="97"/>
      <c r="J513" s="37">
        <f t="shared" si="27"/>
        <v>110736574.28050041</v>
      </c>
      <c r="K513" s="110">
        <f t="shared" si="28"/>
        <v>2933112902.8729982</v>
      </c>
      <c r="L513" s="60"/>
      <c r="M513" s="41"/>
      <c r="N513" s="41"/>
      <c r="O513" s="41"/>
    </row>
    <row r="514" spans="1:15" s="7" customFormat="1" ht="18.75">
      <c r="A514" s="81"/>
      <c r="B514" s="109"/>
      <c r="C514" s="102" t="s">
        <v>250</v>
      </c>
      <c r="D514" s="103" t="s">
        <v>271</v>
      </c>
      <c r="E514" s="44"/>
      <c r="F514" s="145">
        <v>2541356106.79</v>
      </c>
      <c r="G514" s="105" t="s">
        <v>651</v>
      </c>
      <c r="H514" s="47">
        <v>2458170201.5</v>
      </c>
      <c r="I514" s="75" t="s">
        <v>766</v>
      </c>
      <c r="J514" s="37">
        <f t="shared" si="27"/>
        <v>83185905.289999962</v>
      </c>
      <c r="K514" s="110">
        <f t="shared" si="28"/>
        <v>3043849477.1534986</v>
      </c>
      <c r="L514" s="60"/>
      <c r="M514" s="41"/>
      <c r="N514" s="41"/>
      <c r="O514" s="41"/>
    </row>
    <row r="515" spans="1:15" s="7" customFormat="1" ht="18.75">
      <c r="A515" s="81"/>
      <c r="B515" s="109"/>
      <c r="C515" s="102" t="s">
        <v>139</v>
      </c>
      <c r="D515" s="103" t="s">
        <v>273</v>
      </c>
      <c r="E515" s="44"/>
      <c r="F515" s="145">
        <v>2821506024.98</v>
      </c>
      <c r="G515" s="105" t="s">
        <v>364</v>
      </c>
      <c r="H515" s="47">
        <v>2729145221.0799999</v>
      </c>
      <c r="I515" s="75" t="s">
        <v>766</v>
      </c>
      <c r="J515" s="37">
        <f t="shared" si="27"/>
        <v>92360803.900000095</v>
      </c>
      <c r="K515" s="110">
        <f t="shared" si="28"/>
        <v>3127035382.4434986</v>
      </c>
      <c r="L515" s="60"/>
      <c r="M515" s="41"/>
      <c r="N515" s="41"/>
      <c r="O515" s="41"/>
    </row>
    <row r="516" spans="1:15" s="7" customFormat="1" ht="18.75">
      <c r="A516" s="81"/>
      <c r="B516" s="109"/>
      <c r="C516" s="62" t="s">
        <v>142</v>
      </c>
      <c r="D516" s="103" t="s">
        <v>275</v>
      </c>
      <c r="E516" s="44"/>
      <c r="F516" s="145">
        <v>2714747226.0405002</v>
      </c>
      <c r="G516" s="105" t="s">
        <v>652</v>
      </c>
      <c r="H516" s="47">
        <v>2568195527.4400001</v>
      </c>
      <c r="I516" s="75" t="s">
        <v>767</v>
      </c>
      <c r="J516" s="37">
        <f t="shared" si="27"/>
        <v>146551698.60050011</v>
      </c>
      <c r="K516" s="110">
        <f t="shared" si="28"/>
        <v>3219396186.3434987</v>
      </c>
      <c r="L516" s="60"/>
      <c r="M516" s="41"/>
      <c r="N516" s="41"/>
      <c r="O516" s="41"/>
    </row>
    <row r="517" spans="1:15" s="7" customFormat="1" ht="18.75">
      <c r="A517" s="81"/>
      <c r="B517" s="109"/>
      <c r="C517" s="62" t="s">
        <v>145</v>
      </c>
      <c r="D517" s="103" t="s">
        <v>277</v>
      </c>
      <c r="E517" s="44"/>
      <c r="F517" s="145">
        <v>2631713567.5215001</v>
      </c>
      <c r="G517" s="105" t="s">
        <v>768</v>
      </c>
      <c r="H517" s="47">
        <v>2489641765.73</v>
      </c>
      <c r="I517" s="75" t="s">
        <v>261</v>
      </c>
      <c r="J517" s="37">
        <f t="shared" si="27"/>
        <v>142071801.79150009</v>
      </c>
      <c r="K517" s="110">
        <f t="shared" si="28"/>
        <v>3365947884.9439988</v>
      </c>
      <c r="L517" s="60"/>
      <c r="M517" s="41"/>
      <c r="N517" s="41"/>
      <c r="O517" s="41"/>
    </row>
    <row r="518" spans="1:15" s="7" customFormat="1" ht="18.75">
      <c r="A518" s="81"/>
      <c r="B518" s="109"/>
      <c r="C518" s="62" t="s">
        <v>148</v>
      </c>
      <c r="D518" s="103" t="s">
        <v>279</v>
      </c>
      <c r="E518" s="44"/>
      <c r="F518" s="145">
        <v>2645595690.1290002</v>
      </c>
      <c r="G518" s="105" t="s">
        <v>769</v>
      </c>
      <c r="H518" s="47">
        <v>2502771900.8899999</v>
      </c>
      <c r="I518" s="75" t="s">
        <v>770</v>
      </c>
      <c r="J518" s="37">
        <f t="shared" si="27"/>
        <v>142823789.23900032</v>
      </c>
      <c r="K518" s="110">
        <f t="shared" si="28"/>
        <v>3508019686.7354989</v>
      </c>
      <c r="L518" s="60"/>
      <c r="M518" s="41"/>
      <c r="N518" s="41"/>
      <c r="O518" s="41"/>
    </row>
    <row r="519" spans="1:15" s="7" customFormat="1" ht="18.75">
      <c r="A519" s="81"/>
      <c r="B519" s="109"/>
      <c r="C519" s="62" t="s">
        <v>151</v>
      </c>
      <c r="D519" s="103" t="s">
        <v>281</v>
      </c>
      <c r="E519" s="44"/>
      <c r="F519" s="145">
        <v>2667809697.1994996</v>
      </c>
      <c r="G519" s="105" t="s">
        <v>152</v>
      </c>
      <c r="H519" s="47">
        <v>2523786673.8299999</v>
      </c>
      <c r="I519" s="75" t="s">
        <v>771</v>
      </c>
      <c r="J519" s="37">
        <f t="shared" si="27"/>
        <v>144023023.36949968</v>
      </c>
      <c r="K519" s="110">
        <f t="shared" si="28"/>
        <v>3650843475.9744992</v>
      </c>
      <c r="L519" s="60"/>
      <c r="M519" s="41"/>
      <c r="N519" s="41"/>
      <c r="O519" s="41"/>
    </row>
    <row r="520" spans="1:15" s="7" customFormat="1" ht="18.75">
      <c r="A520" s="81"/>
      <c r="B520" s="109"/>
      <c r="C520" s="62" t="s">
        <v>154</v>
      </c>
      <c r="D520" s="103" t="s">
        <v>283</v>
      </c>
      <c r="E520" s="44"/>
      <c r="F520" s="145">
        <v>3191880992.5904999</v>
      </c>
      <c r="G520" s="105" t="s">
        <v>156</v>
      </c>
      <c r="H520" s="47">
        <v>3019565721.6500001</v>
      </c>
      <c r="I520" s="75" t="s">
        <v>772</v>
      </c>
      <c r="J520" s="37">
        <f t="shared" si="27"/>
        <v>172315270.94049978</v>
      </c>
      <c r="K520" s="110">
        <f t="shared" si="28"/>
        <v>3794866499.3439989</v>
      </c>
      <c r="L520" s="60"/>
      <c r="M520" s="41"/>
      <c r="N520" s="41"/>
      <c r="O520" s="41"/>
    </row>
    <row r="521" spans="1:15" s="7" customFormat="1" ht="18.75">
      <c r="A521" s="81"/>
      <c r="B521" s="109"/>
      <c r="C521" s="62" t="s">
        <v>158</v>
      </c>
      <c r="D521" s="103" t="s">
        <v>84</v>
      </c>
      <c r="E521" s="44"/>
      <c r="F521" s="145">
        <v>2934103042.3740001</v>
      </c>
      <c r="G521" s="105" t="s">
        <v>160</v>
      </c>
      <c r="H521" s="47">
        <v>2775704041.3200002</v>
      </c>
      <c r="I521" s="75" t="s">
        <v>773</v>
      </c>
      <c r="J521" s="37">
        <f t="shared" si="27"/>
        <v>158399001.0539999</v>
      </c>
      <c r="K521" s="110">
        <f t="shared" si="28"/>
        <v>3967181770.2844987</v>
      </c>
      <c r="L521" s="60"/>
      <c r="M521" s="41"/>
      <c r="N521" s="41"/>
      <c r="O521" s="41"/>
    </row>
    <row r="522" spans="1:15" s="7" customFormat="1" ht="18.75">
      <c r="A522" s="81"/>
      <c r="B522" s="109"/>
      <c r="C522" s="62" t="s">
        <v>162</v>
      </c>
      <c r="D522" s="103" t="s">
        <v>286</v>
      </c>
      <c r="E522" s="44"/>
      <c r="F522" s="145">
        <v>2608091369.6669998</v>
      </c>
      <c r="G522" s="105" t="s">
        <v>164</v>
      </c>
      <c r="H522" s="47">
        <v>2467294800.96</v>
      </c>
      <c r="I522" s="75" t="s">
        <v>774</v>
      </c>
      <c r="J522" s="37">
        <f t="shared" si="27"/>
        <v>140796568.70699978</v>
      </c>
      <c r="K522" s="110">
        <f t="shared" si="28"/>
        <v>4125580771.3384986</v>
      </c>
      <c r="L522" s="60"/>
      <c r="M522" s="41"/>
      <c r="N522" s="41"/>
      <c r="O522" s="41"/>
    </row>
    <row r="523" spans="1:15" s="7" customFormat="1" ht="18.75">
      <c r="A523" s="81"/>
      <c r="B523" s="109"/>
      <c r="C523" s="62" t="s">
        <v>166</v>
      </c>
      <c r="D523" s="103" t="s">
        <v>775</v>
      </c>
      <c r="E523" s="44"/>
      <c r="F523" s="145">
        <v>3096177570.8114996</v>
      </c>
      <c r="G523" s="105" t="s">
        <v>168</v>
      </c>
      <c r="H523" s="47">
        <v>2929031901.3200002</v>
      </c>
      <c r="I523" s="75" t="s">
        <v>272</v>
      </c>
      <c r="J523" s="37">
        <f t="shared" si="27"/>
        <v>167145669.49149942</v>
      </c>
      <c r="K523" s="110">
        <f t="shared" si="28"/>
        <v>4266377340.0454984</v>
      </c>
      <c r="L523" s="60"/>
      <c r="M523" s="41"/>
      <c r="N523" s="41"/>
      <c r="O523" s="41"/>
    </row>
    <row r="524" spans="1:15" s="7" customFormat="1" ht="18.75">
      <c r="A524" s="81"/>
      <c r="B524" s="109"/>
      <c r="C524" s="62" t="s">
        <v>170</v>
      </c>
      <c r="D524" s="103" t="s">
        <v>289</v>
      </c>
      <c r="E524" s="44"/>
      <c r="F524" s="145">
        <v>2062689601.0875001</v>
      </c>
      <c r="G524" s="105" t="s">
        <v>172</v>
      </c>
      <c r="H524" s="47">
        <v>1951332283.52</v>
      </c>
      <c r="I524" s="75" t="s">
        <v>776</v>
      </c>
      <c r="J524" s="37">
        <f t="shared" si="27"/>
        <v>111357317.56750011</v>
      </c>
      <c r="K524" s="110">
        <f t="shared" si="28"/>
        <v>4433523009.5369978</v>
      </c>
      <c r="L524" s="60"/>
      <c r="M524" s="41"/>
      <c r="N524" s="41"/>
      <c r="O524" s="41"/>
    </row>
    <row r="525" spans="1:15" s="7" customFormat="1" ht="18.75">
      <c r="A525" s="81"/>
      <c r="B525" s="109"/>
      <c r="C525" s="62" t="s">
        <v>174</v>
      </c>
      <c r="D525" s="103" t="s">
        <v>777</v>
      </c>
      <c r="E525" s="44"/>
      <c r="F525" s="145">
        <v>3051188700.0209999</v>
      </c>
      <c r="G525" s="105" t="s">
        <v>176</v>
      </c>
      <c r="H525" s="47">
        <v>2886465811.5999999</v>
      </c>
      <c r="I525" s="75" t="s">
        <v>325</v>
      </c>
      <c r="J525" s="37">
        <f t="shared" si="27"/>
        <v>164722888.421</v>
      </c>
      <c r="K525" s="110">
        <f t="shared" si="28"/>
        <v>4544880327.1044979</v>
      </c>
      <c r="L525" s="60"/>
      <c r="M525" s="41"/>
      <c r="N525" s="41"/>
      <c r="O525" s="41"/>
    </row>
    <row r="526" spans="1:15" s="7" customFormat="1" ht="18.75">
      <c r="A526" s="81"/>
      <c r="B526" s="109"/>
      <c r="C526" s="62" t="s">
        <v>778</v>
      </c>
      <c r="D526" s="103" t="s">
        <v>74</v>
      </c>
      <c r="E526" s="44"/>
      <c r="F526" s="145">
        <v>2866523222.6189995</v>
      </c>
      <c r="G526" s="105" t="s">
        <v>179</v>
      </c>
      <c r="H526" s="47">
        <v>2711772551.4899998</v>
      </c>
      <c r="I526" s="75" t="s">
        <v>715</v>
      </c>
      <c r="J526" s="37">
        <f t="shared" si="27"/>
        <v>154750671.12899971</v>
      </c>
      <c r="K526" s="110">
        <f t="shared" si="28"/>
        <v>4709603215.5254974</v>
      </c>
      <c r="L526" s="60"/>
      <c r="M526" s="41"/>
      <c r="N526" s="41"/>
      <c r="O526" s="41"/>
    </row>
    <row r="527" spans="1:15" s="7" customFormat="1" ht="18.75">
      <c r="A527" s="81"/>
      <c r="B527" s="109"/>
      <c r="C527" s="62" t="s">
        <v>181</v>
      </c>
      <c r="D527" s="103" t="s">
        <v>779</v>
      </c>
      <c r="E527" s="44"/>
      <c r="F527" s="145">
        <v>3362020944.2819996</v>
      </c>
      <c r="G527" s="105" t="s">
        <v>183</v>
      </c>
      <c r="H527" s="47">
        <v>3180517483.3899999</v>
      </c>
      <c r="I527" s="75" t="s">
        <v>780</v>
      </c>
      <c r="J527" s="37">
        <f t="shared" si="27"/>
        <v>181503460.89199972</v>
      </c>
      <c r="K527" s="110">
        <f t="shared" si="28"/>
        <v>4864353886.6544971</v>
      </c>
      <c r="L527" s="60"/>
      <c r="M527" s="41"/>
      <c r="N527" s="41"/>
      <c r="O527" s="41"/>
    </row>
    <row r="528" spans="1:15" s="7" customFormat="1" ht="18.75">
      <c r="A528" s="56"/>
      <c r="B528" s="109"/>
      <c r="C528" s="62" t="s">
        <v>185</v>
      </c>
      <c r="D528" s="103" t="s">
        <v>298</v>
      </c>
      <c r="E528" s="44"/>
      <c r="F528" s="145">
        <v>2999821332.2174997</v>
      </c>
      <c r="G528" s="105" t="s">
        <v>187</v>
      </c>
      <c r="H528" s="47">
        <v>2767168565.7800002</v>
      </c>
      <c r="I528" s="75" t="s">
        <v>781</v>
      </c>
      <c r="J528" s="37">
        <f t="shared" si="27"/>
        <v>232652766.43749952</v>
      </c>
      <c r="K528" s="110">
        <f t="shared" si="28"/>
        <v>5045857347.5464973</v>
      </c>
      <c r="L528" s="60"/>
      <c r="M528" s="41"/>
      <c r="N528" s="41"/>
      <c r="O528" s="41"/>
    </row>
    <row r="529" spans="1:15" s="7" customFormat="1" ht="18.75">
      <c r="A529" s="56"/>
      <c r="B529" s="109"/>
      <c r="C529" s="62" t="s">
        <v>189</v>
      </c>
      <c r="D529" s="103" t="s">
        <v>299</v>
      </c>
      <c r="E529" s="44"/>
      <c r="F529" s="145">
        <v>2989320323.427</v>
      </c>
      <c r="G529" s="105" t="s">
        <v>377</v>
      </c>
      <c r="H529" s="47">
        <v>2696572788.8200002</v>
      </c>
      <c r="I529" s="75" t="s">
        <v>782</v>
      </c>
      <c r="J529" s="37">
        <f t="shared" si="27"/>
        <v>292747534.60699987</v>
      </c>
      <c r="K529" s="110">
        <f t="shared" si="28"/>
        <v>5278510113.9839973</v>
      </c>
      <c r="L529" s="60"/>
      <c r="M529" s="41"/>
      <c r="N529" s="41"/>
      <c r="O529" s="41"/>
    </row>
    <row r="530" spans="1:15" s="7" customFormat="1" ht="18.75">
      <c r="A530" s="56"/>
      <c r="B530" s="109"/>
      <c r="C530" s="62" t="s">
        <v>191</v>
      </c>
      <c r="D530" s="103" t="s">
        <v>29</v>
      </c>
      <c r="E530" s="44">
        <v>43986</v>
      </c>
      <c r="F530" s="145">
        <v>3304913427.8730001</v>
      </c>
      <c r="G530" s="105" t="s">
        <v>193</v>
      </c>
      <c r="H530" s="47">
        <v>2742946396.8299999</v>
      </c>
      <c r="I530" s="75" t="s">
        <v>783</v>
      </c>
      <c r="J530" s="37">
        <f t="shared" si="27"/>
        <v>561967031.04300022</v>
      </c>
      <c r="K530" s="110">
        <f t="shared" si="28"/>
        <v>5571257648.5909977</v>
      </c>
      <c r="L530" s="60"/>
      <c r="M530" s="41"/>
      <c r="N530" s="41"/>
      <c r="O530" s="41"/>
    </row>
    <row r="531" spans="1:15" s="7" customFormat="1" ht="18.75">
      <c r="A531" s="56"/>
      <c r="B531" s="109"/>
      <c r="C531" s="62" t="s">
        <v>195</v>
      </c>
      <c r="D531" s="103" t="s">
        <v>301</v>
      </c>
      <c r="E531" s="44" t="s">
        <v>197</v>
      </c>
      <c r="F531" s="145">
        <v>3249220708.5560002</v>
      </c>
      <c r="G531" s="105" t="s">
        <v>198</v>
      </c>
      <c r="H531" s="47">
        <v>2997214090.0999999</v>
      </c>
      <c r="I531" s="75" t="s">
        <v>784</v>
      </c>
      <c r="J531" s="37">
        <f t="shared" si="27"/>
        <v>252006618.45600033</v>
      </c>
      <c r="K531" s="110">
        <f t="shared" si="28"/>
        <v>6133224679.6339979</v>
      </c>
      <c r="L531" s="60"/>
      <c r="M531" s="41"/>
      <c r="N531" s="41"/>
      <c r="O531" s="41"/>
    </row>
    <row r="532" spans="1:15" s="7" customFormat="1" ht="18.75">
      <c r="A532" s="56"/>
      <c r="B532" s="109"/>
      <c r="C532" s="62" t="s">
        <v>199</v>
      </c>
      <c r="D532" s="103" t="s">
        <v>313</v>
      </c>
      <c r="E532" s="44">
        <v>44049</v>
      </c>
      <c r="F532" s="145">
        <v>2780682703.48</v>
      </c>
      <c r="G532" s="105">
        <v>43897</v>
      </c>
      <c r="H532" s="47">
        <v>2565015468.8000002</v>
      </c>
      <c r="I532" s="75" t="s">
        <v>785</v>
      </c>
      <c r="J532" s="37">
        <f t="shared" si="27"/>
        <v>215667234.67999983</v>
      </c>
      <c r="K532" s="110">
        <f t="shared" si="28"/>
        <v>6385231298.0899982</v>
      </c>
      <c r="L532" s="60"/>
      <c r="M532" s="41"/>
      <c r="N532" s="41"/>
      <c r="O532" s="41"/>
    </row>
    <row r="533" spans="1:15" s="7" customFormat="1" ht="18.75">
      <c r="A533" s="56"/>
      <c r="B533" s="109"/>
      <c r="C533" s="62" t="s">
        <v>201</v>
      </c>
      <c r="D533" s="103" t="s">
        <v>314</v>
      </c>
      <c r="E533" s="44" t="s">
        <v>449</v>
      </c>
      <c r="F533" s="145">
        <v>2779941823.4000001</v>
      </c>
      <c r="G533" s="105">
        <v>43929</v>
      </c>
      <c r="H533" s="47">
        <v>2564332050.71</v>
      </c>
      <c r="I533" s="75">
        <v>43839</v>
      </c>
      <c r="J533" s="37">
        <f t="shared" si="27"/>
        <v>215609772.69000006</v>
      </c>
      <c r="K533" s="110">
        <f t="shared" si="28"/>
        <v>6600898532.7699986</v>
      </c>
      <c r="L533" s="60"/>
      <c r="M533" s="41"/>
      <c r="N533" s="41"/>
      <c r="O533" s="41"/>
    </row>
    <row r="534" spans="1:15" s="7" customFormat="1" ht="18.75">
      <c r="A534" s="56"/>
      <c r="B534" s="109"/>
      <c r="C534" s="62" t="s">
        <v>203</v>
      </c>
      <c r="D534" s="103" t="s">
        <v>315</v>
      </c>
      <c r="E534" s="44">
        <v>44020</v>
      </c>
      <c r="F534" s="145">
        <v>3153445235.7450004</v>
      </c>
      <c r="G534" s="105" t="s">
        <v>450</v>
      </c>
      <c r="H534" s="47">
        <v>2908866876.3099999</v>
      </c>
      <c r="I534" s="75" t="s">
        <v>293</v>
      </c>
      <c r="J534" s="37">
        <f t="shared" si="27"/>
        <v>244578359.43500042</v>
      </c>
      <c r="K534" s="110">
        <f t="shared" si="28"/>
        <v>6816508305.4599991</v>
      </c>
      <c r="L534" s="60"/>
      <c r="M534" s="41"/>
      <c r="N534" s="41"/>
      <c r="O534" s="41"/>
    </row>
    <row r="535" spans="1:15" s="7" customFormat="1" ht="18.75">
      <c r="A535" s="56"/>
      <c r="B535" s="109"/>
      <c r="C535" s="62" t="s">
        <v>207</v>
      </c>
      <c r="D535" s="103" t="s">
        <v>316</v>
      </c>
      <c r="E535" s="44" t="s">
        <v>292</v>
      </c>
      <c r="F535" s="145">
        <v>3195134777.6999998</v>
      </c>
      <c r="G535" s="105" t="s">
        <v>293</v>
      </c>
      <c r="H535" s="47">
        <v>2947323435.3600001</v>
      </c>
      <c r="I535" s="75">
        <v>44084</v>
      </c>
      <c r="J535" s="37">
        <f t="shared" si="27"/>
        <v>247811342.33999968</v>
      </c>
      <c r="K535" s="110">
        <f t="shared" si="28"/>
        <v>7061086664.8949995</v>
      </c>
      <c r="L535" s="60"/>
      <c r="M535" s="41"/>
      <c r="N535" s="41"/>
      <c r="O535" s="41"/>
    </row>
    <row r="536" spans="1:15" s="7" customFormat="1" ht="18.75">
      <c r="A536" s="56"/>
      <c r="B536" s="109"/>
      <c r="C536" s="62" t="s">
        <v>212</v>
      </c>
      <c r="D536" s="103" t="s">
        <v>786</v>
      </c>
      <c r="E536" s="44" t="s">
        <v>736</v>
      </c>
      <c r="F536" s="145">
        <v>4024689393.723</v>
      </c>
      <c r="G536" s="105" t="s">
        <v>602</v>
      </c>
      <c r="H536" s="47">
        <v>3712538655</v>
      </c>
      <c r="I536" s="75">
        <v>43932</v>
      </c>
      <c r="J536" s="37">
        <f t="shared" si="27"/>
        <v>312150738.72300005</v>
      </c>
      <c r="K536" s="110">
        <f t="shared" si="28"/>
        <v>7308898007.2349987</v>
      </c>
      <c r="L536" s="60"/>
      <c r="M536" s="41"/>
      <c r="N536" s="41"/>
      <c r="O536" s="41"/>
    </row>
    <row r="537" spans="1:15" s="7" customFormat="1" ht="18.75">
      <c r="A537" s="56"/>
      <c r="B537" s="109"/>
      <c r="C537" s="62" t="s">
        <v>214</v>
      </c>
      <c r="D537" s="103" t="s">
        <v>319</v>
      </c>
      <c r="E537" s="44">
        <v>43962</v>
      </c>
      <c r="F537" s="145">
        <v>3947516791.3647494</v>
      </c>
      <c r="G537" s="105" t="s">
        <v>216</v>
      </c>
      <c r="H537" s="47">
        <v>3641351479.71</v>
      </c>
      <c r="I537" s="75">
        <v>44086</v>
      </c>
      <c r="J537" s="37">
        <f>F537-H537</f>
        <v>306165311.65474939</v>
      </c>
      <c r="K537" s="110">
        <f t="shared" si="28"/>
        <v>7621048745.9579983</v>
      </c>
      <c r="L537" s="60"/>
      <c r="M537" s="41"/>
      <c r="N537" s="41"/>
      <c r="O537" s="41"/>
    </row>
    <row r="538" spans="1:15" s="7" customFormat="1" ht="18.75">
      <c r="A538" s="56"/>
      <c r="B538" s="109"/>
      <c r="C538" s="62" t="s">
        <v>218</v>
      </c>
      <c r="D538" s="103" t="s">
        <v>787</v>
      </c>
      <c r="E538" s="44">
        <v>44024</v>
      </c>
      <c r="F538" s="145">
        <v>3421507316.4581504</v>
      </c>
      <c r="G538" s="105">
        <v>44531</v>
      </c>
      <c r="H538" s="47">
        <v>3154693495.3099999</v>
      </c>
      <c r="I538" s="75" t="s">
        <v>788</v>
      </c>
      <c r="J538" s="37">
        <f>F538-H538</f>
        <v>266813821.14815044</v>
      </c>
      <c r="K538" s="110">
        <f t="shared" si="28"/>
        <v>7927214057.6127472</v>
      </c>
      <c r="L538" s="60"/>
      <c r="M538" s="41"/>
      <c r="N538" s="41"/>
      <c r="O538" s="41"/>
    </row>
    <row r="539" spans="1:15" s="7" customFormat="1" ht="18.75">
      <c r="A539" s="56"/>
      <c r="B539" s="109"/>
      <c r="C539" s="62" t="s">
        <v>219</v>
      </c>
      <c r="D539" s="103" t="s">
        <v>323</v>
      </c>
      <c r="E539" s="44">
        <v>44409</v>
      </c>
      <c r="F539" s="145">
        <v>3857012876.7539997</v>
      </c>
      <c r="G539" s="105" t="s">
        <v>220</v>
      </c>
      <c r="H539" s="47">
        <v>3557866954.9299998</v>
      </c>
      <c r="I539" s="75" t="s">
        <v>389</v>
      </c>
      <c r="J539" s="37">
        <f>F539-H539</f>
        <v>299145921.82399988</v>
      </c>
      <c r="K539" s="110">
        <f t="shared" si="28"/>
        <v>8194027878.7608976</v>
      </c>
      <c r="L539" s="60"/>
      <c r="M539" s="41"/>
      <c r="N539" s="41"/>
      <c r="O539" s="41"/>
    </row>
    <row r="540" spans="1:15" s="7" customFormat="1" ht="18.75">
      <c r="A540" s="56"/>
      <c r="B540" s="109"/>
      <c r="C540" s="62" t="s">
        <v>221</v>
      </c>
      <c r="D540" s="103" t="s">
        <v>44</v>
      </c>
      <c r="E540" s="44">
        <v>44441</v>
      </c>
      <c r="F540" s="145">
        <v>3977213233.1290002</v>
      </c>
      <c r="G540" s="105">
        <v>44289</v>
      </c>
      <c r="H540" s="47">
        <v>3644489477.8600001</v>
      </c>
      <c r="I540" s="75" t="s">
        <v>789</v>
      </c>
      <c r="J540" s="37">
        <f>F540-H540</f>
        <v>332723755.26900005</v>
      </c>
      <c r="K540" s="110">
        <f t="shared" si="28"/>
        <v>8493173800.584898</v>
      </c>
      <c r="L540" s="60"/>
      <c r="M540" s="41"/>
      <c r="N540" s="41"/>
      <c r="O540" s="41"/>
    </row>
    <row r="541" spans="1:15" s="7" customFormat="1" ht="18.75">
      <c r="A541" s="56"/>
      <c r="B541" s="109"/>
      <c r="C541" s="62" t="s">
        <v>222</v>
      </c>
      <c r="D541" s="103" t="s">
        <v>326</v>
      </c>
      <c r="E541" s="44">
        <v>44319</v>
      </c>
      <c r="F541" s="145">
        <v>4359188111.0785007</v>
      </c>
      <c r="G541" s="105" t="s">
        <v>224</v>
      </c>
      <c r="H541" s="47"/>
      <c r="I541" s="75"/>
      <c r="J541" s="37">
        <f>F541-H541</f>
        <v>4359188111.0785007</v>
      </c>
      <c r="K541" s="110">
        <f t="shared" si="28"/>
        <v>8825897555.8538971</v>
      </c>
      <c r="L541" s="60"/>
      <c r="M541" s="41"/>
      <c r="N541" s="41"/>
      <c r="O541" s="41"/>
    </row>
    <row r="542" spans="1:15" s="7" customFormat="1" ht="18.75">
      <c r="A542" s="56"/>
      <c r="B542" s="57" t="s">
        <v>790</v>
      </c>
      <c r="C542" s="31"/>
      <c r="D542" s="32"/>
      <c r="E542" s="44"/>
      <c r="F542" s="34"/>
      <c r="G542" s="143"/>
      <c r="H542" s="87"/>
      <c r="I542" s="35"/>
      <c r="J542" s="37"/>
      <c r="K542" s="116">
        <f t="shared" si="28"/>
        <v>13185085666.932398</v>
      </c>
      <c r="L542" s="60"/>
      <c r="M542" s="40"/>
      <c r="N542" s="40"/>
      <c r="O542" s="41"/>
    </row>
    <row r="543" spans="1:15" s="7" customFormat="1" ht="18.75">
      <c r="A543" s="56"/>
      <c r="B543" s="57"/>
      <c r="C543" s="31"/>
      <c r="D543" s="32"/>
      <c r="E543" s="44"/>
      <c r="F543" s="34"/>
      <c r="G543" s="143"/>
      <c r="H543" s="87"/>
      <c r="I543" s="35"/>
      <c r="J543" s="37"/>
      <c r="K543" s="116"/>
      <c r="L543" s="60"/>
      <c r="M543" s="40"/>
      <c r="N543" s="40"/>
      <c r="O543" s="41"/>
    </row>
    <row r="544" spans="1:15" s="7" customFormat="1" ht="18.75">
      <c r="A544" s="56">
        <v>15</v>
      </c>
      <c r="B544" s="57" t="s">
        <v>45</v>
      </c>
      <c r="C544" s="29" t="s">
        <v>560</v>
      </c>
      <c r="D544" s="32" t="s">
        <v>345</v>
      </c>
      <c r="E544" s="44"/>
      <c r="F544" s="146">
        <v>392182257.54000002</v>
      </c>
      <c r="G544" s="96">
        <v>42911</v>
      </c>
      <c r="H544" s="36">
        <v>299926690.44</v>
      </c>
      <c r="I544" s="35" t="s">
        <v>791</v>
      </c>
      <c r="J544" s="37">
        <f t="shared" ref="J544:J565" si="29">F544-H544</f>
        <v>92255567.100000024</v>
      </c>
      <c r="K544" s="43">
        <v>0</v>
      </c>
      <c r="L544" s="124"/>
      <c r="M544" s="40"/>
      <c r="N544" s="40"/>
      <c r="O544" s="59"/>
    </row>
    <row r="545" spans="1:15" s="7" customFormat="1" ht="18.75">
      <c r="A545" s="56"/>
      <c r="B545" s="57"/>
      <c r="C545" s="41" t="s">
        <v>792</v>
      </c>
      <c r="D545" s="32" t="s">
        <v>346</v>
      </c>
      <c r="E545" s="44"/>
      <c r="F545" s="146">
        <v>414823903.66000003</v>
      </c>
      <c r="G545" s="96">
        <v>42936</v>
      </c>
      <c r="H545" s="36">
        <v>315779799.43000001</v>
      </c>
      <c r="I545" s="35">
        <v>42957</v>
      </c>
      <c r="J545" s="37">
        <f>F545-H545</f>
        <v>99044104.230000019</v>
      </c>
      <c r="K545" s="43">
        <f>K544+J544</f>
        <v>92255567.100000024</v>
      </c>
      <c r="L545" s="124"/>
      <c r="M545" s="40"/>
      <c r="N545" s="40"/>
      <c r="O545" s="59"/>
    </row>
    <row r="546" spans="1:15" s="7" customFormat="1" ht="18.75">
      <c r="A546" s="56"/>
      <c r="B546" s="57"/>
      <c r="C546" s="41" t="s">
        <v>793</v>
      </c>
      <c r="D546" s="32" t="s">
        <v>347</v>
      </c>
      <c r="E546" s="44"/>
      <c r="F546" s="101">
        <v>315269275.23000002</v>
      </c>
      <c r="G546" s="96">
        <v>42962</v>
      </c>
      <c r="H546" s="36">
        <v>315269275.23000002</v>
      </c>
      <c r="I546" s="35">
        <v>42975</v>
      </c>
      <c r="J546" s="37">
        <f t="shared" si="29"/>
        <v>0</v>
      </c>
      <c r="K546" s="43">
        <f t="shared" ref="K546:K594" si="30">K545+J545</f>
        <v>191299671.33000004</v>
      </c>
      <c r="L546" s="124"/>
      <c r="M546" s="40"/>
      <c r="N546" s="40"/>
      <c r="O546" s="59"/>
    </row>
    <row r="547" spans="1:15" s="7" customFormat="1" ht="18.75">
      <c r="A547" s="56"/>
      <c r="B547" s="57"/>
      <c r="C547" s="41" t="s">
        <v>794</v>
      </c>
      <c r="D547" s="32" t="s">
        <v>795</v>
      </c>
      <c r="E547" s="44"/>
      <c r="F547" s="101">
        <v>370601665.83999997</v>
      </c>
      <c r="G547" s="96" t="s">
        <v>493</v>
      </c>
      <c r="H547" s="36">
        <v>311268225.94</v>
      </c>
      <c r="I547" s="35">
        <v>43027</v>
      </c>
      <c r="J547" s="37">
        <f t="shared" si="29"/>
        <v>59333439.899999976</v>
      </c>
      <c r="K547" s="43">
        <f t="shared" si="30"/>
        <v>191299671.33000004</v>
      </c>
      <c r="L547" s="124"/>
      <c r="M547" s="40"/>
      <c r="N547" s="40"/>
      <c r="O547" s="59"/>
    </row>
    <row r="548" spans="1:15" s="7" customFormat="1" ht="18.75">
      <c r="A548" s="56"/>
      <c r="B548" s="57"/>
      <c r="C548" s="41" t="s">
        <v>498</v>
      </c>
      <c r="D548" s="32" t="s">
        <v>796</v>
      </c>
      <c r="E548" s="44"/>
      <c r="F548" s="101">
        <v>330284195.42000002</v>
      </c>
      <c r="G548" s="96">
        <v>42988</v>
      </c>
      <c r="H548" s="36">
        <v>330284195.42000002</v>
      </c>
      <c r="I548" s="35" t="s">
        <v>797</v>
      </c>
      <c r="J548" s="37">
        <f t="shared" si="29"/>
        <v>0</v>
      </c>
      <c r="K548" s="43">
        <f t="shared" si="30"/>
        <v>250633111.23000002</v>
      </c>
      <c r="L548" s="124"/>
      <c r="M548" s="40"/>
      <c r="N548" s="40"/>
      <c r="O548" s="59"/>
    </row>
    <row r="549" spans="1:15" s="7" customFormat="1" ht="18.75">
      <c r="A549" s="56"/>
      <c r="B549" s="57"/>
      <c r="C549" s="29" t="s">
        <v>564</v>
      </c>
      <c r="D549" s="32" t="s">
        <v>798</v>
      </c>
      <c r="E549" s="44"/>
      <c r="F549" s="95">
        <v>415905480.04000002</v>
      </c>
      <c r="G549" s="98">
        <v>42988</v>
      </c>
      <c r="H549" s="36">
        <v>415905480.04000002</v>
      </c>
      <c r="I549" s="35" t="s">
        <v>799</v>
      </c>
      <c r="J549" s="37">
        <f t="shared" si="29"/>
        <v>0</v>
      </c>
      <c r="K549" s="43">
        <f t="shared" si="30"/>
        <v>250633111.23000002</v>
      </c>
      <c r="L549" s="124"/>
      <c r="M549" s="40"/>
      <c r="N549" s="40"/>
      <c r="O549" s="59"/>
    </row>
    <row r="550" spans="1:15" s="7" customFormat="1" ht="18.75">
      <c r="A550" s="56"/>
      <c r="B550" s="57"/>
      <c r="C550" s="29" t="s">
        <v>500</v>
      </c>
      <c r="D550" s="32" t="s">
        <v>800</v>
      </c>
      <c r="E550" s="44"/>
      <c r="F550" s="95">
        <v>451403065.64999998</v>
      </c>
      <c r="G550" s="98" t="s">
        <v>801</v>
      </c>
      <c r="H550" s="36">
        <v>451403065.64999998</v>
      </c>
      <c r="I550" s="35" t="s">
        <v>502</v>
      </c>
      <c r="J550" s="37">
        <f t="shared" si="29"/>
        <v>0</v>
      </c>
      <c r="K550" s="43">
        <f t="shared" si="30"/>
        <v>250633111.23000002</v>
      </c>
      <c r="L550" s="124"/>
      <c r="M550" s="40"/>
      <c r="N550" s="40"/>
      <c r="O550" s="59"/>
    </row>
    <row r="551" spans="1:15" s="7" customFormat="1" ht="18.75">
      <c r="A551" s="56"/>
      <c r="B551" s="57"/>
      <c r="C551" s="29" t="s">
        <v>501</v>
      </c>
      <c r="D551" s="32" t="s">
        <v>802</v>
      </c>
      <c r="E551" s="44"/>
      <c r="F551" s="104">
        <v>505771020.79000002</v>
      </c>
      <c r="G551" s="98">
        <v>43435</v>
      </c>
      <c r="H551" s="36">
        <v>505771020.79000002</v>
      </c>
      <c r="I551" s="35" t="s">
        <v>803</v>
      </c>
      <c r="J551" s="37">
        <f t="shared" si="29"/>
        <v>0</v>
      </c>
      <c r="K551" s="43">
        <f t="shared" si="30"/>
        <v>250633111.23000002</v>
      </c>
      <c r="L551" s="124"/>
      <c r="M551" s="40"/>
      <c r="N551" s="40"/>
      <c r="O551" s="59"/>
    </row>
    <row r="552" spans="1:15" s="7" customFormat="1" ht="18.75">
      <c r="A552" s="56"/>
      <c r="B552" s="57"/>
      <c r="C552" s="29" t="s">
        <v>804</v>
      </c>
      <c r="D552" s="32"/>
      <c r="E552" s="44"/>
      <c r="F552" s="104"/>
      <c r="G552" s="98"/>
      <c r="H552" s="36">
        <v>250964658.41</v>
      </c>
      <c r="I552" s="35"/>
      <c r="J552" s="37">
        <f t="shared" si="29"/>
        <v>-250964658.41</v>
      </c>
      <c r="K552" s="43">
        <f t="shared" si="30"/>
        <v>250633111.23000002</v>
      </c>
      <c r="L552" s="124"/>
      <c r="M552" s="40"/>
      <c r="N552" s="40"/>
      <c r="O552" s="59"/>
    </row>
    <row r="553" spans="1:15" s="7" customFormat="1" ht="18.75">
      <c r="A553" s="56"/>
      <c r="B553" s="57"/>
      <c r="C553" s="29" t="s">
        <v>504</v>
      </c>
      <c r="D553" s="32" t="s">
        <v>805</v>
      </c>
      <c r="E553" s="44"/>
      <c r="F553" s="104">
        <v>451764977.01999998</v>
      </c>
      <c r="G553" s="98">
        <v>43435</v>
      </c>
      <c r="H553" s="100">
        <v>451764977.04000002</v>
      </c>
      <c r="I553" s="35"/>
      <c r="J553" s="37">
        <f t="shared" si="29"/>
        <v>-2.0000040531158447E-2</v>
      </c>
      <c r="K553" s="43">
        <f t="shared" si="30"/>
        <v>-331547.17999997735</v>
      </c>
      <c r="L553" s="124"/>
      <c r="M553" s="40"/>
      <c r="N553" s="40"/>
      <c r="O553" s="59"/>
    </row>
    <row r="554" spans="1:15" s="7" customFormat="1" ht="18.75">
      <c r="A554" s="56"/>
      <c r="B554" s="57"/>
      <c r="C554" s="29" t="s">
        <v>506</v>
      </c>
      <c r="D554" s="32" t="s">
        <v>806</v>
      </c>
      <c r="E554" s="44"/>
      <c r="F554" s="104">
        <v>420307500.04000002</v>
      </c>
      <c r="G554" s="98">
        <v>43437</v>
      </c>
      <c r="H554" s="36">
        <v>411149903.82999998</v>
      </c>
      <c r="I554" s="35"/>
      <c r="J554" s="37">
        <f t="shared" si="29"/>
        <v>9157596.2100000381</v>
      </c>
      <c r="K554" s="43">
        <f t="shared" si="30"/>
        <v>-331547.20000001788</v>
      </c>
      <c r="L554" s="124"/>
      <c r="M554" s="40"/>
      <c r="N554" s="40"/>
      <c r="O554" s="59"/>
    </row>
    <row r="555" spans="1:15" s="7" customFormat="1" ht="18.75">
      <c r="A555" s="56"/>
      <c r="B555" s="57"/>
      <c r="C555" s="29" t="s">
        <v>508</v>
      </c>
      <c r="D555" s="32" t="s">
        <v>807</v>
      </c>
      <c r="E555" s="44"/>
      <c r="F555" s="104">
        <v>527762530.55000001</v>
      </c>
      <c r="G555" s="75" t="s">
        <v>509</v>
      </c>
      <c r="H555" s="36">
        <f>500379955.8+9157596.21</f>
        <v>509537552.00999999</v>
      </c>
      <c r="I555" s="35" t="s">
        <v>635</v>
      </c>
      <c r="J555" s="37">
        <f>F555-H555</f>
        <v>18224978.540000021</v>
      </c>
      <c r="K555" s="43">
        <f t="shared" si="30"/>
        <v>8826049.0100000203</v>
      </c>
      <c r="L555" s="124"/>
      <c r="M555" s="40"/>
      <c r="N555" s="40"/>
      <c r="O555" s="59"/>
    </row>
    <row r="556" spans="1:15" s="7" customFormat="1" ht="18.75">
      <c r="A556" s="56"/>
      <c r="B556" s="57"/>
      <c r="C556" s="147" t="s">
        <v>808</v>
      </c>
      <c r="D556" s="32" t="s">
        <v>809</v>
      </c>
      <c r="E556" s="44"/>
      <c r="F556" s="104">
        <v>576614790.90600002</v>
      </c>
      <c r="G556" s="105" t="s">
        <v>753</v>
      </c>
      <c r="H556" s="36">
        <f>517989263.05</f>
        <v>517989263.05000001</v>
      </c>
      <c r="I556" s="35"/>
      <c r="J556" s="37">
        <f t="shared" si="29"/>
        <v>58625527.856000006</v>
      </c>
      <c r="K556" s="43">
        <f t="shared" si="30"/>
        <v>27051027.550000042</v>
      </c>
      <c r="L556" s="124"/>
      <c r="M556" s="40"/>
      <c r="N556" s="40"/>
      <c r="O556" s="59"/>
    </row>
    <row r="557" spans="1:15" s="7" customFormat="1" ht="18.75">
      <c r="A557" s="56"/>
      <c r="B557" s="57"/>
      <c r="C557" s="147" t="s">
        <v>810</v>
      </c>
      <c r="D557" s="32" t="s">
        <v>811</v>
      </c>
      <c r="E557" s="44"/>
      <c r="F557" s="104">
        <v>479168820.84749997</v>
      </c>
      <c r="G557" s="75" t="s">
        <v>569</v>
      </c>
      <c r="H557" s="36">
        <v>479168820.85000002</v>
      </c>
      <c r="I557" s="35" t="s">
        <v>812</v>
      </c>
      <c r="J557" s="37">
        <f t="shared" si="29"/>
        <v>-2.5000572204589844E-3</v>
      </c>
      <c r="K557" s="43">
        <f t="shared" si="30"/>
        <v>85676555.406000048</v>
      </c>
      <c r="L557" s="124"/>
      <c r="M557" s="40"/>
      <c r="N557" s="40"/>
      <c r="O557" s="41"/>
    </row>
    <row r="558" spans="1:15" s="7" customFormat="1" ht="18.75">
      <c r="A558" s="56"/>
      <c r="B558" s="57"/>
      <c r="C558" s="102" t="s">
        <v>514</v>
      </c>
      <c r="D558" s="32" t="s">
        <v>813</v>
      </c>
      <c r="E558" s="44"/>
      <c r="F558" s="104">
        <v>504923619.2385</v>
      </c>
      <c r="G558" s="75" t="s">
        <v>814</v>
      </c>
      <c r="H558" s="100">
        <v>504923619.23000002</v>
      </c>
      <c r="I558" s="35" t="s">
        <v>815</v>
      </c>
      <c r="J558" s="37">
        <f t="shared" si="29"/>
        <v>8.4999799728393555E-3</v>
      </c>
      <c r="K558" s="43">
        <f t="shared" si="30"/>
        <v>85676555.403499991</v>
      </c>
      <c r="L558" s="124"/>
      <c r="M558" s="40"/>
      <c r="N558" s="40"/>
      <c r="O558" s="113"/>
    </row>
    <row r="559" spans="1:15" s="7" customFormat="1" ht="18.75">
      <c r="A559" s="56"/>
      <c r="B559" s="57"/>
      <c r="C559" s="102" t="s">
        <v>238</v>
      </c>
      <c r="D559" s="32" t="s">
        <v>816</v>
      </c>
      <c r="E559" s="44"/>
      <c r="F559" s="104">
        <v>486536460.13999999</v>
      </c>
      <c r="G559" s="75" t="s">
        <v>507</v>
      </c>
      <c r="H559" s="36">
        <v>372997618.25999999</v>
      </c>
      <c r="I559" s="35" t="s">
        <v>817</v>
      </c>
      <c r="J559" s="37">
        <f t="shared" si="29"/>
        <v>113538841.88</v>
      </c>
      <c r="K559" s="43">
        <f t="shared" si="30"/>
        <v>85676555.411999971</v>
      </c>
      <c r="L559" s="124"/>
      <c r="M559" s="40"/>
      <c r="N559" s="40"/>
      <c r="O559" s="41"/>
    </row>
    <row r="560" spans="1:15" s="7" customFormat="1" ht="18.75">
      <c r="A560" s="56"/>
      <c r="B560" s="57"/>
      <c r="C560" s="102" t="s">
        <v>517</v>
      </c>
      <c r="D560" s="32" t="s">
        <v>818</v>
      </c>
      <c r="E560" s="44"/>
      <c r="F560" s="104">
        <v>510644001.77700001</v>
      </c>
      <c r="G560" s="75" t="s">
        <v>819</v>
      </c>
      <c r="H560" s="36">
        <v>510644001.77999997</v>
      </c>
      <c r="I560" s="35"/>
      <c r="J560" s="37">
        <f t="shared" si="29"/>
        <v>-2.9999613761901855E-3</v>
      </c>
      <c r="K560" s="43">
        <f t="shared" si="30"/>
        <v>199215397.29199997</v>
      </c>
      <c r="L560" s="148"/>
      <c r="M560" s="40"/>
      <c r="N560" s="40"/>
      <c r="O560" s="41"/>
    </row>
    <row r="561" spans="1:15" s="7" customFormat="1" ht="18.75">
      <c r="A561" s="56"/>
      <c r="B561" s="57"/>
      <c r="C561" s="102" t="s">
        <v>243</v>
      </c>
      <c r="D561" s="32" t="s">
        <v>820</v>
      </c>
      <c r="E561" s="44"/>
      <c r="F561" s="104">
        <v>447426799.5855</v>
      </c>
      <c r="G561" s="75" t="s">
        <v>817</v>
      </c>
      <c r="H561" s="36">
        <v>447426799.57999998</v>
      </c>
      <c r="I561" s="35"/>
      <c r="J561" s="37">
        <f t="shared" si="29"/>
        <v>5.5000185966491699E-3</v>
      </c>
      <c r="K561" s="43">
        <f t="shared" si="30"/>
        <v>199215397.289</v>
      </c>
      <c r="L561" s="124"/>
      <c r="M561" s="40"/>
      <c r="N561" s="40"/>
      <c r="O561" s="41"/>
    </row>
    <row r="562" spans="1:15" s="7" customFormat="1" ht="18.75">
      <c r="A562" s="56"/>
      <c r="B562" s="57"/>
      <c r="C562" s="102" t="s">
        <v>246</v>
      </c>
      <c r="D562" s="32" t="s">
        <v>821</v>
      </c>
      <c r="E562" s="44"/>
      <c r="F562" s="104">
        <v>351490844.75400001</v>
      </c>
      <c r="G562" s="105" t="s">
        <v>822</v>
      </c>
      <c r="H562" s="36">
        <v>351159297.52999997</v>
      </c>
      <c r="I562" s="35" t="s">
        <v>823</v>
      </c>
      <c r="J562" s="37">
        <f t="shared" si="29"/>
        <v>331547.22400003672</v>
      </c>
      <c r="K562" s="43">
        <f t="shared" si="30"/>
        <v>199215397.29450002</v>
      </c>
      <c r="L562" s="124"/>
      <c r="M562" s="40"/>
      <c r="N562" s="40"/>
      <c r="O562" s="41"/>
    </row>
    <row r="563" spans="1:15" s="7" customFormat="1" ht="18.75">
      <c r="A563" s="56"/>
      <c r="B563" s="57"/>
      <c r="C563" s="102" t="s">
        <v>522</v>
      </c>
      <c r="D563" s="103" t="s">
        <v>824</v>
      </c>
      <c r="E563" s="44"/>
      <c r="F563" s="104">
        <v>383395285.44449997</v>
      </c>
      <c r="G563" s="105" t="s">
        <v>825</v>
      </c>
      <c r="H563" s="36">
        <v>383395285.44</v>
      </c>
      <c r="I563" s="35" t="s">
        <v>826</v>
      </c>
      <c r="J563" s="37">
        <f t="shared" si="29"/>
        <v>4.499971866607666E-3</v>
      </c>
      <c r="K563" s="43">
        <f t="shared" si="30"/>
        <v>199546944.51850006</v>
      </c>
      <c r="L563" s="124"/>
      <c r="M563" s="40"/>
      <c r="N563" s="40"/>
      <c r="O563" s="41"/>
    </row>
    <row r="564" spans="1:15" s="7" customFormat="1" ht="18.75">
      <c r="A564" s="56"/>
      <c r="B564" s="57"/>
      <c r="C564" s="111" t="s">
        <v>250</v>
      </c>
      <c r="D564" s="103" t="s">
        <v>827</v>
      </c>
      <c r="E564" s="44"/>
      <c r="F564" s="149">
        <v>351303278.75</v>
      </c>
      <c r="G564" s="150" t="s">
        <v>362</v>
      </c>
      <c r="H564" s="47">
        <v>351303278.75</v>
      </c>
      <c r="I564" s="35" t="s">
        <v>828</v>
      </c>
      <c r="J564" s="37">
        <f t="shared" si="29"/>
        <v>0</v>
      </c>
      <c r="K564" s="43">
        <f t="shared" si="30"/>
        <v>199546944.52300003</v>
      </c>
      <c r="L564" s="124"/>
      <c r="M564" s="40"/>
      <c r="N564" s="40"/>
      <c r="O564" s="41"/>
    </row>
    <row r="565" spans="1:15" s="7" customFormat="1" ht="18.75">
      <c r="A565" s="56"/>
      <c r="B565" s="57"/>
      <c r="C565" s="62" t="s">
        <v>139</v>
      </c>
      <c r="D565" s="103" t="s">
        <v>829</v>
      </c>
      <c r="E565" s="44"/>
      <c r="F565" s="149">
        <v>444535185.08999997</v>
      </c>
      <c r="G565" s="150" t="s">
        <v>362</v>
      </c>
      <c r="H565" s="36">
        <v>444535185.08999997</v>
      </c>
      <c r="I565" s="35" t="s">
        <v>828</v>
      </c>
      <c r="J565" s="37">
        <f t="shared" si="29"/>
        <v>0</v>
      </c>
      <c r="K565" s="43">
        <f t="shared" si="30"/>
        <v>199546944.52300003</v>
      </c>
      <c r="L565" s="124"/>
      <c r="M565" s="40"/>
      <c r="N565" s="40"/>
      <c r="O565" s="41"/>
    </row>
    <row r="566" spans="1:15" s="7" customFormat="1" ht="18.75">
      <c r="A566" s="56"/>
      <c r="B566" s="57"/>
      <c r="C566" s="41"/>
      <c r="D566" s="151"/>
      <c r="E566" s="44"/>
      <c r="F566" s="152"/>
      <c r="G566" s="113"/>
      <c r="H566" s="36">
        <v>50216848.590000004</v>
      </c>
      <c r="I566" s="35" t="s">
        <v>828</v>
      </c>
      <c r="J566" s="37">
        <f>F566-H566</f>
        <v>-50216848.590000004</v>
      </c>
      <c r="K566" s="43">
        <f t="shared" si="30"/>
        <v>199546944.52300003</v>
      </c>
      <c r="L566" s="124"/>
      <c r="M566" s="40"/>
      <c r="N566" s="40"/>
      <c r="O566" s="41"/>
    </row>
    <row r="567" spans="1:15" s="7" customFormat="1" ht="18.75">
      <c r="A567" s="56"/>
      <c r="B567" s="57"/>
      <c r="C567" s="62" t="s">
        <v>142</v>
      </c>
      <c r="D567" s="103" t="s">
        <v>830</v>
      </c>
      <c r="E567" s="44"/>
      <c r="F567" s="149">
        <v>527702944.04000002</v>
      </c>
      <c r="G567" s="150" t="s">
        <v>363</v>
      </c>
      <c r="H567" s="36">
        <v>527702944.04000002</v>
      </c>
      <c r="I567" s="35" t="s">
        <v>147</v>
      </c>
      <c r="J567" s="37">
        <f t="shared" ref="J567:J593" si="31">F567-H567</f>
        <v>0</v>
      </c>
      <c r="K567" s="43">
        <f>K566+J566</f>
        <v>149330095.93300003</v>
      </c>
      <c r="L567" s="124"/>
      <c r="M567" s="40"/>
      <c r="N567" s="40"/>
      <c r="O567" s="41"/>
    </row>
    <row r="568" spans="1:15" s="7" customFormat="1" ht="18.75">
      <c r="A568" s="56"/>
      <c r="B568" s="57"/>
      <c r="C568" s="62" t="s">
        <v>145</v>
      </c>
      <c r="D568" s="103" t="s">
        <v>831</v>
      </c>
      <c r="E568" s="44"/>
      <c r="F568" s="149">
        <v>493481441.17000002</v>
      </c>
      <c r="G568" s="150" t="s">
        <v>143</v>
      </c>
      <c r="H568" s="36">
        <v>493481441.17000002</v>
      </c>
      <c r="I568" s="35" t="s">
        <v>832</v>
      </c>
      <c r="J568" s="37">
        <f t="shared" si="31"/>
        <v>0</v>
      </c>
      <c r="K568" s="43">
        <f t="shared" si="30"/>
        <v>149330095.93300003</v>
      </c>
      <c r="L568" s="124"/>
      <c r="M568" s="40"/>
      <c r="N568" s="40"/>
      <c r="O568" s="41"/>
    </row>
    <row r="569" spans="1:15" s="7" customFormat="1" ht="18.75">
      <c r="A569" s="56"/>
      <c r="B569" s="136"/>
      <c r="C569" s="62" t="s">
        <v>148</v>
      </c>
      <c r="D569" s="103" t="s">
        <v>831</v>
      </c>
      <c r="E569" s="44"/>
      <c r="F569" s="149">
        <v>630333445.33000004</v>
      </c>
      <c r="G569" s="105" t="s">
        <v>833</v>
      </c>
      <c r="H569" s="36">
        <v>630333445.33000004</v>
      </c>
      <c r="I569" s="35" t="s">
        <v>834</v>
      </c>
      <c r="J569" s="37">
        <f t="shared" si="31"/>
        <v>0</v>
      </c>
      <c r="K569" s="43">
        <f t="shared" si="30"/>
        <v>149330095.93300003</v>
      </c>
      <c r="L569" s="124"/>
      <c r="M569" s="40"/>
      <c r="N569" s="40"/>
      <c r="O569" s="41"/>
    </row>
    <row r="570" spans="1:15" s="7" customFormat="1" ht="18.75">
      <c r="A570" s="56"/>
      <c r="B570" s="57"/>
      <c r="C570" s="62" t="s">
        <v>151</v>
      </c>
      <c r="D570" s="103" t="s">
        <v>835</v>
      </c>
      <c r="E570" s="44"/>
      <c r="F570" s="149">
        <v>644331020.69000006</v>
      </c>
      <c r="G570" s="105" t="s">
        <v>152</v>
      </c>
      <c r="H570" s="36">
        <v>644331020.69000006</v>
      </c>
      <c r="I570" s="35" t="s">
        <v>527</v>
      </c>
      <c r="J570" s="37">
        <f t="shared" si="31"/>
        <v>0</v>
      </c>
      <c r="K570" s="43">
        <f t="shared" si="30"/>
        <v>149330095.93300003</v>
      </c>
      <c r="L570" s="124"/>
      <c r="M570" s="40"/>
      <c r="N570" s="40"/>
      <c r="O570" s="41"/>
    </row>
    <row r="571" spans="1:15" s="7" customFormat="1" ht="18.75">
      <c r="A571" s="56"/>
      <c r="B571" s="57"/>
      <c r="C571" s="62" t="s">
        <v>154</v>
      </c>
      <c r="D571" s="103" t="s">
        <v>836</v>
      </c>
      <c r="E571" s="44"/>
      <c r="F571" s="149">
        <v>554349697.95450008</v>
      </c>
      <c r="G571" s="105" t="s">
        <v>156</v>
      </c>
      <c r="H571" s="36">
        <v>554361583.97000003</v>
      </c>
      <c r="I571" s="35" t="s">
        <v>837</v>
      </c>
      <c r="J571" s="37">
        <f t="shared" si="31"/>
        <v>-11886.015499949455</v>
      </c>
      <c r="K571" s="43">
        <f t="shared" si="30"/>
        <v>149330095.93300003</v>
      </c>
      <c r="L571" s="124"/>
      <c r="M571" s="40"/>
      <c r="N571" s="40"/>
      <c r="O571" s="41"/>
    </row>
    <row r="572" spans="1:15" s="7" customFormat="1" ht="18.75">
      <c r="A572" s="56"/>
      <c r="B572" s="57"/>
      <c r="C572" s="62" t="s">
        <v>158</v>
      </c>
      <c r="D572" s="103" t="s">
        <v>838</v>
      </c>
      <c r="E572" s="44"/>
      <c r="F572" s="149">
        <v>345174564.32999998</v>
      </c>
      <c r="G572" s="105" t="s">
        <v>160</v>
      </c>
      <c r="H572" s="36">
        <v>345174564.32999998</v>
      </c>
      <c r="I572" s="35" t="s">
        <v>839</v>
      </c>
      <c r="J572" s="37">
        <f t="shared" si="31"/>
        <v>0</v>
      </c>
      <c r="K572" s="43">
        <f t="shared" si="30"/>
        <v>149318209.91750008</v>
      </c>
      <c r="L572" s="124"/>
      <c r="M572" s="40"/>
      <c r="N572" s="40"/>
      <c r="O572" s="41"/>
    </row>
    <row r="573" spans="1:15" s="7" customFormat="1" ht="18.75">
      <c r="A573" s="56"/>
      <c r="B573" s="57"/>
      <c r="C573" s="62" t="s">
        <v>162</v>
      </c>
      <c r="D573" s="103" t="s">
        <v>840</v>
      </c>
      <c r="E573" s="44"/>
      <c r="F573" s="149">
        <v>348758893.00999999</v>
      </c>
      <c r="G573" s="105" t="s">
        <v>164</v>
      </c>
      <c r="H573" s="36">
        <v>348758893.00999999</v>
      </c>
      <c r="I573" s="35" t="s">
        <v>322</v>
      </c>
      <c r="J573" s="37">
        <f t="shared" si="31"/>
        <v>0</v>
      </c>
      <c r="K573" s="43">
        <f t="shared" si="30"/>
        <v>149318209.91750008</v>
      </c>
      <c r="L573" s="124"/>
      <c r="M573" s="40"/>
      <c r="N573" s="40"/>
      <c r="O573" s="41"/>
    </row>
    <row r="574" spans="1:15" s="7" customFormat="1" ht="18.75">
      <c r="A574" s="56"/>
      <c r="B574" s="57"/>
      <c r="C574" s="62" t="s">
        <v>166</v>
      </c>
      <c r="D574" s="103" t="s">
        <v>841</v>
      </c>
      <c r="E574" s="44"/>
      <c r="F574" s="149">
        <v>460064271.29000002</v>
      </c>
      <c r="G574" s="105" t="s">
        <v>168</v>
      </c>
      <c r="H574" s="36">
        <v>460064271.26999998</v>
      </c>
      <c r="I574" s="35" t="s">
        <v>842</v>
      </c>
      <c r="J574" s="37">
        <f t="shared" si="31"/>
        <v>2.0000040531158447E-2</v>
      </c>
      <c r="K574" s="43">
        <f t="shared" si="30"/>
        <v>149318209.91750008</v>
      </c>
      <c r="L574" s="124"/>
      <c r="M574" s="40"/>
      <c r="N574" s="40"/>
      <c r="O574" s="41"/>
    </row>
    <row r="575" spans="1:15" s="7" customFormat="1" ht="18.75">
      <c r="A575" s="56"/>
      <c r="B575" s="57"/>
      <c r="C575" s="62" t="s">
        <v>170</v>
      </c>
      <c r="D575" s="103" t="s">
        <v>841</v>
      </c>
      <c r="E575" s="44"/>
      <c r="F575" s="149">
        <v>664444392.34950006</v>
      </c>
      <c r="G575" s="105" t="s">
        <v>172</v>
      </c>
      <c r="H575" s="47">
        <v>454339375.81999999</v>
      </c>
      <c r="I575" s="92" t="s">
        <v>843</v>
      </c>
      <c r="J575" s="37">
        <f t="shared" si="31"/>
        <v>210105016.52950007</v>
      </c>
      <c r="K575" s="43">
        <f t="shared" si="30"/>
        <v>149318209.93750012</v>
      </c>
      <c r="L575" s="124"/>
      <c r="M575" s="40"/>
      <c r="N575" s="40"/>
      <c r="O575" s="41"/>
    </row>
    <row r="576" spans="1:15" s="7" customFormat="1" ht="18.75">
      <c r="A576" s="56"/>
      <c r="B576" s="57"/>
      <c r="C576" s="62" t="s">
        <v>174</v>
      </c>
      <c r="D576" s="103" t="s">
        <v>844</v>
      </c>
      <c r="E576" s="44"/>
      <c r="F576" s="149">
        <v>588590536.91999996</v>
      </c>
      <c r="G576" s="105" t="s">
        <v>176</v>
      </c>
      <c r="H576" s="47">
        <v>488413452.50999999</v>
      </c>
      <c r="I576" s="92" t="s">
        <v>845</v>
      </c>
      <c r="J576" s="37">
        <f t="shared" si="31"/>
        <v>100177084.40999997</v>
      </c>
      <c r="K576" s="43">
        <f t="shared" si="30"/>
        <v>359423226.46700019</v>
      </c>
      <c r="L576" s="124"/>
      <c r="M576" s="40"/>
      <c r="N576" s="40"/>
      <c r="O576" s="41"/>
    </row>
    <row r="577" spans="1:15" s="7" customFormat="1" ht="18.75">
      <c r="A577" s="56"/>
      <c r="B577" s="57"/>
      <c r="C577" s="62" t="s">
        <v>178</v>
      </c>
      <c r="D577" s="103" t="s">
        <v>846</v>
      </c>
      <c r="E577" s="44"/>
      <c r="F577" s="149">
        <v>596657405.07000005</v>
      </c>
      <c r="G577" s="105" t="s">
        <v>179</v>
      </c>
      <c r="H577" s="47">
        <v>505143515.30000001</v>
      </c>
      <c r="I577" s="92" t="s">
        <v>594</v>
      </c>
      <c r="J577" s="37">
        <f t="shared" si="31"/>
        <v>91513889.770000041</v>
      </c>
      <c r="K577" s="43">
        <f t="shared" si="30"/>
        <v>459600310.87700015</v>
      </c>
      <c r="L577" s="124"/>
      <c r="M577" s="40"/>
      <c r="N577" s="40"/>
      <c r="O577" s="41"/>
    </row>
    <row r="578" spans="1:15" s="7" customFormat="1" ht="18.75">
      <c r="A578" s="56"/>
      <c r="B578" s="57"/>
      <c r="C578" s="62" t="s">
        <v>181</v>
      </c>
      <c r="D578" s="103" t="s">
        <v>847</v>
      </c>
      <c r="E578" s="44"/>
      <c r="F578" s="149">
        <v>570865310.68349993</v>
      </c>
      <c r="G578" s="105" t="s">
        <v>183</v>
      </c>
      <c r="H578" s="47">
        <v>462841853.61000001</v>
      </c>
      <c r="I578" s="92" t="s">
        <v>848</v>
      </c>
      <c r="J578" s="37">
        <f t="shared" si="31"/>
        <v>108023457.07349992</v>
      </c>
      <c r="K578" s="43">
        <f t="shared" si="30"/>
        <v>551114200.64700019</v>
      </c>
      <c r="L578" s="124"/>
      <c r="M578" s="40"/>
      <c r="N578" s="40"/>
      <c r="O578" s="41"/>
    </row>
    <row r="579" spans="1:15" s="7" customFormat="1" ht="18.75">
      <c r="A579" s="56"/>
      <c r="B579" s="57"/>
      <c r="C579" s="62" t="s">
        <v>185</v>
      </c>
      <c r="D579" s="103" t="s">
        <v>847</v>
      </c>
      <c r="E579" s="44"/>
      <c r="F579" s="149">
        <v>754862880.80700004</v>
      </c>
      <c r="G579" s="105" t="s">
        <v>730</v>
      </c>
      <c r="H579" s="47">
        <v>634417033.63999999</v>
      </c>
      <c r="I579" s="92" t="s">
        <v>849</v>
      </c>
      <c r="J579" s="37">
        <f t="shared" si="31"/>
        <v>120445847.16700006</v>
      </c>
      <c r="K579" s="43">
        <f t="shared" si="30"/>
        <v>659137657.72050011</v>
      </c>
      <c r="L579" s="124"/>
      <c r="M579" s="40"/>
      <c r="N579" s="40"/>
      <c r="O579" s="41"/>
    </row>
    <row r="580" spans="1:15" s="7" customFormat="1" ht="18.75">
      <c r="A580" s="56"/>
      <c r="B580" s="57"/>
      <c r="C580" s="62" t="s">
        <v>189</v>
      </c>
      <c r="D580" s="103" t="s">
        <v>850</v>
      </c>
      <c r="E580" s="44"/>
      <c r="F580" s="149">
        <v>761591573.30435669</v>
      </c>
      <c r="G580" s="105" t="s">
        <v>851</v>
      </c>
      <c r="H580" s="47">
        <v>647986417.13</v>
      </c>
      <c r="I580" s="92" t="s">
        <v>852</v>
      </c>
      <c r="J580" s="37">
        <f t="shared" si="31"/>
        <v>113605156.1743567</v>
      </c>
      <c r="K580" s="43">
        <f t="shared" si="30"/>
        <v>779583504.88750017</v>
      </c>
      <c r="L580" s="124"/>
      <c r="M580" s="40"/>
      <c r="N580" s="40"/>
      <c r="O580" s="41"/>
    </row>
    <row r="581" spans="1:15" s="7" customFormat="1" ht="18.75">
      <c r="A581" s="56"/>
      <c r="B581" s="57"/>
      <c r="C581" s="62" t="s">
        <v>191</v>
      </c>
      <c r="D581" s="103" t="s">
        <v>853</v>
      </c>
      <c r="E581" s="44">
        <v>43986</v>
      </c>
      <c r="F581" s="149">
        <v>1015848273.4</v>
      </c>
      <c r="G581" s="105">
        <v>44140</v>
      </c>
      <c r="H581" s="47">
        <v>841334430.79999995</v>
      </c>
      <c r="I581" s="92" t="s">
        <v>334</v>
      </c>
      <c r="J581" s="37">
        <f t="shared" si="31"/>
        <v>174513842.60000002</v>
      </c>
      <c r="K581" s="43">
        <f t="shared" si="30"/>
        <v>893188661.06185687</v>
      </c>
      <c r="L581" s="124"/>
      <c r="M581" s="40"/>
      <c r="N581" s="40"/>
      <c r="O581" s="41"/>
    </row>
    <row r="582" spans="1:15" s="7" customFormat="1" ht="18.75">
      <c r="A582" s="56"/>
      <c r="B582" s="57"/>
      <c r="C582" s="62" t="s">
        <v>195</v>
      </c>
      <c r="D582" s="103" t="s">
        <v>854</v>
      </c>
      <c r="E582" s="44" t="s">
        <v>197</v>
      </c>
      <c r="F582" s="149">
        <v>403566712.09275001</v>
      </c>
      <c r="G582" s="105" t="s">
        <v>334</v>
      </c>
      <c r="H582" s="47">
        <v>340054817.75</v>
      </c>
      <c r="I582" s="92" t="s">
        <v>855</v>
      </c>
      <c r="J582" s="37">
        <f t="shared" si="31"/>
        <v>63511894.342750013</v>
      </c>
      <c r="K582" s="43">
        <f t="shared" si="30"/>
        <v>1067702503.6618569</v>
      </c>
      <c r="L582" s="124"/>
      <c r="M582" s="40"/>
      <c r="N582" s="40"/>
      <c r="O582" s="41"/>
    </row>
    <row r="583" spans="1:15" s="7" customFormat="1" ht="18.75">
      <c r="A583" s="56"/>
      <c r="B583" s="57"/>
      <c r="C583" s="62" t="s">
        <v>199</v>
      </c>
      <c r="D583" s="103" t="s">
        <v>856</v>
      </c>
      <c r="E583" s="44">
        <v>44049</v>
      </c>
      <c r="F583" s="149">
        <v>715374467.41999996</v>
      </c>
      <c r="G583" s="105" t="s">
        <v>734</v>
      </c>
      <c r="H583" s="47">
        <v>548871471.41999996</v>
      </c>
      <c r="I583" s="44">
        <v>43959</v>
      </c>
      <c r="J583" s="37">
        <f t="shared" si="31"/>
        <v>166502996</v>
      </c>
      <c r="K583" s="43">
        <f t="shared" si="30"/>
        <v>1131214398.004607</v>
      </c>
      <c r="L583" s="124"/>
      <c r="M583" s="40"/>
      <c r="N583" s="40"/>
      <c r="O583" s="41"/>
    </row>
    <row r="584" spans="1:15" s="7" customFormat="1" ht="18.75">
      <c r="A584" s="56"/>
      <c r="B584" s="57"/>
      <c r="C584" s="62" t="s">
        <v>201</v>
      </c>
      <c r="D584" s="103" t="s">
        <v>857</v>
      </c>
      <c r="E584" s="44" t="s">
        <v>449</v>
      </c>
      <c r="F584" s="149">
        <v>695113442.69000006</v>
      </c>
      <c r="G584" s="105" t="s">
        <v>858</v>
      </c>
      <c r="H584" s="47">
        <f>591548628.71+13181919.32</f>
        <v>604730548.03000009</v>
      </c>
      <c r="I584" s="44">
        <v>44052</v>
      </c>
      <c r="J584" s="37">
        <f t="shared" si="31"/>
        <v>90382894.659999967</v>
      </c>
      <c r="K584" s="43">
        <f t="shared" si="30"/>
        <v>1297717394.004607</v>
      </c>
      <c r="L584" s="124"/>
      <c r="M584" s="40"/>
      <c r="N584" s="40"/>
      <c r="O584" s="41"/>
    </row>
    <row r="585" spans="1:15" s="7" customFormat="1" ht="18.75">
      <c r="A585" s="56"/>
      <c r="B585" s="57"/>
      <c r="C585" s="62" t="s">
        <v>203</v>
      </c>
      <c r="D585" s="103" t="s">
        <v>859</v>
      </c>
      <c r="E585" s="44">
        <v>44020</v>
      </c>
      <c r="F585" s="149">
        <v>776881261.40999997</v>
      </c>
      <c r="G585" s="105">
        <v>44021</v>
      </c>
      <c r="H585" s="47">
        <v>654974658.16999996</v>
      </c>
      <c r="I585" s="44" t="s">
        <v>602</v>
      </c>
      <c r="J585" s="37">
        <f t="shared" si="31"/>
        <v>121906603.24000001</v>
      </c>
      <c r="K585" s="43">
        <f t="shared" si="30"/>
        <v>1388100288.664607</v>
      </c>
      <c r="L585" s="124"/>
      <c r="M585" s="40"/>
      <c r="N585" s="40"/>
      <c r="O585" s="41"/>
    </row>
    <row r="586" spans="1:15" s="7" customFormat="1" ht="18.75">
      <c r="A586" s="56"/>
      <c r="B586" s="57"/>
      <c r="C586" s="62" t="s">
        <v>207</v>
      </c>
      <c r="D586" s="103" t="s">
        <v>860</v>
      </c>
      <c r="E586" s="44" t="s">
        <v>292</v>
      </c>
      <c r="F586" s="149">
        <v>805230401.03999996</v>
      </c>
      <c r="G586" s="105" t="s">
        <v>861</v>
      </c>
      <c r="H586" s="47">
        <v>731160134.12</v>
      </c>
      <c r="I586" s="44">
        <v>43873</v>
      </c>
      <c r="J586" s="37">
        <f t="shared" si="31"/>
        <v>74070266.919999957</v>
      </c>
      <c r="K586" s="43">
        <f t="shared" si="30"/>
        <v>1510006891.9046071</v>
      </c>
      <c r="L586" s="124"/>
      <c r="M586" s="40"/>
      <c r="N586" s="40"/>
      <c r="O586" s="41"/>
    </row>
    <row r="587" spans="1:15" s="7" customFormat="1" ht="18.75">
      <c r="A587" s="56"/>
      <c r="B587" s="57"/>
      <c r="C587" s="62" t="s">
        <v>212</v>
      </c>
      <c r="D587" s="103" t="s">
        <v>862</v>
      </c>
      <c r="E587" s="44" t="s">
        <v>863</v>
      </c>
      <c r="F587" s="149">
        <v>755310231.847</v>
      </c>
      <c r="G587" s="105" t="s">
        <v>864</v>
      </c>
      <c r="H587" s="47">
        <v>655954440.77999997</v>
      </c>
      <c r="I587" s="44" t="s">
        <v>294</v>
      </c>
      <c r="J587" s="37">
        <f t="shared" si="31"/>
        <v>99355791.067000031</v>
      </c>
      <c r="K587" s="43">
        <f t="shared" si="30"/>
        <v>1584077158.8246069</v>
      </c>
      <c r="L587" s="124"/>
      <c r="M587" s="40"/>
      <c r="N587" s="40"/>
      <c r="O587" s="41"/>
    </row>
    <row r="588" spans="1:15" s="7" customFormat="1" ht="18.75">
      <c r="A588" s="56"/>
      <c r="B588" s="57"/>
      <c r="C588" s="153" t="s">
        <v>865</v>
      </c>
      <c r="D588" s="103">
        <v>1521437</v>
      </c>
      <c r="E588" s="44"/>
      <c r="F588" s="149"/>
      <c r="G588" s="105"/>
      <c r="H588" s="154">
        <v>304602382.06</v>
      </c>
      <c r="I588" s="44"/>
      <c r="J588" s="37">
        <f t="shared" si="31"/>
        <v>-304602382.06</v>
      </c>
      <c r="K588" s="43">
        <f t="shared" si="30"/>
        <v>1683432949.8916068</v>
      </c>
      <c r="L588" s="124"/>
      <c r="M588" s="40"/>
      <c r="N588" s="40"/>
      <c r="O588" s="41"/>
    </row>
    <row r="589" spans="1:15" s="7" customFormat="1" ht="18.75">
      <c r="A589" s="56"/>
      <c r="B589" s="57"/>
      <c r="C589" s="62" t="s">
        <v>214</v>
      </c>
      <c r="D589" s="103" t="s">
        <v>866</v>
      </c>
      <c r="E589" s="44">
        <v>43962</v>
      </c>
      <c r="F589" s="149">
        <v>698518465.68299997</v>
      </c>
      <c r="G589" s="105">
        <v>43963</v>
      </c>
      <c r="H589" s="47">
        <v>612400042.87</v>
      </c>
      <c r="I589" s="44" t="s">
        <v>867</v>
      </c>
      <c r="J589" s="37">
        <f t="shared" si="31"/>
        <v>86118422.812999964</v>
      </c>
      <c r="K589" s="43">
        <f t="shared" si="30"/>
        <v>1378830567.8316069</v>
      </c>
      <c r="L589" s="124"/>
      <c r="M589" s="40"/>
      <c r="N589" s="40"/>
      <c r="O589" s="41"/>
    </row>
    <row r="590" spans="1:15" s="7" customFormat="1" ht="18.75">
      <c r="A590" s="56"/>
      <c r="B590" s="57"/>
      <c r="C590" s="62" t="s">
        <v>218</v>
      </c>
      <c r="D590" s="103" t="s">
        <v>868</v>
      </c>
      <c r="E590" s="44">
        <v>44147</v>
      </c>
      <c r="F590" s="149">
        <v>907894857.44200003</v>
      </c>
      <c r="G590" s="105">
        <v>44177</v>
      </c>
      <c r="H590" s="47">
        <v>781840317.87</v>
      </c>
      <c r="I590" s="44">
        <v>44229</v>
      </c>
      <c r="J590" s="37">
        <f t="shared" si="31"/>
        <v>126054539.57200003</v>
      </c>
      <c r="K590" s="43">
        <f t="shared" si="30"/>
        <v>1464948990.6446068</v>
      </c>
      <c r="L590" s="124"/>
      <c r="M590" s="40"/>
      <c r="N590" s="40"/>
      <c r="O590" s="41"/>
    </row>
    <row r="591" spans="1:15" s="7" customFormat="1" ht="18.75">
      <c r="A591" s="56"/>
      <c r="B591" s="57"/>
      <c r="C591" s="62" t="s">
        <v>219</v>
      </c>
      <c r="D591" s="103" t="s">
        <v>869</v>
      </c>
      <c r="E591" s="44">
        <v>44409</v>
      </c>
      <c r="F591" s="149">
        <v>788657224.72375</v>
      </c>
      <c r="G591" s="105">
        <v>44379</v>
      </c>
      <c r="H591" s="47">
        <v>704577731.77999997</v>
      </c>
      <c r="I591" s="44" t="s">
        <v>27</v>
      </c>
      <c r="J591" s="37">
        <f t="shared" si="31"/>
        <v>84079492.943750024</v>
      </c>
      <c r="K591" s="43">
        <f t="shared" si="30"/>
        <v>1591003530.2166069</v>
      </c>
      <c r="L591" s="124"/>
      <c r="M591" s="40"/>
      <c r="N591" s="40"/>
      <c r="O591" s="41"/>
    </row>
    <row r="592" spans="1:15" s="7" customFormat="1" ht="18.75">
      <c r="A592" s="56"/>
      <c r="B592" s="57"/>
      <c r="C592" s="62" t="s">
        <v>221</v>
      </c>
      <c r="D592" s="103" t="s">
        <v>46</v>
      </c>
      <c r="E592" s="44" t="s">
        <v>47</v>
      </c>
      <c r="F592" s="149">
        <v>837765338.99074996</v>
      </c>
      <c r="G592" s="105" t="s">
        <v>48</v>
      </c>
      <c r="H592" s="47">
        <v>746705005.04999995</v>
      </c>
      <c r="I592" s="44">
        <v>44381</v>
      </c>
      <c r="J592" s="37">
        <f t="shared" si="31"/>
        <v>91060333.940750003</v>
      </c>
      <c r="K592" s="43">
        <f t="shared" si="30"/>
        <v>1675083023.160357</v>
      </c>
      <c r="L592" s="124"/>
      <c r="M592" s="40"/>
      <c r="N592" s="40"/>
      <c r="O592" s="41"/>
    </row>
    <row r="593" spans="1:15" s="7" customFormat="1" ht="18.75">
      <c r="A593" s="56"/>
      <c r="B593" s="57"/>
      <c r="C593" s="62" t="s">
        <v>222</v>
      </c>
      <c r="D593" s="103" t="s">
        <v>870</v>
      </c>
      <c r="E593" s="44">
        <v>44472</v>
      </c>
      <c r="F593" s="149">
        <v>806334520.61725008</v>
      </c>
      <c r="G593" s="105" t="s">
        <v>391</v>
      </c>
      <c r="H593" s="47"/>
      <c r="I593" s="44"/>
      <c r="J593" s="37">
        <f t="shared" si="31"/>
        <v>806334520.61725008</v>
      </c>
      <c r="K593" s="43">
        <f t="shared" si="30"/>
        <v>1766143357.1011071</v>
      </c>
      <c r="L593" s="124"/>
      <c r="M593" s="40"/>
      <c r="N593" s="40"/>
      <c r="O593" s="41"/>
    </row>
    <row r="594" spans="1:15" s="7" customFormat="1" ht="18.75">
      <c r="A594" s="56"/>
      <c r="B594" s="57" t="s">
        <v>871</v>
      </c>
      <c r="C594" s="41"/>
      <c r="D594" s="32"/>
      <c r="E594" s="44"/>
      <c r="F594" s="155"/>
      <c r="G594" s="76"/>
      <c r="H594" s="36"/>
      <c r="I594" s="35"/>
      <c r="J594" s="37"/>
      <c r="K594" s="156">
        <f t="shared" si="30"/>
        <v>2572477877.7183571</v>
      </c>
      <c r="L594" s="124"/>
      <c r="M594" s="40"/>
      <c r="N594" s="40"/>
      <c r="O594" s="41"/>
    </row>
    <row r="595" spans="1:15" s="7" customFormat="1" ht="18.75">
      <c r="A595" s="56"/>
      <c r="B595" s="57"/>
      <c r="C595" s="41"/>
      <c r="D595" s="32"/>
      <c r="E595" s="44"/>
      <c r="F595" s="155"/>
      <c r="G595" s="76"/>
      <c r="H595" s="36"/>
      <c r="I595" s="35"/>
      <c r="J595" s="37"/>
      <c r="K595" s="156"/>
      <c r="L595" s="124"/>
      <c r="M595" s="40"/>
      <c r="N595" s="40"/>
      <c r="O595" s="41"/>
    </row>
    <row r="596" spans="1:15" s="7" customFormat="1" ht="18.75">
      <c r="B596" s="57" t="s">
        <v>872</v>
      </c>
      <c r="C596" s="41" t="s">
        <v>873</v>
      </c>
      <c r="D596" s="32" t="s">
        <v>140</v>
      </c>
      <c r="E596" s="44"/>
      <c r="F596" s="157">
        <v>1174538916.3</v>
      </c>
      <c r="G596" s="76"/>
      <c r="H596" s="36">
        <v>258696295.46000001</v>
      </c>
      <c r="I596" s="35" t="s">
        <v>714</v>
      </c>
      <c r="J596" s="37">
        <f>F596-H596</f>
        <v>915842620.83999991</v>
      </c>
      <c r="K596" s="156">
        <v>0</v>
      </c>
      <c r="L596" s="124"/>
      <c r="M596" s="40"/>
      <c r="N596" s="40"/>
      <c r="O596" s="41"/>
    </row>
    <row r="597" spans="1:15" s="7" customFormat="1" ht="18.75">
      <c r="B597" s="57"/>
      <c r="C597" s="41" t="s">
        <v>874</v>
      </c>
      <c r="D597" s="32" t="s">
        <v>120</v>
      </c>
      <c r="E597" s="44"/>
      <c r="F597" s="157">
        <v>712559095.85000002</v>
      </c>
      <c r="G597" s="76"/>
      <c r="H597" s="47">
        <f>200000000+375238058.2</f>
        <v>575238058.20000005</v>
      </c>
      <c r="I597" s="35" t="s">
        <v>845</v>
      </c>
      <c r="J597" s="37">
        <f>F597-H597</f>
        <v>137321037.64999998</v>
      </c>
      <c r="K597" s="43">
        <f>J596+K596</f>
        <v>915842620.83999991</v>
      </c>
      <c r="L597" s="124"/>
      <c r="M597" s="40"/>
      <c r="N597" s="40"/>
    </row>
    <row r="598" spans="1:15" s="7" customFormat="1" ht="18.75">
      <c r="B598" s="57"/>
      <c r="C598" s="41"/>
      <c r="D598" s="32"/>
      <c r="E598" s="44"/>
      <c r="F598" s="155"/>
      <c r="G598" s="76"/>
      <c r="H598" s="36"/>
      <c r="I598" s="35"/>
      <c r="J598" s="37"/>
      <c r="K598" s="156">
        <f>J597+K597</f>
        <v>1053163658.4899999</v>
      </c>
      <c r="L598" s="124"/>
      <c r="M598" s="40"/>
      <c r="N598" s="40"/>
    </row>
    <row r="599" spans="1:15" s="7" customFormat="1" ht="18.75">
      <c r="B599" s="57"/>
      <c r="C599" s="41"/>
      <c r="D599" s="32"/>
      <c r="E599" s="44"/>
      <c r="F599" s="155"/>
      <c r="G599" s="76"/>
      <c r="H599" s="36"/>
      <c r="I599" s="35"/>
      <c r="J599" s="37"/>
      <c r="K599" s="156"/>
      <c r="L599" s="124"/>
      <c r="M599" s="40"/>
      <c r="N599" s="40"/>
    </row>
    <row r="600" spans="1:15" s="7" customFormat="1" ht="18.75">
      <c r="A600" s="56">
        <v>16</v>
      </c>
      <c r="B600" s="30" t="s">
        <v>50</v>
      </c>
      <c r="C600" s="42" t="s">
        <v>139</v>
      </c>
      <c r="D600" s="32" t="s">
        <v>140</v>
      </c>
      <c r="E600" s="44"/>
      <c r="F600" s="34">
        <v>4802551.7300000004</v>
      </c>
      <c r="G600" s="35"/>
      <c r="H600" s="36"/>
      <c r="I600" s="35"/>
      <c r="J600" s="37">
        <f t="shared" ref="J600:J627" si="32">F600-H600</f>
        <v>4802551.7300000004</v>
      </c>
      <c r="K600" s="38"/>
      <c r="L600" s="39"/>
      <c r="M600" s="40"/>
      <c r="N600" s="40"/>
      <c r="O600" s="41"/>
    </row>
    <row r="601" spans="1:15" s="7" customFormat="1" ht="18.75">
      <c r="A601" s="158"/>
      <c r="B601" s="127"/>
      <c r="C601" s="42" t="s">
        <v>142</v>
      </c>
      <c r="D601" s="32" t="s">
        <v>120</v>
      </c>
      <c r="E601" s="44"/>
      <c r="F601" s="34">
        <v>7465256.1973710014</v>
      </c>
      <c r="G601" s="35" t="s">
        <v>579</v>
      </c>
      <c r="H601" s="36">
        <v>0</v>
      </c>
      <c r="I601" s="35"/>
      <c r="J601" s="37">
        <f t="shared" si="32"/>
        <v>7465256.1973710014</v>
      </c>
      <c r="K601" s="37">
        <f t="shared" ref="K601:K628" si="33">J600+K600</f>
        <v>4802551.7300000004</v>
      </c>
      <c r="L601" s="39"/>
      <c r="M601" s="40"/>
      <c r="N601" s="40"/>
      <c r="O601" s="41"/>
    </row>
    <row r="602" spans="1:15" s="7" customFormat="1" ht="18.75">
      <c r="A602" s="56"/>
      <c r="B602" s="30"/>
      <c r="C602" s="42" t="s">
        <v>145</v>
      </c>
      <c r="D602" s="32" t="s">
        <v>875</v>
      </c>
      <c r="E602" s="44"/>
      <c r="F602" s="34">
        <v>21452653.68</v>
      </c>
      <c r="G602" s="35" t="s">
        <v>652</v>
      </c>
      <c r="H602" s="36">
        <v>7000000</v>
      </c>
      <c r="I602" s="35" t="s">
        <v>876</v>
      </c>
      <c r="J602" s="37">
        <f t="shared" si="32"/>
        <v>14452653.68</v>
      </c>
      <c r="K602" s="37">
        <f t="shared" si="33"/>
        <v>12267807.927371003</v>
      </c>
      <c r="L602" s="39"/>
      <c r="M602" s="40"/>
      <c r="N602" s="40"/>
      <c r="O602" s="41"/>
    </row>
    <row r="603" spans="1:15" s="7" customFormat="1" ht="18.75">
      <c r="A603" s="56"/>
      <c r="B603" s="30"/>
      <c r="C603" s="42" t="s">
        <v>148</v>
      </c>
      <c r="D603" s="32" t="s">
        <v>80</v>
      </c>
      <c r="E603" s="44"/>
      <c r="F603" s="34">
        <v>15243733.702973999</v>
      </c>
      <c r="G603" s="35" t="s">
        <v>769</v>
      </c>
      <c r="H603" s="36">
        <v>15000000</v>
      </c>
      <c r="I603" s="35" t="s">
        <v>366</v>
      </c>
      <c r="J603" s="37">
        <f t="shared" si="32"/>
        <v>243733.70297399908</v>
      </c>
      <c r="K603" s="37">
        <f t="shared" si="33"/>
        <v>26720461.607371002</v>
      </c>
      <c r="L603" s="39"/>
      <c r="M603" s="40"/>
      <c r="N603" s="40"/>
      <c r="O603" s="41"/>
    </row>
    <row r="604" spans="1:15" s="7" customFormat="1" ht="18.75">
      <c r="A604" s="56"/>
      <c r="B604" s="30"/>
      <c r="C604" s="42" t="s">
        <v>151</v>
      </c>
      <c r="D604" s="32" t="s">
        <v>124</v>
      </c>
      <c r="E604" s="44"/>
      <c r="F604" s="34">
        <v>15692070.810087001</v>
      </c>
      <c r="G604" s="35" t="s">
        <v>152</v>
      </c>
      <c r="H604" s="36">
        <v>15000000</v>
      </c>
      <c r="I604" s="35" t="s">
        <v>877</v>
      </c>
      <c r="J604" s="37">
        <f t="shared" si="32"/>
        <v>692070.81008700095</v>
      </c>
      <c r="K604" s="37">
        <f t="shared" si="33"/>
        <v>26964195.310345002</v>
      </c>
      <c r="L604" s="39"/>
      <c r="M604" s="40"/>
      <c r="N604" s="40"/>
      <c r="O604" s="41"/>
    </row>
    <row r="605" spans="1:15" s="7" customFormat="1" ht="18.75">
      <c r="A605" s="56"/>
      <c r="B605" s="30"/>
      <c r="C605" s="42" t="s">
        <v>154</v>
      </c>
      <c r="D605" s="32" t="s">
        <v>155</v>
      </c>
      <c r="E605" s="44"/>
      <c r="F605" s="34">
        <v>16047127.967597999</v>
      </c>
      <c r="G605" s="35" t="s">
        <v>156</v>
      </c>
      <c r="H605" s="36">
        <v>22000000</v>
      </c>
      <c r="I605" s="35" t="s">
        <v>878</v>
      </c>
      <c r="J605" s="37">
        <f t="shared" si="32"/>
        <v>-5952872.0324020013</v>
      </c>
      <c r="K605" s="37">
        <f t="shared" si="33"/>
        <v>27656266.120432004</v>
      </c>
      <c r="L605" s="39"/>
      <c r="M605" s="40"/>
      <c r="N605" s="40"/>
      <c r="O605" s="41"/>
    </row>
    <row r="606" spans="1:15" s="7" customFormat="1" ht="18.75">
      <c r="A606" s="56"/>
      <c r="B606" s="30"/>
      <c r="C606" s="42" t="s">
        <v>158</v>
      </c>
      <c r="D606" s="32" t="s">
        <v>159</v>
      </c>
      <c r="E606" s="44"/>
      <c r="F606" s="34">
        <v>15901091.071771499</v>
      </c>
      <c r="G606" s="35" t="s">
        <v>160</v>
      </c>
      <c r="H606" s="36">
        <v>37604485.159999996</v>
      </c>
      <c r="I606" s="35" t="s">
        <v>879</v>
      </c>
      <c r="J606" s="37">
        <f t="shared" si="32"/>
        <v>-21703394.088228498</v>
      </c>
      <c r="K606" s="37">
        <f t="shared" si="33"/>
        <v>21703394.088030003</v>
      </c>
      <c r="L606" s="39"/>
      <c r="M606" s="40"/>
      <c r="N606" s="40"/>
      <c r="O606" s="41"/>
    </row>
    <row r="607" spans="1:15" s="7" customFormat="1" ht="18.75">
      <c r="A607" s="56"/>
      <c r="B607" s="30"/>
      <c r="C607" s="42" t="s">
        <v>162</v>
      </c>
      <c r="D607" s="32" t="s">
        <v>163</v>
      </c>
      <c r="E607" s="44"/>
      <c r="F607" s="34">
        <v>8871630.6752640009</v>
      </c>
      <c r="G607" s="35" t="s">
        <v>164</v>
      </c>
      <c r="H607" s="36">
        <v>8871630.6752640009</v>
      </c>
      <c r="I607" s="35" t="s">
        <v>269</v>
      </c>
      <c r="J607" s="37">
        <f t="shared" si="32"/>
        <v>0</v>
      </c>
      <c r="K607" s="37">
        <f t="shared" si="33"/>
        <v>-1.9849464297294617E-4</v>
      </c>
      <c r="L607" s="39"/>
      <c r="M607" s="40"/>
      <c r="N607" s="40"/>
      <c r="O607" s="41"/>
    </row>
    <row r="608" spans="1:15" s="7" customFormat="1" ht="18.75">
      <c r="A608" s="56"/>
      <c r="B608" s="30"/>
      <c r="C608" s="42" t="s">
        <v>166</v>
      </c>
      <c r="D608" s="32" t="s">
        <v>167</v>
      </c>
      <c r="E608" s="44"/>
      <c r="F608" s="34">
        <v>14249738.593534501</v>
      </c>
      <c r="G608" s="35" t="s">
        <v>168</v>
      </c>
      <c r="H608" s="159">
        <v>14249738.59</v>
      </c>
      <c r="I608" s="7" t="s">
        <v>880</v>
      </c>
      <c r="J608" s="37">
        <f t="shared" si="32"/>
        <v>3.5345014184713364E-3</v>
      </c>
      <c r="K608" s="37">
        <f t="shared" si="33"/>
        <v>-1.9849464297294617E-4</v>
      </c>
      <c r="L608" s="39"/>
      <c r="M608" s="40"/>
      <c r="N608" s="40"/>
      <c r="O608" s="41"/>
    </row>
    <row r="609" spans="1:15" s="7" customFormat="1" ht="18.75">
      <c r="A609" s="56"/>
      <c r="B609" s="30"/>
      <c r="C609" s="42" t="s">
        <v>170</v>
      </c>
      <c r="D609" s="32" t="s">
        <v>171</v>
      </c>
      <c r="E609" s="44"/>
      <c r="F609" s="34">
        <v>13333892.315583002</v>
      </c>
      <c r="G609" s="35" t="s">
        <v>172</v>
      </c>
      <c r="H609" s="36">
        <v>13333892.315583002</v>
      </c>
      <c r="I609" s="35" t="s">
        <v>881</v>
      </c>
      <c r="J609" s="37">
        <f t="shared" si="32"/>
        <v>0</v>
      </c>
      <c r="K609" s="37">
        <f t="shared" si="33"/>
        <v>3.3360067754983902E-3</v>
      </c>
      <c r="L609" s="39"/>
      <c r="M609" s="40"/>
      <c r="N609" s="40"/>
      <c r="O609" s="41"/>
    </row>
    <row r="610" spans="1:15" s="7" customFormat="1" ht="18.75">
      <c r="A610" s="56"/>
      <c r="B610" s="30"/>
      <c r="C610" s="42" t="s">
        <v>174</v>
      </c>
      <c r="D610" s="32" t="s">
        <v>175</v>
      </c>
      <c r="E610" s="44"/>
      <c r="F610" s="34">
        <v>15889987.670193</v>
      </c>
      <c r="G610" s="35" t="s">
        <v>176</v>
      </c>
      <c r="H610" s="36">
        <v>15889987.67</v>
      </c>
      <c r="I610" s="35" t="s">
        <v>882</v>
      </c>
      <c r="J610" s="37">
        <f t="shared" si="32"/>
        <v>1.9299983978271484E-4</v>
      </c>
      <c r="K610" s="37">
        <f t="shared" si="33"/>
        <v>3.3360067754983902E-3</v>
      </c>
      <c r="L610" s="39"/>
      <c r="M610" s="40"/>
      <c r="N610" s="40"/>
      <c r="O610" s="41"/>
    </row>
    <row r="611" spans="1:15" s="7" customFormat="1" ht="18.75">
      <c r="A611" s="56"/>
      <c r="B611" s="30"/>
      <c r="C611" s="42" t="s">
        <v>178</v>
      </c>
      <c r="D611" s="32" t="s">
        <v>111</v>
      </c>
      <c r="E611" s="44"/>
      <c r="F611" s="34">
        <v>16491091.401161999</v>
      </c>
      <c r="G611" s="35" t="s">
        <v>179</v>
      </c>
      <c r="H611" s="36">
        <v>16491091.401161999</v>
      </c>
      <c r="I611" s="35" t="s">
        <v>593</v>
      </c>
      <c r="J611" s="37">
        <f t="shared" si="32"/>
        <v>0</v>
      </c>
      <c r="K611" s="37">
        <f t="shared" si="33"/>
        <v>3.529006615281105E-3</v>
      </c>
      <c r="L611" s="39"/>
      <c r="M611" s="40"/>
      <c r="N611" s="40"/>
      <c r="O611" s="41"/>
    </row>
    <row r="612" spans="1:15" s="7" customFormat="1" ht="18.75">
      <c r="A612" s="56"/>
      <c r="B612" s="30"/>
      <c r="C612" s="42" t="s">
        <v>181</v>
      </c>
      <c r="D612" s="32" t="s">
        <v>182</v>
      </c>
      <c r="E612" s="44"/>
      <c r="F612" s="34">
        <v>17845859.478478502</v>
      </c>
      <c r="G612" s="35" t="s">
        <v>183</v>
      </c>
      <c r="H612" s="36">
        <v>17845859.48</v>
      </c>
      <c r="I612" s="35" t="s">
        <v>659</v>
      </c>
      <c r="J612" s="37">
        <f t="shared" si="32"/>
        <v>-1.5214979648590088E-3</v>
      </c>
      <c r="K612" s="37">
        <f t="shared" si="33"/>
        <v>3.529006615281105E-3</v>
      </c>
      <c r="L612" s="39"/>
      <c r="M612" s="40"/>
      <c r="N612" s="40"/>
      <c r="O612" s="41"/>
    </row>
    <row r="613" spans="1:15" s="7" customFormat="1" ht="18.75">
      <c r="A613" s="56"/>
      <c r="B613" s="30"/>
      <c r="C613" s="42" t="s">
        <v>185</v>
      </c>
      <c r="D613" s="32" t="s">
        <v>186</v>
      </c>
      <c r="E613" s="44"/>
      <c r="F613" s="34">
        <v>16354582.641767999</v>
      </c>
      <c r="G613" s="35" t="s">
        <v>187</v>
      </c>
      <c r="H613" s="36">
        <v>16354582.640000001</v>
      </c>
      <c r="I613" s="35" t="s">
        <v>660</v>
      </c>
      <c r="J613" s="37">
        <f t="shared" si="32"/>
        <v>1.7679985612630844E-3</v>
      </c>
      <c r="K613" s="37">
        <f t="shared" si="33"/>
        <v>2.0075086504220963E-3</v>
      </c>
      <c r="L613" s="39"/>
      <c r="M613" s="40"/>
      <c r="N613" s="40"/>
      <c r="O613" s="41"/>
    </row>
    <row r="614" spans="1:15" s="7" customFormat="1" ht="18.75">
      <c r="A614" s="56"/>
      <c r="B614" s="30"/>
      <c r="C614" s="42" t="s">
        <v>189</v>
      </c>
      <c r="D614" s="32" t="s">
        <v>192</v>
      </c>
      <c r="E614" s="44"/>
      <c r="F614" s="34">
        <v>15318735.460000001</v>
      </c>
      <c r="G614" s="35" t="s">
        <v>377</v>
      </c>
      <c r="H614" s="36">
        <v>15318735.460000001</v>
      </c>
      <c r="I614" s="35" t="s">
        <v>282</v>
      </c>
      <c r="J614" s="37">
        <f t="shared" si="32"/>
        <v>0</v>
      </c>
      <c r="K614" s="37">
        <f t="shared" si="33"/>
        <v>3.7755072116851807E-3</v>
      </c>
      <c r="L614" s="39"/>
      <c r="M614" s="40"/>
      <c r="N614" s="40"/>
      <c r="O614" s="41"/>
    </row>
    <row r="615" spans="1:15" s="7" customFormat="1" ht="18.75">
      <c r="A615" s="56"/>
      <c r="B615" s="30"/>
      <c r="C615" s="42" t="s">
        <v>191</v>
      </c>
      <c r="D615" s="32" t="s">
        <v>196</v>
      </c>
      <c r="E615" s="44">
        <v>43986</v>
      </c>
      <c r="F615" s="34">
        <v>21175101.794915501</v>
      </c>
      <c r="G615" s="35" t="s">
        <v>193</v>
      </c>
      <c r="H615" s="36">
        <v>21175101.794915501</v>
      </c>
      <c r="I615" s="35" t="s">
        <v>883</v>
      </c>
      <c r="J615" s="37">
        <f t="shared" si="32"/>
        <v>0</v>
      </c>
      <c r="K615" s="37">
        <f t="shared" si="33"/>
        <v>3.7755072116851807E-3</v>
      </c>
      <c r="L615" s="39"/>
      <c r="M615" s="40"/>
      <c r="N615" s="40"/>
      <c r="O615" s="41"/>
    </row>
    <row r="616" spans="1:15" s="7" customFormat="1" ht="18.75">
      <c r="A616" s="56"/>
      <c r="B616" s="30"/>
      <c r="C616" s="42" t="s">
        <v>195</v>
      </c>
      <c r="D616" s="32" t="s">
        <v>41</v>
      </c>
      <c r="E616" s="44" t="s">
        <v>197</v>
      </c>
      <c r="F616" s="34">
        <v>13725282.629191499</v>
      </c>
      <c r="G616" s="35" t="s">
        <v>198</v>
      </c>
      <c r="H616" s="36">
        <v>13725282.629191499</v>
      </c>
      <c r="I616" s="35" t="s">
        <v>884</v>
      </c>
      <c r="J616" s="37">
        <f t="shared" si="32"/>
        <v>0</v>
      </c>
      <c r="K616" s="37">
        <f t="shared" si="33"/>
        <v>3.7755072116851807E-3</v>
      </c>
      <c r="L616" s="39"/>
      <c r="M616" s="40"/>
      <c r="N616" s="40"/>
      <c r="O616" s="41"/>
    </row>
    <row r="617" spans="1:15" s="7" customFormat="1" ht="18.75">
      <c r="A617" s="56"/>
      <c r="B617" s="30"/>
      <c r="C617" s="42" t="s">
        <v>199</v>
      </c>
      <c r="D617" s="32" t="s">
        <v>359</v>
      </c>
      <c r="E617" s="44">
        <v>44049</v>
      </c>
      <c r="F617" s="34">
        <v>12232450.69142</v>
      </c>
      <c r="G617" s="35">
        <v>44015</v>
      </c>
      <c r="H617" s="36">
        <v>12232450.689999999</v>
      </c>
      <c r="I617" s="35" t="s">
        <v>662</v>
      </c>
      <c r="J617" s="37">
        <f t="shared" si="32"/>
        <v>1.4200005680322647E-3</v>
      </c>
      <c r="K617" s="37">
        <f t="shared" si="33"/>
        <v>3.7755072116851807E-3</v>
      </c>
      <c r="L617" s="39"/>
      <c r="M617" s="40"/>
      <c r="N617" s="40"/>
      <c r="O617" s="41"/>
    </row>
    <row r="618" spans="1:15" s="7" customFormat="1" ht="18.75">
      <c r="A618" s="56"/>
      <c r="B618" s="30"/>
      <c r="C618" s="42" t="s">
        <v>201</v>
      </c>
      <c r="D618" s="32" t="s">
        <v>202</v>
      </c>
      <c r="E618" s="44" t="s">
        <v>449</v>
      </c>
      <c r="F618" s="34">
        <v>16709485.039140001</v>
      </c>
      <c r="G618" s="35" t="s">
        <v>885</v>
      </c>
      <c r="H618" s="36">
        <v>16709485.039999999</v>
      </c>
      <c r="I618" s="35" t="s">
        <v>880</v>
      </c>
      <c r="J618" s="37">
        <f t="shared" si="32"/>
        <v>-8.5999816656112671E-4</v>
      </c>
      <c r="K618" s="37">
        <f t="shared" si="33"/>
        <v>5.1955077797174454E-3</v>
      </c>
      <c r="L618" s="39"/>
      <c r="M618" s="40"/>
      <c r="N618" s="40"/>
      <c r="O618" s="41"/>
    </row>
    <row r="619" spans="1:15" s="7" customFormat="1" ht="18.75">
      <c r="A619" s="56"/>
      <c r="B619" s="30"/>
      <c r="C619" s="42" t="s">
        <v>203</v>
      </c>
      <c r="D619" s="32" t="s">
        <v>204</v>
      </c>
      <c r="E619" s="44">
        <v>43990</v>
      </c>
      <c r="F619" s="34">
        <v>16320112.59</v>
      </c>
      <c r="G619" s="35" t="s">
        <v>290</v>
      </c>
      <c r="H619" s="36">
        <v>16320112.59</v>
      </c>
      <c r="I619" s="35" t="s">
        <v>886</v>
      </c>
      <c r="J619" s="37">
        <f t="shared" si="32"/>
        <v>0</v>
      </c>
      <c r="K619" s="37">
        <f t="shared" si="33"/>
        <v>4.3355096131563187E-3</v>
      </c>
      <c r="L619" s="39"/>
      <c r="M619" s="40"/>
      <c r="N619" s="40"/>
      <c r="O619" s="41"/>
    </row>
    <row r="620" spans="1:15" s="7" customFormat="1" ht="18.75">
      <c r="A620" s="56"/>
      <c r="B620" s="30"/>
      <c r="C620" s="42" t="s">
        <v>207</v>
      </c>
      <c r="D620" s="32" t="s">
        <v>208</v>
      </c>
      <c r="E620" s="44" t="s">
        <v>292</v>
      </c>
      <c r="F620" s="34">
        <v>12202135.684139999</v>
      </c>
      <c r="G620" s="35" t="s">
        <v>293</v>
      </c>
      <c r="H620" s="36">
        <v>12202135.68</v>
      </c>
      <c r="I620" s="35" t="s">
        <v>887</v>
      </c>
      <c r="J620" s="37">
        <f t="shared" si="32"/>
        <v>4.1399989277124405E-3</v>
      </c>
      <c r="K620" s="37">
        <f t="shared" si="33"/>
        <v>4.3355096131563187E-3</v>
      </c>
      <c r="L620" s="39"/>
      <c r="M620" s="40"/>
      <c r="N620" s="40"/>
      <c r="O620" s="41"/>
    </row>
    <row r="621" spans="1:15" s="7" customFormat="1" ht="18.75">
      <c r="A621" s="56"/>
      <c r="B621" s="30"/>
      <c r="C621" s="42" t="s">
        <v>212</v>
      </c>
      <c r="D621" s="32" t="s">
        <v>52</v>
      </c>
      <c r="E621" s="44">
        <v>44084</v>
      </c>
      <c r="F621" s="34">
        <v>23416747.43</v>
      </c>
      <c r="G621" s="35" t="s">
        <v>213</v>
      </c>
      <c r="H621" s="36">
        <v>23416747.43</v>
      </c>
      <c r="I621" s="35" t="s">
        <v>888</v>
      </c>
      <c r="J621" s="37">
        <f t="shared" si="32"/>
        <v>0</v>
      </c>
      <c r="K621" s="37">
        <f t="shared" si="33"/>
        <v>8.4755085408687592E-3</v>
      </c>
      <c r="L621" s="39"/>
      <c r="M621" s="40"/>
      <c r="N621" s="40"/>
      <c r="O621" s="41"/>
    </row>
    <row r="622" spans="1:15" s="7" customFormat="1" ht="18.75">
      <c r="A622" s="56"/>
      <c r="B622" s="30"/>
      <c r="C622" s="42" t="s">
        <v>214</v>
      </c>
      <c r="D622" s="32" t="s">
        <v>215</v>
      </c>
      <c r="E622" s="44">
        <v>43962</v>
      </c>
      <c r="F622" s="34">
        <v>23547808.042358998</v>
      </c>
      <c r="G622" s="35" t="s">
        <v>216</v>
      </c>
      <c r="H622" s="36">
        <v>23547808.039999999</v>
      </c>
      <c r="I622" s="35" t="s">
        <v>889</v>
      </c>
      <c r="J622" s="37">
        <f t="shared" si="32"/>
        <v>2.358999103307724E-3</v>
      </c>
      <c r="K622" s="37">
        <f t="shared" si="33"/>
        <v>8.4755085408687592E-3</v>
      </c>
      <c r="L622" s="39">
        <v>16274065.09</v>
      </c>
      <c r="M622" s="40" t="s">
        <v>217</v>
      </c>
      <c r="N622" s="40"/>
      <c r="O622" s="41"/>
    </row>
    <row r="623" spans="1:15" s="7" customFormat="1" ht="18.75">
      <c r="A623" s="56"/>
      <c r="B623" s="30"/>
      <c r="C623" s="42" t="s">
        <v>218</v>
      </c>
      <c r="D623" s="32" t="s">
        <v>65</v>
      </c>
      <c r="E623" s="44">
        <v>44024</v>
      </c>
      <c r="F623" s="34">
        <v>16274065.09</v>
      </c>
      <c r="G623" s="35">
        <v>44531</v>
      </c>
      <c r="H623" s="36">
        <v>16274065.09</v>
      </c>
      <c r="I623" s="35" t="s">
        <v>217</v>
      </c>
      <c r="J623" s="37">
        <f t="shared" si="32"/>
        <v>0</v>
      </c>
      <c r="K623" s="37">
        <f t="shared" si="33"/>
        <v>1.0834507644176483E-2</v>
      </c>
      <c r="L623" s="39"/>
      <c r="M623" s="40"/>
      <c r="N623" s="40"/>
      <c r="O623" s="41"/>
    </row>
    <row r="624" spans="1:15" s="7" customFormat="1" ht="18.75">
      <c r="A624" s="56"/>
      <c r="B624" s="30"/>
      <c r="C624" s="42" t="s">
        <v>219</v>
      </c>
      <c r="D624" s="32" t="s">
        <v>71</v>
      </c>
      <c r="E624" s="44">
        <v>44409</v>
      </c>
      <c r="F624" s="34">
        <v>18798662.872081246</v>
      </c>
      <c r="G624" s="35" t="s">
        <v>220</v>
      </c>
      <c r="H624" s="36">
        <v>18798662.872081246</v>
      </c>
      <c r="I624" s="35" t="s">
        <v>890</v>
      </c>
      <c r="J624" s="37">
        <f t="shared" si="32"/>
        <v>0</v>
      </c>
      <c r="K624" s="37">
        <f t="shared" si="33"/>
        <v>1.0834507644176483E-2</v>
      </c>
      <c r="L624" s="39"/>
      <c r="M624" s="40"/>
      <c r="N624" s="40"/>
      <c r="O624" s="41"/>
    </row>
    <row r="625" spans="1:15" s="7" customFormat="1" ht="18.75">
      <c r="A625" s="56"/>
      <c r="B625" s="30"/>
      <c r="C625" s="42" t="s">
        <v>221</v>
      </c>
      <c r="D625" s="32" t="s">
        <v>26</v>
      </c>
      <c r="E625" s="44">
        <v>44471</v>
      </c>
      <c r="F625" s="34">
        <v>27831322.608099997</v>
      </c>
      <c r="G625" s="35" t="s">
        <v>27</v>
      </c>
      <c r="H625" s="36">
        <v>27831322.609999999</v>
      </c>
      <c r="I625" s="35">
        <v>44532</v>
      </c>
      <c r="J625" s="37">
        <f t="shared" si="32"/>
        <v>-1.9000023603439331E-3</v>
      </c>
      <c r="K625" s="37">
        <f t="shared" si="33"/>
        <v>1.0834507644176483E-2</v>
      </c>
      <c r="L625" s="39"/>
      <c r="M625" s="40"/>
      <c r="N625" s="40"/>
      <c r="O625" s="41"/>
    </row>
    <row r="626" spans="1:15" s="7" customFormat="1" ht="18.75">
      <c r="A626" s="56"/>
      <c r="B626" s="30"/>
      <c r="C626" s="42" t="s">
        <v>222</v>
      </c>
      <c r="D626" s="32" t="s">
        <v>223</v>
      </c>
      <c r="E626" s="44">
        <v>44472</v>
      </c>
      <c r="F626" s="34">
        <v>17256318.0898645</v>
      </c>
      <c r="G626" s="35" t="s">
        <v>391</v>
      </c>
      <c r="H626" s="36">
        <v>17256318.09</v>
      </c>
      <c r="I626" s="35" t="s">
        <v>48</v>
      </c>
      <c r="J626" s="37">
        <f t="shared" si="32"/>
        <v>-1.354999840259552E-4</v>
      </c>
      <c r="K626" s="37">
        <f t="shared" si="33"/>
        <v>8.93450528383255E-3</v>
      </c>
      <c r="L626" s="39"/>
      <c r="M626" s="40"/>
      <c r="N626" s="40"/>
      <c r="O626" s="41"/>
    </row>
    <row r="627" spans="1:15" s="7" customFormat="1" ht="18.75">
      <c r="A627" s="56"/>
      <c r="B627" s="30"/>
      <c r="C627" s="42" t="s">
        <v>349</v>
      </c>
      <c r="D627" s="32" t="s">
        <v>367</v>
      </c>
      <c r="E627" s="44">
        <v>44381</v>
      </c>
      <c r="F627" s="34">
        <v>26406786.079999998</v>
      </c>
      <c r="G627" s="35" t="s">
        <v>351</v>
      </c>
      <c r="H627" s="36">
        <v>26406786.079999998</v>
      </c>
      <c r="I627" s="35" t="s">
        <v>891</v>
      </c>
      <c r="J627" s="37">
        <f t="shared" si="32"/>
        <v>0</v>
      </c>
      <c r="K627" s="37">
        <f t="shared" si="33"/>
        <v>8.7990052998065948E-3</v>
      </c>
      <c r="L627" s="39"/>
      <c r="M627" s="40"/>
      <c r="N627" s="40"/>
      <c r="O627" s="41"/>
    </row>
    <row r="628" spans="1:15" s="7" customFormat="1" ht="18.75">
      <c r="A628" s="56"/>
      <c r="B628" s="30" t="s">
        <v>892</v>
      </c>
      <c r="C628" s="31"/>
      <c r="D628" s="32"/>
      <c r="E628" s="44"/>
      <c r="F628" s="34"/>
      <c r="G628" s="35"/>
      <c r="H628" s="36"/>
      <c r="I628" s="35"/>
      <c r="J628" s="37"/>
      <c r="K628" s="38">
        <f t="shared" si="33"/>
        <v>8.7990052998065948E-3</v>
      </c>
      <c r="L628" s="39"/>
      <c r="M628" s="40"/>
      <c r="N628" s="40"/>
      <c r="O628" s="41"/>
    </row>
    <row r="629" spans="1:15" s="7" customFormat="1" ht="18.75">
      <c r="A629" s="56"/>
      <c r="B629" s="46"/>
      <c r="C629" s="31"/>
      <c r="D629" s="32"/>
      <c r="E629" s="44"/>
      <c r="F629" s="34"/>
      <c r="G629" s="35"/>
      <c r="H629" s="36"/>
      <c r="I629" s="35"/>
      <c r="J629" s="37"/>
      <c r="K629" s="38"/>
      <c r="L629" s="39"/>
      <c r="M629" s="40"/>
      <c r="N629" s="40"/>
      <c r="O629" s="41"/>
    </row>
    <row r="630" spans="1:15" s="7" customFormat="1" ht="18.75">
      <c r="A630" s="56">
        <v>17</v>
      </c>
      <c r="B630" s="46" t="s">
        <v>51</v>
      </c>
      <c r="C630" s="42" t="s">
        <v>151</v>
      </c>
      <c r="D630" s="51" t="s">
        <v>140</v>
      </c>
      <c r="E630" s="44"/>
      <c r="F630" s="34">
        <v>42918446.704769999</v>
      </c>
      <c r="G630" s="35" t="s">
        <v>152</v>
      </c>
      <c r="H630" s="47">
        <f>7500000+15000000</f>
        <v>22500000</v>
      </c>
      <c r="I630" s="35" t="s">
        <v>893</v>
      </c>
      <c r="J630" s="37">
        <f t="shared" ref="J630:J647" si="34">F630-H630</f>
        <v>20418446.704769999</v>
      </c>
      <c r="K630" s="38">
        <v>0</v>
      </c>
      <c r="L630" s="39"/>
      <c r="M630" s="40"/>
      <c r="N630" s="40"/>
      <c r="O630" s="41"/>
    </row>
    <row r="631" spans="1:15" s="7" customFormat="1" ht="18.75">
      <c r="A631" s="56"/>
      <c r="B631" s="46"/>
      <c r="C631" s="31" t="s">
        <v>154</v>
      </c>
      <c r="D631" s="51" t="s">
        <v>120</v>
      </c>
      <c r="E631" s="44"/>
      <c r="F631" s="34">
        <v>78022218.654450014</v>
      </c>
      <c r="G631" s="35" t="s">
        <v>156</v>
      </c>
      <c r="H631" s="47">
        <f>45000000+15000000</f>
        <v>60000000</v>
      </c>
      <c r="I631" s="35" t="s">
        <v>894</v>
      </c>
      <c r="J631" s="37">
        <f t="shared" si="34"/>
        <v>18022218.654450014</v>
      </c>
      <c r="K631" s="37">
        <f>J630+K630</f>
        <v>20418446.704769999</v>
      </c>
      <c r="L631" s="39"/>
      <c r="M631" s="40"/>
      <c r="N631" s="40"/>
      <c r="O631" s="41"/>
    </row>
    <row r="632" spans="1:15" s="7" customFormat="1" ht="18.75">
      <c r="A632" s="56"/>
      <c r="B632" s="46"/>
      <c r="C632" s="31" t="s">
        <v>158</v>
      </c>
      <c r="D632" s="160" t="s">
        <v>146</v>
      </c>
      <c r="E632" s="44"/>
      <c r="F632" s="34">
        <v>61048735.621649995</v>
      </c>
      <c r="G632" s="35" t="s">
        <v>160</v>
      </c>
      <c r="H632" s="47">
        <v>45000000</v>
      </c>
      <c r="I632" s="35" t="s">
        <v>895</v>
      </c>
      <c r="J632" s="37">
        <f t="shared" si="34"/>
        <v>16048735.621649995</v>
      </c>
      <c r="K632" s="37">
        <f>J631+K631</f>
        <v>38440665.359220013</v>
      </c>
      <c r="L632" s="39"/>
      <c r="M632" s="40"/>
      <c r="N632" s="40"/>
      <c r="O632" s="41"/>
    </row>
    <row r="633" spans="1:15" s="7" customFormat="1" ht="18.75">
      <c r="A633" s="56"/>
      <c r="B633" s="46"/>
      <c r="C633" s="31" t="s">
        <v>162</v>
      </c>
      <c r="D633" s="160" t="s">
        <v>80</v>
      </c>
      <c r="E633" s="44"/>
      <c r="F633" s="34">
        <v>61715866.746239997</v>
      </c>
      <c r="G633" s="35" t="s">
        <v>164</v>
      </c>
      <c r="H633" s="47">
        <v>30000000</v>
      </c>
      <c r="I633" s="35" t="s">
        <v>839</v>
      </c>
      <c r="J633" s="37">
        <f t="shared" si="34"/>
        <v>31715866.746239997</v>
      </c>
      <c r="K633" s="37">
        <f t="shared" ref="K633:K653" si="35">J632+K632</f>
        <v>54489400.980870008</v>
      </c>
      <c r="L633" s="39"/>
      <c r="M633" s="40"/>
      <c r="N633" s="40"/>
      <c r="O633" s="41"/>
    </row>
    <row r="634" spans="1:15" s="7" customFormat="1" ht="18.75">
      <c r="A634" s="56"/>
      <c r="B634" s="46"/>
      <c r="C634" s="31" t="s">
        <v>166</v>
      </c>
      <c r="D634" s="160" t="s">
        <v>124</v>
      </c>
      <c r="E634" s="44"/>
      <c r="F634" s="34">
        <v>68546408.303519994</v>
      </c>
      <c r="G634" s="35" t="s">
        <v>168</v>
      </c>
      <c r="H634" s="47">
        <f>30000000+20000000+10000000</f>
        <v>60000000</v>
      </c>
      <c r="I634" s="35" t="s">
        <v>324</v>
      </c>
      <c r="J634" s="37">
        <f t="shared" si="34"/>
        <v>8546408.303519994</v>
      </c>
      <c r="K634" s="37">
        <f t="shared" si="35"/>
        <v>86205267.727109998</v>
      </c>
      <c r="L634" s="39"/>
      <c r="M634" s="40"/>
      <c r="N634" s="40"/>
      <c r="O634" s="41"/>
    </row>
    <row r="635" spans="1:15" s="7" customFormat="1" ht="18.75">
      <c r="A635" s="56"/>
      <c r="B635" s="46"/>
      <c r="C635" s="31" t="s">
        <v>170</v>
      </c>
      <c r="D635" s="160" t="s">
        <v>155</v>
      </c>
      <c r="E635" s="44"/>
      <c r="F635" s="34">
        <v>73568038.360950008</v>
      </c>
      <c r="G635" s="35" t="s">
        <v>172</v>
      </c>
      <c r="H635" s="47">
        <v>50000000</v>
      </c>
      <c r="I635" s="35" t="s">
        <v>896</v>
      </c>
      <c r="J635" s="37">
        <f t="shared" si="34"/>
        <v>23568038.360950008</v>
      </c>
      <c r="K635" s="37">
        <f t="shared" si="35"/>
        <v>94751676.030629992</v>
      </c>
      <c r="L635" s="39"/>
      <c r="M635" s="40"/>
      <c r="N635" s="40"/>
      <c r="O635" s="41"/>
    </row>
    <row r="636" spans="1:15" s="7" customFormat="1" ht="18.75">
      <c r="A636" s="56"/>
      <c r="B636" s="46"/>
      <c r="C636" s="31" t="s">
        <v>174</v>
      </c>
      <c r="D636" s="160" t="s">
        <v>159</v>
      </c>
      <c r="E636" s="44"/>
      <c r="F636" s="34">
        <v>74013282.604800001</v>
      </c>
      <c r="G636" s="35" t="s">
        <v>176</v>
      </c>
      <c r="H636" s="47">
        <v>150000000</v>
      </c>
      <c r="I636" s="35" t="s">
        <v>897</v>
      </c>
      <c r="J636" s="37">
        <f t="shared" si="34"/>
        <v>-75986717.395199999</v>
      </c>
      <c r="K636" s="37">
        <f t="shared" si="35"/>
        <v>118319714.39158</v>
      </c>
      <c r="L636" s="39"/>
      <c r="M636" s="40"/>
      <c r="N636" s="40"/>
      <c r="O636" s="41"/>
    </row>
    <row r="637" spans="1:15" s="7" customFormat="1" ht="18.75">
      <c r="A637" s="56"/>
      <c r="B637" s="46"/>
      <c r="C637" s="31" t="s">
        <v>178</v>
      </c>
      <c r="D637" s="160" t="s">
        <v>163</v>
      </c>
      <c r="E637" s="44"/>
      <c r="F637" s="34">
        <v>81329267.802194998</v>
      </c>
      <c r="G637" s="35" t="s">
        <v>179</v>
      </c>
      <c r="H637" s="47">
        <f>9000000+31000000</f>
        <v>40000000</v>
      </c>
      <c r="I637" s="35" t="s">
        <v>898</v>
      </c>
      <c r="J637" s="37">
        <f t="shared" si="34"/>
        <v>41329267.802194998</v>
      </c>
      <c r="K637" s="37">
        <f t="shared" si="35"/>
        <v>42332996.996380001</v>
      </c>
      <c r="L637" s="39"/>
      <c r="M637" s="40"/>
      <c r="N637" s="40"/>
      <c r="O637" s="41"/>
    </row>
    <row r="638" spans="1:15" s="7" customFormat="1" ht="18.75">
      <c r="A638" s="56"/>
      <c r="B638" s="46"/>
      <c r="C638" s="31" t="s">
        <v>181</v>
      </c>
      <c r="D638" s="160" t="s">
        <v>167</v>
      </c>
      <c r="E638" s="44"/>
      <c r="F638" s="34">
        <v>95097617.228250012</v>
      </c>
      <c r="G638" s="35" t="s">
        <v>183</v>
      </c>
      <c r="H638" s="47">
        <f>50000000+50000000</f>
        <v>100000000</v>
      </c>
      <c r="I638" s="7" t="s">
        <v>899</v>
      </c>
      <c r="J638" s="37">
        <f t="shared" si="34"/>
        <v>-4902382.7717499882</v>
      </c>
      <c r="K638" s="37">
        <f t="shared" si="35"/>
        <v>83662264.798574999</v>
      </c>
      <c r="L638" s="39"/>
      <c r="M638" s="40"/>
      <c r="N638" s="40"/>
      <c r="O638" s="41"/>
    </row>
    <row r="639" spans="1:15" s="7" customFormat="1" ht="18.75">
      <c r="A639" s="56"/>
      <c r="B639" s="46"/>
      <c r="C639" s="31" t="s">
        <v>185</v>
      </c>
      <c r="D639" s="160" t="s">
        <v>163</v>
      </c>
      <c r="E639" s="44"/>
      <c r="F639" s="34">
        <v>60958554.151509002</v>
      </c>
      <c r="G639" s="35" t="s">
        <v>187</v>
      </c>
      <c r="H639" s="47">
        <f>50000000+50000000+30000000+50000000</f>
        <v>180000000</v>
      </c>
      <c r="I639" s="35" t="s">
        <v>900</v>
      </c>
      <c r="J639" s="37">
        <f t="shared" si="34"/>
        <v>-119041445.848491</v>
      </c>
      <c r="K639" s="37">
        <f t="shared" si="35"/>
        <v>78759882.026825011</v>
      </c>
      <c r="L639" s="39"/>
      <c r="M639" s="40"/>
      <c r="N639" s="40"/>
      <c r="O639" s="41"/>
    </row>
    <row r="640" spans="1:15" s="7" customFormat="1" ht="18.75">
      <c r="A640" s="56"/>
      <c r="B640" s="46"/>
      <c r="C640" s="31" t="s">
        <v>189</v>
      </c>
      <c r="D640" s="160" t="s">
        <v>175</v>
      </c>
      <c r="E640" s="44"/>
      <c r="F640" s="34">
        <v>79739806.284573734</v>
      </c>
      <c r="G640" s="35" t="s">
        <v>377</v>
      </c>
      <c r="H640" s="47">
        <v>80000000</v>
      </c>
      <c r="I640" s="35" t="s">
        <v>901</v>
      </c>
      <c r="J640" s="37">
        <f t="shared" si="34"/>
        <v>-260193.71542626619</v>
      </c>
      <c r="K640" s="37">
        <f t="shared" si="35"/>
        <v>-40281563.821665987</v>
      </c>
      <c r="L640" s="39"/>
      <c r="M640" s="40"/>
      <c r="N640" s="40"/>
      <c r="O640" s="41"/>
    </row>
    <row r="641" spans="1:15" s="7" customFormat="1" ht="18.75">
      <c r="A641" s="56"/>
      <c r="B641" s="46"/>
      <c r="C641" s="31" t="s">
        <v>191</v>
      </c>
      <c r="D641" s="160" t="s">
        <v>111</v>
      </c>
      <c r="E641" s="44">
        <v>43986</v>
      </c>
      <c r="F641" s="34">
        <v>153526382.81654048</v>
      </c>
      <c r="G641" s="35" t="s">
        <v>193</v>
      </c>
      <c r="H641" s="47">
        <v>70000000</v>
      </c>
      <c r="I641" s="35" t="s">
        <v>902</v>
      </c>
      <c r="J641" s="37">
        <f t="shared" si="34"/>
        <v>83526382.81654048</v>
      </c>
      <c r="K641" s="37">
        <f t="shared" si="35"/>
        <v>-40541757.537092254</v>
      </c>
      <c r="L641" s="39"/>
      <c r="M641" s="40"/>
      <c r="N641" s="40"/>
      <c r="O641" s="41"/>
    </row>
    <row r="642" spans="1:15" s="7" customFormat="1" ht="18.75">
      <c r="A642" s="56"/>
      <c r="B642" s="46"/>
      <c r="C642" s="31" t="s">
        <v>195</v>
      </c>
      <c r="D642" s="160" t="s">
        <v>182</v>
      </c>
      <c r="E642" s="44" t="s">
        <v>197</v>
      </c>
      <c r="F642" s="34">
        <v>106361320.9911525</v>
      </c>
      <c r="G642" s="35" t="s">
        <v>198</v>
      </c>
      <c r="H642" s="47">
        <v>80000000</v>
      </c>
      <c r="I642" s="35" t="s">
        <v>903</v>
      </c>
      <c r="J642" s="37">
        <f t="shared" si="34"/>
        <v>26361320.991152495</v>
      </c>
      <c r="K642" s="37">
        <f t="shared" si="35"/>
        <v>42984625.279448226</v>
      </c>
      <c r="L642" s="39"/>
      <c r="M642" s="40"/>
      <c r="N642" s="40"/>
      <c r="O642" s="41"/>
    </row>
    <row r="643" spans="1:15" s="7" customFormat="1" ht="18.75">
      <c r="A643" s="56"/>
      <c r="B643" s="46"/>
      <c r="C643" s="31" t="s">
        <v>199</v>
      </c>
      <c r="D643" s="160" t="s">
        <v>186</v>
      </c>
      <c r="E643" s="44">
        <v>44049</v>
      </c>
      <c r="F643" s="34">
        <v>74530583.890100002</v>
      </c>
      <c r="G643" s="35">
        <v>43897</v>
      </c>
      <c r="H643" s="47">
        <v>100000000</v>
      </c>
      <c r="I643" s="35" t="s">
        <v>288</v>
      </c>
      <c r="J643" s="37">
        <f t="shared" si="34"/>
        <v>-25469416.109899998</v>
      </c>
      <c r="K643" s="37">
        <f t="shared" si="35"/>
        <v>69345946.270600721</v>
      </c>
      <c r="L643" s="39"/>
      <c r="M643" s="40"/>
      <c r="N643" s="40"/>
      <c r="O643" s="41"/>
    </row>
    <row r="644" spans="1:15" s="7" customFormat="1" ht="18.75">
      <c r="A644" s="56"/>
      <c r="B644" s="46"/>
      <c r="C644" s="31" t="s">
        <v>201</v>
      </c>
      <c r="D644" s="160" t="s">
        <v>192</v>
      </c>
      <c r="E644" s="44" t="s">
        <v>449</v>
      </c>
      <c r="F644" s="34">
        <v>82357209.753260002</v>
      </c>
      <c r="G644" s="35">
        <v>43929</v>
      </c>
      <c r="H644" s="55">
        <v>100000000</v>
      </c>
      <c r="I644" s="7" t="s">
        <v>664</v>
      </c>
      <c r="J644" s="37">
        <f t="shared" si="34"/>
        <v>-17642790.246739998</v>
      </c>
      <c r="K644" s="37">
        <f t="shared" si="35"/>
        <v>43876530.160700724</v>
      </c>
      <c r="L644" s="39"/>
      <c r="M644" s="40"/>
      <c r="N644" s="40"/>
      <c r="O644" s="41"/>
    </row>
    <row r="645" spans="1:15" s="7" customFormat="1" ht="18.75">
      <c r="A645" s="56"/>
      <c r="B645" s="46"/>
      <c r="C645" s="31" t="s">
        <v>203</v>
      </c>
      <c r="D645" s="160" t="s">
        <v>904</v>
      </c>
      <c r="E645" s="44">
        <v>44020</v>
      </c>
      <c r="F645" s="34">
        <v>82408498.957570493</v>
      </c>
      <c r="G645" s="35" t="s">
        <v>450</v>
      </c>
      <c r="H645" s="55">
        <v>100000000</v>
      </c>
      <c r="I645" s="7" t="s">
        <v>703</v>
      </c>
      <c r="J645" s="37">
        <f t="shared" si="34"/>
        <v>-17591501.042429507</v>
      </c>
      <c r="K645" s="37">
        <f t="shared" si="35"/>
        <v>26233739.913960725</v>
      </c>
      <c r="L645" s="39"/>
      <c r="M645" s="40"/>
      <c r="N645" s="40"/>
      <c r="O645" s="41"/>
    </row>
    <row r="646" spans="1:15" s="7" customFormat="1" ht="18.75">
      <c r="A646" s="56"/>
      <c r="B646" s="46"/>
      <c r="C646" s="31" t="s">
        <v>207</v>
      </c>
      <c r="D646" s="160" t="s">
        <v>41</v>
      </c>
      <c r="E646" s="44" t="s">
        <v>209</v>
      </c>
      <c r="F646" s="34">
        <v>73669902.35552001</v>
      </c>
      <c r="G646" s="35" t="s">
        <v>210</v>
      </c>
      <c r="H646" s="55">
        <v>85000000</v>
      </c>
      <c r="I646" s="7" t="s">
        <v>905</v>
      </c>
      <c r="J646" s="37">
        <f t="shared" si="34"/>
        <v>-11330097.64447999</v>
      </c>
      <c r="K646" s="37">
        <f t="shared" si="35"/>
        <v>8642238.8715312183</v>
      </c>
      <c r="L646" s="39"/>
      <c r="M646" s="40"/>
      <c r="N646" s="40"/>
      <c r="O646" s="41"/>
    </row>
    <row r="647" spans="1:15" s="7" customFormat="1" ht="18.75">
      <c r="A647" s="56"/>
      <c r="B647" s="46"/>
      <c r="C647" s="31" t="s">
        <v>212</v>
      </c>
      <c r="D647" s="160" t="s">
        <v>359</v>
      </c>
      <c r="E647" s="44">
        <v>44084</v>
      </c>
      <c r="F647" s="34">
        <v>115630188.76779151</v>
      </c>
      <c r="G647" s="35" t="s">
        <v>213</v>
      </c>
      <c r="H647" s="55">
        <v>100000000</v>
      </c>
      <c r="I647" s="7" t="s">
        <v>297</v>
      </c>
      <c r="J647" s="37">
        <f t="shared" si="34"/>
        <v>15630188.76779151</v>
      </c>
      <c r="K647" s="37">
        <f t="shared" si="35"/>
        <v>-2687858.7729487717</v>
      </c>
      <c r="L647" s="39"/>
      <c r="M647" s="40"/>
      <c r="N647" s="40"/>
      <c r="O647" s="41"/>
    </row>
    <row r="648" spans="1:15" s="7" customFormat="1" ht="18.75">
      <c r="A648" s="56"/>
      <c r="B648" s="46"/>
      <c r="C648" s="31" t="s">
        <v>214</v>
      </c>
      <c r="D648" s="160" t="s">
        <v>202</v>
      </c>
      <c r="E648" s="44">
        <v>43962</v>
      </c>
      <c r="F648" s="34">
        <v>113837846.79649501</v>
      </c>
      <c r="G648" s="35" t="s">
        <v>216</v>
      </c>
      <c r="H648" s="55">
        <v>65000000</v>
      </c>
      <c r="I648" s="7" t="s">
        <v>348</v>
      </c>
      <c r="J648" s="37">
        <f>F648-H648</f>
        <v>48837846.796495005</v>
      </c>
      <c r="K648" s="37">
        <f t="shared" si="35"/>
        <v>12942329.994842738</v>
      </c>
      <c r="L648" s="39"/>
      <c r="M648" s="40"/>
      <c r="N648" s="40"/>
      <c r="O648" s="41"/>
    </row>
    <row r="649" spans="1:15" s="7" customFormat="1" ht="18.75">
      <c r="A649" s="56"/>
      <c r="B649" s="46"/>
      <c r="C649" s="31" t="s">
        <v>218</v>
      </c>
      <c r="D649" s="160" t="s">
        <v>204</v>
      </c>
      <c r="E649" s="44">
        <v>44024</v>
      </c>
      <c r="F649" s="34">
        <v>120780060.60818499</v>
      </c>
      <c r="G649" s="35">
        <v>44531</v>
      </c>
      <c r="H649" s="55">
        <v>30000000</v>
      </c>
      <c r="I649" s="7" t="s">
        <v>300</v>
      </c>
      <c r="J649" s="37">
        <f>F649-H649</f>
        <v>90780060.608184993</v>
      </c>
      <c r="K649" s="37">
        <f t="shared" si="35"/>
        <v>61780176.791337743</v>
      </c>
      <c r="L649" s="39"/>
      <c r="M649" s="40"/>
      <c r="N649" s="40"/>
      <c r="O649" s="41"/>
    </row>
    <row r="650" spans="1:15" s="7" customFormat="1" ht="18.75">
      <c r="A650" s="56"/>
      <c r="B650" s="46"/>
      <c r="C650" s="31" t="s">
        <v>219</v>
      </c>
      <c r="D650" s="160" t="s">
        <v>208</v>
      </c>
      <c r="E650" s="44">
        <v>44409</v>
      </c>
      <c r="F650" s="34">
        <v>123836289.7250265</v>
      </c>
      <c r="G650" s="35" t="s">
        <v>220</v>
      </c>
      <c r="H650" s="55">
        <f>20000000+25000000</f>
        <v>45000000</v>
      </c>
      <c r="I650" s="7" t="s">
        <v>300</v>
      </c>
      <c r="J650" s="37">
        <f>F650-H650</f>
        <v>78836289.725026503</v>
      </c>
      <c r="K650" s="37">
        <f t="shared" si="35"/>
        <v>152560237.39952272</v>
      </c>
      <c r="L650" s="39"/>
      <c r="M650" s="40"/>
      <c r="N650" s="40"/>
      <c r="O650" s="41"/>
    </row>
    <row r="651" spans="1:15" s="7" customFormat="1" ht="18.75">
      <c r="A651" s="56"/>
      <c r="B651" s="46"/>
      <c r="C651" s="31" t="s">
        <v>221</v>
      </c>
      <c r="D651" s="160" t="s">
        <v>52</v>
      </c>
      <c r="E651" s="44">
        <v>44471</v>
      </c>
      <c r="F651" s="34">
        <v>141675499.47766</v>
      </c>
      <c r="G651" s="35" t="s">
        <v>27</v>
      </c>
      <c r="H651" s="55"/>
      <c r="J651" s="37">
        <f>F651-H651</f>
        <v>141675499.47766</v>
      </c>
      <c r="K651" s="37">
        <f t="shared" si="35"/>
        <v>231396527.12454921</v>
      </c>
      <c r="L651" s="39"/>
      <c r="M651" s="40"/>
      <c r="N651" s="40"/>
      <c r="O651" s="41"/>
    </row>
    <row r="652" spans="1:15" s="7" customFormat="1" ht="18.75">
      <c r="A652" s="56"/>
      <c r="B652" s="46"/>
      <c r="C652" s="31" t="s">
        <v>222</v>
      </c>
      <c r="D652" s="160" t="s">
        <v>215</v>
      </c>
      <c r="E652" s="44">
        <v>44319</v>
      </c>
      <c r="F652" s="34">
        <v>131976736.77294001</v>
      </c>
      <c r="G652" s="35" t="s">
        <v>224</v>
      </c>
      <c r="H652" s="55"/>
      <c r="J652" s="37">
        <f>F652-H652</f>
        <v>131976736.77294001</v>
      </c>
      <c r="K652" s="37">
        <f t="shared" si="35"/>
        <v>373072026.60220921</v>
      </c>
      <c r="L652" s="39"/>
      <c r="M652" s="40"/>
      <c r="N652" s="40"/>
      <c r="O652" s="41"/>
    </row>
    <row r="653" spans="1:15" s="7" customFormat="1" ht="18.75">
      <c r="A653" s="56"/>
      <c r="B653" s="46" t="s">
        <v>906</v>
      </c>
      <c r="C653" s="31"/>
      <c r="D653" s="45"/>
      <c r="E653" s="44"/>
      <c r="F653" s="161"/>
      <c r="G653" s="35"/>
      <c r="H653" s="36"/>
      <c r="I653" s="35"/>
      <c r="J653" s="37"/>
      <c r="K653" s="38">
        <f t="shared" si="35"/>
        <v>505048763.37514925</v>
      </c>
      <c r="L653" s="39"/>
      <c r="M653" s="40"/>
      <c r="N653" s="40"/>
      <c r="O653" s="41"/>
    </row>
    <row r="654" spans="1:15" s="7" customFormat="1" ht="18.75">
      <c r="A654" s="56"/>
      <c r="B654" s="46"/>
      <c r="C654" s="31"/>
      <c r="D654" s="45"/>
      <c r="E654" s="44"/>
      <c r="F654" s="161"/>
      <c r="G654" s="162"/>
      <c r="H654" s="36"/>
      <c r="I654" s="35"/>
      <c r="J654" s="37"/>
      <c r="K654" s="38"/>
      <c r="L654" s="39"/>
      <c r="M654" s="40"/>
      <c r="N654" s="40"/>
      <c r="O654" s="41"/>
    </row>
    <row r="655" spans="1:15" s="7" customFormat="1" ht="18.75">
      <c r="A655" s="56">
        <v>18</v>
      </c>
      <c r="B655" s="30" t="s">
        <v>53</v>
      </c>
      <c r="C655" s="29" t="s">
        <v>501</v>
      </c>
      <c r="D655" s="32" t="s">
        <v>907</v>
      </c>
      <c r="E655" s="44"/>
      <c r="F655" s="163">
        <v>15110607.75</v>
      </c>
      <c r="G655" s="162"/>
      <c r="H655" s="87"/>
      <c r="I655" s="35"/>
      <c r="J655" s="164">
        <f>F655-H655</f>
        <v>15110607.75</v>
      </c>
      <c r="K655" s="38">
        <v>0</v>
      </c>
      <c r="L655" s="39"/>
      <c r="M655" s="40"/>
      <c r="N655" s="40"/>
      <c r="O655" s="41"/>
    </row>
    <row r="656" spans="1:15" s="7" customFormat="1" ht="18.75">
      <c r="A656" s="56"/>
      <c r="B656" s="30"/>
      <c r="C656" s="29" t="s">
        <v>504</v>
      </c>
      <c r="D656" s="32" t="s">
        <v>669</v>
      </c>
      <c r="E656" s="44"/>
      <c r="F656" s="163">
        <v>2609736.71</v>
      </c>
      <c r="G656" s="162"/>
      <c r="H656" s="87"/>
      <c r="I656" s="35"/>
      <c r="J656" s="164">
        <f t="shared" ref="J656:J690" si="36">F656-H656</f>
        <v>2609736.71</v>
      </c>
      <c r="K656" s="37">
        <f>J655+K655</f>
        <v>15110607.75</v>
      </c>
      <c r="L656" s="39"/>
      <c r="M656" s="40"/>
      <c r="N656" s="40"/>
      <c r="O656" s="41"/>
    </row>
    <row r="657" spans="1:15" s="7" customFormat="1" ht="18.75">
      <c r="A657" s="56"/>
      <c r="B657" s="30"/>
      <c r="C657" s="31" t="s">
        <v>226</v>
      </c>
      <c r="D657" s="32" t="s">
        <v>671</v>
      </c>
      <c r="E657" s="44"/>
      <c r="F657" s="34">
        <v>10537379.43</v>
      </c>
      <c r="G657" s="35"/>
      <c r="H657" s="87"/>
      <c r="I657" s="35"/>
      <c r="J657" s="164">
        <f t="shared" si="36"/>
        <v>10537379.43</v>
      </c>
      <c r="K657" s="37">
        <f t="shared" ref="K657:K696" si="37">J656+K656</f>
        <v>17720344.460000001</v>
      </c>
      <c r="L657" s="39"/>
      <c r="M657" s="40"/>
      <c r="N657" s="40"/>
      <c r="O657" s="41"/>
    </row>
    <row r="658" spans="1:15" s="7" customFormat="1" ht="18.75">
      <c r="A658" s="56"/>
      <c r="B658" s="30"/>
      <c r="C658" s="31" t="s">
        <v>228</v>
      </c>
      <c r="D658" s="32" t="s">
        <v>673</v>
      </c>
      <c r="E658" s="44"/>
      <c r="F658" s="165">
        <v>16865058.93</v>
      </c>
      <c r="G658" s="35"/>
      <c r="H658" s="87"/>
      <c r="I658" s="35"/>
      <c r="J658" s="164">
        <f t="shared" si="36"/>
        <v>16865058.93</v>
      </c>
      <c r="K658" s="37">
        <f t="shared" si="37"/>
        <v>28257723.890000001</v>
      </c>
      <c r="L658" s="39"/>
      <c r="M658" s="40"/>
      <c r="N658" s="40"/>
      <c r="O658" s="41"/>
    </row>
    <row r="659" spans="1:15" s="7" customFormat="1" ht="18.75">
      <c r="A659" s="56"/>
      <c r="B659" s="30"/>
      <c r="C659" s="31" t="s">
        <v>231</v>
      </c>
      <c r="D659" s="32" t="s">
        <v>558</v>
      </c>
      <c r="E659" s="44"/>
      <c r="F659" s="165">
        <v>16381461.08004</v>
      </c>
      <c r="G659" s="35"/>
      <c r="H659" s="87"/>
      <c r="I659" s="35"/>
      <c r="J659" s="164">
        <f t="shared" si="36"/>
        <v>16381461.08004</v>
      </c>
      <c r="K659" s="37">
        <f t="shared" si="37"/>
        <v>45122782.82</v>
      </c>
      <c r="L659" s="39"/>
      <c r="M659" s="40"/>
      <c r="N659" s="40"/>
      <c r="O659" s="41"/>
    </row>
    <row r="660" spans="1:15" s="7" customFormat="1" ht="18.75">
      <c r="A660" s="56"/>
      <c r="B660" s="30"/>
      <c r="C660" s="31" t="s">
        <v>234</v>
      </c>
      <c r="D660" s="32" t="s">
        <v>908</v>
      </c>
      <c r="E660" s="44"/>
      <c r="F660" s="165">
        <v>15321580.506265216</v>
      </c>
      <c r="G660" s="35"/>
      <c r="H660" s="36">
        <v>12726171.93</v>
      </c>
      <c r="I660" s="35"/>
      <c r="J660" s="164">
        <f t="shared" si="36"/>
        <v>2595408.5762652159</v>
      </c>
      <c r="K660" s="37">
        <f t="shared" si="37"/>
        <v>61504243.900040001</v>
      </c>
      <c r="L660" s="39"/>
      <c r="M660" s="40"/>
      <c r="N660" s="40"/>
      <c r="O660" s="41"/>
    </row>
    <row r="661" spans="1:15" s="7" customFormat="1" ht="18.75">
      <c r="A661" s="56"/>
      <c r="B661" s="30"/>
      <c r="C661" s="31" t="s">
        <v>236</v>
      </c>
      <c r="D661" s="32" t="s">
        <v>909</v>
      </c>
      <c r="E661" s="44"/>
      <c r="F661" s="163">
        <v>2892428.166852315</v>
      </c>
      <c r="G661" s="35"/>
      <c r="H661" s="87"/>
      <c r="I661" s="35"/>
      <c r="J661" s="164">
        <f t="shared" si="36"/>
        <v>2892428.166852315</v>
      </c>
      <c r="K661" s="37">
        <f t="shared" si="37"/>
        <v>64099652.476305217</v>
      </c>
      <c r="L661" s="39"/>
      <c r="M661" s="40"/>
      <c r="N661" s="40"/>
      <c r="O661" s="41"/>
    </row>
    <row r="662" spans="1:15" s="7" customFormat="1" ht="18.75">
      <c r="A662" s="56"/>
      <c r="B662" s="30"/>
      <c r="C662" s="102" t="s">
        <v>238</v>
      </c>
      <c r="D662" s="32" t="s">
        <v>675</v>
      </c>
      <c r="E662" s="44"/>
      <c r="F662" s="95">
        <v>9045208.2956396714</v>
      </c>
      <c r="G662" s="75" t="s">
        <v>910</v>
      </c>
      <c r="H662" s="87"/>
      <c r="I662" s="35"/>
      <c r="J662" s="164">
        <f t="shared" si="36"/>
        <v>9045208.2956396714</v>
      </c>
      <c r="K662" s="37">
        <f t="shared" si="37"/>
        <v>66992080.643157534</v>
      </c>
      <c r="L662" s="39"/>
      <c r="M662" s="40"/>
      <c r="N662" s="40"/>
      <c r="O662" s="41"/>
    </row>
    <row r="663" spans="1:15" s="7" customFormat="1" ht="18.75">
      <c r="A663" s="56"/>
      <c r="B663" s="30"/>
      <c r="C663" s="102" t="s">
        <v>517</v>
      </c>
      <c r="D663" s="32" t="s">
        <v>677</v>
      </c>
      <c r="E663" s="44"/>
      <c r="F663" s="95">
        <v>16155331.664062498</v>
      </c>
      <c r="G663" s="75" t="s">
        <v>911</v>
      </c>
      <c r="H663" s="36">
        <f>25000000+15000000</f>
        <v>40000000</v>
      </c>
      <c r="I663" s="35" t="s">
        <v>912</v>
      </c>
      <c r="J663" s="164">
        <f t="shared" si="36"/>
        <v>-23844668.3359375</v>
      </c>
      <c r="K663" s="37">
        <f t="shared" si="37"/>
        <v>76037288.938797206</v>
      </c>
      <c r="L663" s="39"/>
      <c r="M663" s="40"/>
      <c r="N663" s="40"/>
      <c r="O663" s="41"/>
    </row>
    <row r="664" spans="1:15" s="7" customFormat="1" ht="18.75">
      <c r="A664" s="56"/>
      <c r="B664" s="30"/>
      <c r="C664" s="102" t="s">
        <v>243</v>
      </c>
      <c r="D664" s="32" t="s">
        <v>679</v>
      </c>
      <c r="E664" s="44"/>
      <c r="F664" s="95">
        <v>15317473.581438001</v>
      </c>
      <c r="G664" s="75" t="s">
        <v>518</v>
      </c>
      <c r="H664" s="36">
        <v>40000000</v>
      </c>
      <c r="I664" s="35" t="s">
        <v>913</v>
      </c>
      <c r="J664" s="164">
        <f t="shared" si="36"/>
        <v>-24682526.418561999</v>
      </c>
      <c r="K664" s="37">
        <f t="shared" si="37"/>
        <v>52192620.602859706</v>
      </c>
      <c r="L664" s="39"/>
      <c r="M664" s="40"/>
      <c r="N664" s="40"/>
      <c r="O664" s="41"/>
    </row>
    <row r="665" spans="1:15" s="7" customFormat="1" ht="18.75">
      <c r="A665" s="56"/>
      <c r="B665" s="30"/>
      <c r="C665" s="102" t="s">
        <v>246</v>
      </c>
      <c r="D665" s="103" t="s">
        <v>681</v>
      </c>
      <c r="E665" s="44"/>
      <c r="F665" s="104">
        <v>16490085.149999999</v>
      </c>
      <c r="G665" s="105" t="s">
        <v>914</v>
      </c>
      <c r="H665" s="36"/>
      <c r="I665" s="35"/>
      <c r="J665" s="164">
        <f t="shared" si="36"/>
        <v>16490085.149999999</v>
      </c>
      <c r="K665" s="37">
        <f t="shared" si="37"/>
        <v>27510094.184297707</v>
      </c>
      <c r="L665" s="39"/>
      <c r="M665" s="40"/>
      <c r="N665" s="40"/>
      <c r="O665" s="41"/>
    </row>
    <row r="666" spans="1:15" s="7" customFormat="1" ht="18.75">
      <c r="A666" s="56"/>
      <c r="B666" s="30"/>
      <c r="C666" s="102" t="s">
        <v>522</v>
      </c>
      <c r="D666" s="103" t="s">
        <v>683</v>
      </c>
      <c r="E666" s="44"/>
      <c r="F666" s="104">
        <v>18182455.010747999</v>
      </c>
      <c r="G666" s="105" t="s">
        <v>915</v>
      </c>
      <c r="H666" s="36"/>
      <c r="I666" s="35"/>
      <c r="J666" s="164">
        <f t="shared" si="36"/>
        <v>18182455.010747999</v>
      </c>
      <c r="K666" s="37">
        <f t="shared" si="37"/>
        <v>44000179.334297702</v>
      </c>
      <c r="L666" s="39"/>
      <c r="M666" s="40"/>
      <c r="N666" s="40"/>
      <c r="O666" s="41"/>
    </row>
    <row r="667" spans="1:15" s="7" customFormat="1" ht="18.75">
      <c r="A667" s="56"/>
      <c r="B667" s="30"/>
      <c r="C667" s="111" t="s">
        <v>250</v>
      </c>
      <c r="D667" s="166" t="s">
        <v>182</v>
      </c>
      <c r="E667" s="44"/>
      <c r="F667" s="149">
        <v>20923794.109999999</v>
      </c>
      <c r="G667" s="105" t="s">
        <v>682</v>
      </c>
      <c r="H667" s="36">
        <v>65000000</v>
      </c>
      <c r="I667" s="35" t="s">
        <v>916</v>
      </c>
      <c r="J667" s="164">
        <f t="shared" si="36"/>
        <v>-44076205.890000001</v>
      </c>
      <c r="K667" s="37">
        <f t="shared" si="37"/>
        <v>62182634.345045701</v>
      </c>
      <c r="L667" s="39"/>
      <c r="M667" s="40"/>
      <c r="N667" s="40"/>
      <c r="O667" s="41"/>
    </row>
    <row r="668" spans="1:15" s="7" customFormat="1" ht="18.75">
      <c r="A668" s="56"/>
      <c r="B668" s="30"/>
      <c r="C668" s="111" t="s">
        <v>139</v>
      </c>
      <c r="D668" s="166" t="s">
        <v>186</v>
      </c>
      <c r="E668" s="44"/>
      <c r="F668" s="149">
        <v>19748072.469999999</v>
      </c>
      <c r="G668" s="105" t="s">
        <v>917</v>
      </c>
      <c r="H668" s="36">
        <v>35000000</v>
      </c>
      <c r="I668" s="35">
        <v>43592</v>
      </c>
      <c r="J668" s="164">
        <f t="shared" si="36"/>
        <v>-15251927.530000001</v>
      </c>
      <c r="K668" s="37">
        <f t="shared" si="37"/>
        <v>18106428.4550457</v>
      </c>
      <c r="L668" s="39"/>
      <c r="M668" s="40"/>
      <c r="N668" s="40"/>
      <c r="O668" s="41"/>
    </row>
    <row r="669" spans="1:15" s="7" customFormat="1" ht="18.75">
      <c r="A669" s="56"/>
      <c r="B669" s="30"/>
      <c r="C669" s="62" t="s">
        <v>142</v>
      </c>
      <c r="D669" s="166" t="s">
        <v>192</v>
      </c>
      <c r="E669" s="44"/>
      <c r="F669" s="149">
        <v>23845150.9249065</v>
      </c>
      <c r="G669" s="105"/>
      <c r="H669" s="36"/>
      <c r="I669" s="35"/>
      <c r="J669" s="164">
        <f t="shared" si="36"/>
        <v>23845150.9249065</v>
      </c>
      <c r="K669" s="37">
        <f t="shared" si="37"/>
        <v>2854500.9250456989</v>
      </c>
      <c r="L669" s="39"/>
      <c r="M669" s="40"/>
      <c r="N669" s="40"/>
      <c r="O669" s="41"/>
    </row>
    <row r="670" spans="1:15" s="7" customFormat="1" ht="18.75">
      <c r="A670" s="56"/>
      <c r="B670" s="30"/>
      <c r="C670" s="62" t="s">
        <v>145</v>
      </c>
      <c r="D670" s="166" t="s">
        <v>196</v>
      </c>
      <c r="E670" s="44"/>
      <c r="F670" s="149">
        <v>24015224.165624999</v>
      </c>
      <c r="G670" s="105" t="s">
        <v>579</v>
      </c>
      <c r="H670" s="36"/>
      <c r="I670" s="35"/>
      <c r="J670" s="164">
        <f t="shared" si="36"/>
        <v>24015224.165624999</v>
      </c>
      <c r="K670" s="37">
        <f t="shared" si="37"/>
        <v>26699651.849952199</v>
      </c>
      <c r="L670" s="39"/>
      <c r="M670" s="40"/>
      <c r="N670" s="40"/>
      <c r="O670" s="41"/>
    </row>
    <row r="671" spans="1:15" s="7" customFormat="1" ht="18.75">
      <c r="A671" s="56"/>
      <c r="B671" s="30"/>
      <c r="C671" s="62" t="s">
        <v>148</v>
      </c>
      <c r="D671" s="166" t="s">
        <v>41</v>
      </c>
      <c r="E671" s="44"/>
      <c r="F671" s="149">
        <v>7576204.8509174995</v>
      </c>
      <c r="G671" s="105" t="s">
        <v>918</v>
      </c>
      <c r="H671" s="36"/>
      <c r="I671" s="35"/>
      <c r="J671" s="164">
        <f t="shared" si="36"/>
        <v>7576204.8509174995</v>
      </c>
      <c r="K671" s="37">
        <f t="shared" si="37"/>
        <v>50714876.015577197</v>
      </c>
      <c r="L671" s="39"/>
      <c r="M671" s="40"/>
      <c r="N671" s="40"/>
      <c r="O671" s="41"/>
    </row>
    <row r="672" spans="1:15" s="7" customFormat="1" ht="18.75">
      <c r="A672" s="56"/>
      <c r="B672" s="30"/>
      <c r="C672" s="62" t="s">
        <v>148</v>
      </c>
      <c r="D672" s="166" t="s">
        <v>41</v>
      </c>
      <c r="E672" s="44"/>
      <c r="F672" s="149">
        <v>27247461.059999999</v>
      </c>
      <c r="G672" s="105"/>
      <c r="H672" s="36"/>
      <c r="I672" s="35"/>
      <c r="J672" s="164">
        <f t="shared" si="36"/>
        <v>27247461.059999999</v>
      </c>
      <c r="K672" s="37">
        <f t="shared" si="37"/>
        <v>58291080.8664947</v>
      </c>
      <c r="L672" s="39"/>
      <c r="M672" s="40"/>
      <c r="N672" s="40"/>
      <c r="O672" s="41"/>
    </row>
    <row r="673" spans="1:15" s="7" customFormat="1" ht="18.75">
      <c r="A673" s="56"/>
      <c r="B673" s="30"/>
      <c r="C673" s="62" t="s">
        <v>151</v>
      </c>
      <c r="D673" s="166" t="s">
        <v>359</v>
      </c>
      <c r="E673" s="44"/>
      <c r="F673" s="149">
        <v>27206259.519314293</v>
      </c>
      <c r="G673" s="105" t="s">
        <v>152</v>
      </c>
      <c r="H673" s="47"/>
      <c r="I673" s="35"/>
      <c r="J673" s="164">
        <f t="shared" si="36"/>
        <v>27206259.519314293</v>
      </c>
      <c r="K673" s="37">
        <f t="shared" si="37"/>
        <v>85538541.926494703</v>
      </c>
      <c r="L673" s="39"/>
      <c r="M673" s="40"/>
      <c r="N673" s="40"/>
      <c r="O673" s="41"/>
    </row>
    <row r="674" spans="1:15" s="7" customFormat="1" ht="18.75">
      <c r="A674" s="56"/>
      <c r="B674" s="30"/>
      <c r="C674" s="62" t="s">
        <v>154</v>
      </c>
      <c r="D674" s="166" t="s">
        <v>202</v>
      </c>
      <c r="E674" s="44"/>
      <c r="F674" s="149">
        <v>30564830.756249998</v>
      </c>
      <c r="G674" s="105" t="s">
        <v>156</v>
      </c>
      <c r="H674" s="47">
        <v>30000000</v>
      </c>
      <c r="I674" s="35" t="s">
        <v>839</v>
      </c>
      <c r="J674" s="164">
        <f t="shared" si="36"/>
        <v>564830.75624999776</v>
      </c>
      <c r="K674" s="37">
        <f t="shared" si="37"/>
        <v>112744801.44580899</v>
      </c>
      <c r="L674" s="39"/>
      <c r="M674" s="40"/>
      <c r="N674" s="40"/>
      <c r="O674" s="41"/>
    </row>
    <row r="675" spans="1:15" s="7" customFormat="1" ht="18.75">
      <c r="A675" s="56"/>
      <c r="B675" s="30"/>
      <c r="C675" s="62" t="s">
        <v>158</v>
      </c>
      <c r="D675" s="166" t="s">
        <v>204</v>
      </c>
      <c r="E675" s="44"/>
      <c r="F675" s="149">
        <v>23859273.751309499</v>
      </c>
      <c r="G675" s="105" t="s">
        <v>160</v>
      </c>
      <c r="H675" s="47">
        <f>25000000+25000000+30000000</f>
        <v>80000000</v>
      </c>
      <c r="I675" s="35" t="s">
        <v>581</v>
      </c>
      <c r="J675" s="164">
        <f t="shared" si="36"/>
        <v>-56140726.248690501</v>
      </c>
      <c r="K675" s="37">
        <f t="shared" si="37"/>
        <v>113309632.20205899</v>
      </c>
      <c r="L675" s="39"/>
      <c r="M675" s="40"/>
      <c r="N675" s="40"/>
      <c r="O675" s="41"/>
    </row>
    <row r="676" spans="1:15" s="7" customFormat="1" ht="18.75">
      <c r="A676" s="56"/>
      <c r="B676" s="30"/>
      <c r="C676" s="62" t="s">
        <v>162</v>
      </c>
      <c r="D676" s="166" t="s">
        <v>208</v>
      </c>
      <c r="E676" s="44"/>
      <c r="F676" s="149">
        <v>27271271.12472</v>
      </c>
      <c r="G676" s="105" t="s">
        <v>164</v>
      </c>
      <c r="H676" s="47">
        <v>50000000</v>
      </c>
      <c r="I676" s="35" t="s">
        <v>919</v>
      </c>
      <c r="J676" s="164">
        <f t="shared" si="36"/>
        <v>-22728728.87528</v>
      </c>
      <c r="K676" s="37">
        <f t="shared" si="37"/>
        <v>57168905.953368485</v>
      </c>
      <c r="L676" s="39"/>
      <c r="M676" s="40"/>
      <c r="N676" s="40"/>
      <c r="O676" s="41"/>
    </row>
    <row r="677" spans="1:15" s="7" customFormat="1" ht="18.75">
      <c r="A677" s="56"/>
      <c r="B677" s="30"/>
      <c r="C677" s="62" t="s">
        <v>166</v>
      </c>
      <c r="D677" s="166" t="s">
        <v>52</v>
      </c>
      <c r="E677" s="44"/>
      <c r="F677" s="149">
        <v>26474667.22656</v>
      </c>
      <c r="G677" s="105" t="s">
        <v>168</v>
      </c>
      <c r="H677" s="47">
        <f>50000000+50000000</f>
        <v>100000000</v>
      </c>
      <c r="I677" s="35" t="s">
        <v>920</v>
      </c>
      <c r="J677" s="164">
        <f t="shared" si="36"/>
        <v>-73525332.773440003</v>
      </c>
      <c r="K677" s="37">
        <f t="shared" si="37"/>
        <v>34440177.078088485</v>
      </c>
      <c r="L677" s="39"/>
      <c r="M677" s="40"/>
      <c r="N677" s="40"/>
      <c r="O677" s="41"/>
    </row>
    <row r="678" spans="1:15" s="7" customFormat="1" ht="18.75">
      <c r="A678" s="56"/>
      <c r="B678" s="30"/>
      <c r="C678" s="62" t="s">
        <v>170</v>
      </c>
      <c r="D678" s="166" t="s">
        <v>215</v>
      </c>
      <c r="E678" s="44"/>
      <c r="F678" s="149">
        <v>27685451.302855499</v>
      </c>
      <c r="G678" s="105" t="s">
        <v>172</v>
      </c>
      <c r="H678" s="47">
        <v>20000000</v>
      </c>
      <c r="I678" s="35" t="s">
        <v>901</v>
      </c>
      <c r="J678" s="164">
        <f t="shared" si="36"/>
        <v>7685451.3028554991</v>
      </c>
      <c r="K678" s="37">
        <f t="shared" si="37"/>
        <v>-39085155.695351519</v>
      </c>
      <c r="L678" s="39"/>
      <c r="M678" s="40"/>
      <c r="N678" s="40"/>
      <c r="O678" s="41"/>
    </row>
    <row r="679" spans="1:15" s="7" customFormat="1" ht="18.75">
      <c r="A679" s="56"/>
      <c r="B679" s="30"/>
      <c r="C679" s="62" t="s">
        <v>174</v>
      </c>
      <c r="D679" s="166" t="s">
        <v>65</v>
      </c>
      <c r="E679" s="44"/>
      <c r="F679" s="149">
        <v>30338409.263064001</v>
      </c>
      <c r="G679" s="105" t="s">
        <v>176</v>
      </c>
      <c r="H679" s="159">
        <v>50000000</v>
      </c>
      <c r="I679" s="35">
        <v>44083</v>
      </c>
      <c r="J679" s="164">
        <f t="shared" si="36"/>
        <v>-19661590.736935999</v>
      </c>
      <c r="K679" s="37">
        <f t="shared" si="37"/>
        <v>-31399704.39249602</v>
      </c>
      <c r="L679" s="39"/>
      <c r="M679" s="40"/>
      <c r="N679" s="40"/>
      <c r="O679" s="41"/>
    </row>
    <row r="680" spans="1:15" s="7" customFormat="1" ht="18.75">
      <c r="A680" s="56"/>
      <c r="B680" s="30"/>
      <c r="C680" s="62" t="s">
        <v>178</v>
      </c>
      <c r="D680" s="166" t="s">
        <v>71</v>
      </c>
      <c r="E680" s="44"/>
      <c r="F680" s="149">
        <v>34040961.104912996</v>
      </c>
      <c r="G680" s="105" t="s">
        <v>179</v>
      </c>
      <c r="H680" s="159">
        <v>40000000</v>
      </c>
      <c r="I680" s="44">
        <v>44531</v>
      </c>
      <c r="J680" s="164">
        <f t="shared" si="36"/>
        <v>-5959038.8950870037</v>
      </c>
      <c r="K680" s="37">
        <f t="shared" si="37"/>
        <v>-51061295.129432023</v>
      </c>
      <c r="L680" s="39"/>
      <c r="M680" s="40"/>
      <c r="N680" s="40"/>
      <c r="O680" s="41"/>
    </row>
    <row r="681" spans="1:15" s="7" customFormat="1" ht="18.75">
      <c r="A681" s="56"/>
      <c r="B681" s="30"/>
      <c r="C681" s="62" t="s">
        <v>181</v>
      </c>
      <c r="D681" s="166" t="s">
        <v>26</v>
      </c>
      <c r="E681" s="44"/>
      <c r="F681" s="149">
        <v>35946548.460437998</v>
      </c>
      <c r="G681" s="105" t="s">
        <v>183</v>
      </c>
      <c r="H681" s="159"/>
      <c r="I681" s="35"/>
      <c r="J681" s="164">
        <f t="shared" si="36"/>
        <v>35946548.460437998</v>
      </c>
      <c r="K681" s="37">
        <f t="shared" si="37"/>
        <v>-57020334.024519026</v>
      </c>
      <c r="L681" s="39"/>
      <c r="M681" s="40"/>
      <c r="N681" s="40"/>
      <c r="O681" s="41"/>
    </row>
    <row r="682" spans="1:15" s="7" customFormat="1" ht="18.75">
      <c r="A682" s="56"/>
      <c r="B682" s="30"/>
      <c r="C682" s="62" t="s">
        <v>185</v>
      </c>
      <c r="D682" s="166" t="s">
        <v>223</v>
      </c>
      <c r="E682" s="44"/>
      <c r="F682" s="149">
        <v>28531444.850000001</v>
      </c>
      <c r="G682" s="105" t="s">
        <v>187</v>
      </c>
      <c r="H682" s="54"/>
      <c r="I682" s="35"/>
      <c r="J682" s="164">
        <f t="shared" si="36"/>
        <v>28531444.850000001</v>
      </c>
      <c r="K682" s="37">
        <f t="shared" si="37"/>
        <v>-21073785.564081028</v>
      </c>
      <c r="L682" s="39"/>
      <c r="M682" s="40"/>
      <c r="N682" s="40"/>
      <c r="O682" s="41"/>
    </row>
    <row r="683" spans="1:15" s="7" customFormat="1" ht="18.75">
      <c r="A683" s="56"/>
      <c r="B683" s="30"/>
      <c r="C683" s="62" t="s">
        <v>189</v>
      </c>
      <c r="D683" s="166" t="s">
        <v>367</v>
      </c>
      <c r="E683" s="44"/>
      <c r="F683" s="149">
        <v>32111989.75</v>
      </c>
      <c r="G683" s="105" t="s">
        <v>377</v>
      </c>
      <c r="H683" s="54"/>
      <c r="I683" s="35"/>
      <c r="J683" s="164">
        <f t="shared" si="36"/>
        <v>32111989.75</v>
      </c>
      <c r="K683" s="37">
        <f t="shared" si="37"/>
        <v>7457659.2859189734</v>
      </c>
      <c r="L683" s="39"/>
      <c r="M683" s="40"/>
      <c r="N683" s="40"/>
      <c r="O683" s="41"/>
    </row>
    <row r="684" spans="1:15" s="7" customFormat="1" ht="18.75">
      <c r="A684" s="56"/>
      <c r="B684" s="30"/>
      <c r="C684" s="62" t="s">
        <v>191</v>
      </c>
      <c r="D684" s="166" t="s">
        <v>368</v>
      </c>
      <c r="E684" s="44">
        <v>43986</v>
      </c>
      <c r="F684" s="149">
        <v>39326279.312700748</v>
      </c>
      <c r="G684" s="105" t="s">
        <v>193</v>
      </c>
      <c r="H684" s="159"/>
      <c r="I684" s="35"/>
      <c r="J684" s="164">
        <f t="shared" si="36"/>
        <v>39326279.312700748</v>
      </c>
      <c r="K684" s="37">
        <f t="shared" si="37"/>
        <v>39569649.035918973</v>
      </c>
      <c r="L684" s="39"/>
      <c r="M684" s="40"/>
      <c r="N684" s="40"/>
      <c r="O684" s="41"/>
    </row>
    <row r="685" spans="1:15" s="7" customFormat="1" ht="18.75">
      <c r="A685" s="56"/>
      <c r="B685" s="30"/>
      <c r="C685" s="62" t="s">
        <v>195</v>
      </c>
      <c r="D685" s="166" t="s">
        <v>370</v>
      </c>
      <c r="E685" s="44" t="s">
        <v>197</v>
      </c>
      <c r="F685" s="149">
        <v>23001372.231996499</v>
      </c>
      <c r="G685" s="105" t="s">
        <v>198</v>
      </c>
      <c r="H685" s="159"/>
      <c r="I685" s="35"/>
      <c r="J685" s="164">
        <f t="shared" si="36"/>
        <v>23001372.231996499</v>
      </c>
      <c r="K685" s="37">
        <f t="shared" si="37"/>
        <v>78895928.348619729</v>
      </c>
      <c r="L685" s="39"/>
      <c r="M685" s="40"/>
      <c r="N685" s="40"/>
      <c r="O685" s="41"/>
    </row>
    <row r="686" spans="1:15" s="7" customFormat="1" ht="18.75">
      <c r="A686" s="56"/>
      <c r="B686" s="30"/>
      <c r="C686" s="62" t="s">
        <v>199</v>
      </c>
      <c r="D686" s="166" t="s">
        <v>371</v>
      </c>
      <c r="E686" s="44">
        <v>44049</v>
      </c>
      <c r="F686" s="149">
        <v>26180167.09</v>
      </c>
      <c r="G686" s="105">
        <v>43897</v>
      </c>
      <c r="H686" s="54"/>
      <c r="I686" s="35"/>
      <c r="J686" s="164">
        <f t="shared" si="36"/>
        <v>26180167.09</v>
      </c>
      <c r="K686" s="37">
        <f t="shared" si="37"/>
        <v>101897300.58061624</v>
      </c>
      <c r="L686" s="39"/>
      <c r="M686" s="40"/>
      <c r="N686" s="40"/>
      <c r="O686" s="41"/>
    </row>
    <row r="687" spans="1:15" s="7" customFormat="1" ht="18.75">
      <c r="A687" s="56"/>
      <c r="B687" s="30"/>
      <c r="C687" s="62" t="s">
        <v>201</v>
      </c>
      <c r="D687" s="166" t="s">
        <v>372</v>
      </c>
      <c r="E687" s="44" t="s">
        <v>449</v>
      </c>
      <c r="F687" s="149">
        <v>29201519.420029998</v>
      </c>
      <c r="G687" s="105">
        <v>43929</v>
      </c>
      <c r="H687" s="54"/>
      <c r="I687" s="35"/>
      <c r="J687" s="164">
        <f t="shared" si="36"/>
        <v>29201519.420029998</v>
      </c>
      <c r="K687" s="37">
        <f t="shared" si="37"/>
        <v>128077467.67061624</v>
      </c>
      <c r="L687" s="39"/>
      <c r="M687" s="40"/>
      <c r="N687" s="40"/>
      <c r="O687" s="41"/>
    </row>
    <row r="688" spans="1:15" s="7" customFormat="1" ht="18.75">
      <c r="A688" s="56"/>
      <c r="B688" s="30"/>
      <c r="C688" s="62" t="s">
        <v>203</v>
      </c>
      <c r="D688" s="166" t="s">
        <v>373</v>
      </c>
      <c r="E688" s="44">
        <v>43990</v>
      </c>
      <c r="F688" s="149">
        <v>28215992.989999998</v>
      </c>
      <c r="G688" s="105" t="s">
        <v>290</v>
      </c>
      <c r="H688" s="54"/>
      <c r="I688" s="35"/>
      <c r="J688" s="164">
        <f t="shared" si="36"/>
        <v>28215992.989999998</v>
      </c>
      <c r="K688" s="37">
        <f t="shared" si="37"/>
        <v>157278987.09064624</v>
      </c>
      <c r="L688" s="39"/>
      <c r="M688" s="40"/>
      <c r="N688" s="40"/>
      <c r="O688" s="41"/>
    </row>
    <row r="689" spans="1:15" s="7" customFormat="1" ht="18.75">
      <c r="A689" s="56"/>
      <c r="B689" s="30"/>
      <c r="C689" s="62" t="s">
        <v>207</v>
      </c>
      <c r="D689" s="166" t="s">
        <v>373</v>
      </c>
      <c r="E689" s="44" t="s">
        <v>209</v>
      </c>
      <c r="F689" s="149">
        <v>24258739.375689998</v>
      </c>
      <c r="G689" s="105" t="s">
        <v>210</v>
      </c>
      <c r="H689" s="54"/>
      <c r="I689" s="35"/>
      <c r="J689" s="164">
        <f t="shared" si="36"/>
        <v>24258739.375689998</v>
      </c>
      <c r="K689" s="37">
        <f t="shared" si="37"/>
        <v>185494980.08064625</v>
      </c>
      <c r="L689" s="39"/>
      <c r="M689" s="40"/>
      <c r="N689" s="40"/>
      <c r="O689" s="41"/>
    </row>
    <row r="690" spans="1:15" s="7" customFormat="1" ht="18.75">
      <c r="A690" s="56"/>
      <c r="B690" s="30"/>
      <c r="C690" s="62" t="s">
        <v>212</v>
      </c>
      <c r="D690" s="166" t="s">
        <v>92</v>
      </c>
      <c r="E690" s="44">
        <v>44084</v>
      </c>
      <c r="F690" s="149">
        <v>35028704.109999999</v>
      </c>
      <c r="G690" s="105" t="s">
        <v>213</v>
      </c>
      <c r="H690" s="54"/>
      <c r="I690" s="35"/>
      <c r="J690" s="164">
        <f t="shared" si="36"/>
        <v>35028704.109999999</v>
      </c>
      <c r="K690" s="37">
        <f t="shared" si="37"/>
        <v>209753719.45633626</v>
      </c>
      <c r="L690" s="39"/>
      <c r="M690" s="40"/>
      <c r="N690" s="40"/>
      <c r="O690" s="41"/>
    </row>
    <row r="691" spans="1:15" s="7" customFormat="1" ht="18.75">
      <c r="A691" s="56"/>
      <c r="B691" s="30"/>
      <c r="C691" s="62" t="s">
        <v>214</v>
      </c>
      <c r="D691" s="166" t="s">
        <v>63</v>
      </c>
      <c r="E691" s="44">
        <v>43962</v>
      </c>
      <c r="F691" s="149">
        <v>38391621.706249997</v>
      </c>
      <c r="G691" s="105" t="s">
        <v>216</v>
      </c>
      <c r="H691" s="54"/>
      <c r="I691" s="35"/>
      <c r="J691" s="164">
        <f>F691-H691</f>
        <v>38391621.706249997</v>
      </c>
      <c r="K691" s="37">
        <f t="shared" si="37"/>
        <v>244782423.56633627</v>
      </c>
      <c r="L691" s="39"/>
      <c r="M691" s="40"/>
      <c r="N691" s="40"/>
      <c r="O691" s="41"/>
    </row>
    <row r="692" spans="1:15" s="7" customFormat="1" ht="18.75">
      <c r="A692" s="56"/>
      <c r="B692" s="30"/>
      <c r="C692" s="62" t="s">
        <v>218</v>
      </c>
      <c r="D692" s="166" t="s">
        <v>921</v>
      </c>
      <c r="E692" s="44">
        <v>44147</v>
      </c>
      <c r="F692" s="149">
        <v>35937823.954999998</v>
      </c>
      <c r="G692" s="105" t="s">
        <v>922</v>
      </c>
      <c r="H692" s="54"/>
      <c r="I692" s="35"/>
      <c r="J692" s="164">
        <f>F692-H692</f>
        <v>35937823.954999998</v>
      </c>
      <c r="K692" s="37">
        <f t="shared" si="37"/>
        <v>283174045.27258629</v>
      </c>
      <c r="L692" s="39"/>
      <c r="M692" s="40"/>
      <c r="N692" s="40"/>
      <c r="O692" s="41"/>
    </row>
    <row r="693" spans="1:15" s="7" customFormat="1" ht="18.75">
      <c r="A693" s="56"/>
      <c r="B693" s="30"/>
      <c r="C693" s="62" t="s">
        <v>219</v>
      </c>
      <c r="D693" s="166" t="s">
        <v>376</v>
      </c>
      <c r="E693" s="44">
        <v>44409</v>
      </c>
      <c r="F693" s="149">
        <v>34627280.255477503</v>
      </c>
      <c r="G693" s="105" t="s">
        <v>220</v>
      </c>
      <c r="H693" s="54"/>
      <c r="I693" s="35"/>
      <c r="J693" s="164">
        <f>F693-H693</f>
        <v>34627280.255477503</v>
      </c>
      <c r="K693" s="37">
        <f t="shared" si="37"/>
        <v>319111869.22758627</v>
      </c>
      <c r="L693" s="39"/>
      <c r="M693" s="40"/>
      <c r="N693" s="40"/>
      <c r="O693" s="41"/>
    </row>
    <row r="694" spans="1:15" s="7" customFormat="1" ht="18.75">
      <c r="A694" s="56"/>
      <c r="B694" s="30"/>
      <c r="C694" s="62" t="s">
        <v>221</v>
      </c>
      <c r="D694" s="166" t="s">
        <v>54</v>
      </c>
      <c r="E694" s="44">
        <v>44441</v>
      </c>
      <c r="F694" s="149">
        <v>37224214.963947497</v>
      </c>
      <c r="G694" s="105">
        <v>44289</v>
      </c>
      <c r="H694" s="54"/>
      <c r="I694" s="35"/>
      <c r="J694" s="164">
        <f>F694-H694</f>
        <v>37224214.963947497</v>
      </c>
      <c r="K694" s="37">
        <f t="shared" si="37"/>
        <v>353739149.48306376</v>
      </c>
      <c r="L694" s="39"/>
      <c r="M694" s="40"/>
      <c r="N694" s="40"/>
      <c r="O694" s="41"/>
    </row>
    <row r="695" spans="1:15" s="7" customFormat="1" ht="18.75">
      <c r="A695" s="56"/>
      <c r="B695" s="30"/>
      <c r="C695" s="62" t="s">
        <v>222</v>
      </c>
      <c r="D695" s="166" t="s">
        <v>379</v>
      </c>
      <c r="E695" s="44">
        <v>44472</v>
      </c>
      <c r="F695" s="149">
        <v>38996047.711499996</v>
      </c>
      <c r="G695" s="105" t="s">
        <v>391</v>
      </c>
      <c r="H695" s="54"/>
      <c r="I695" s="35"/>
      <c r="J695" s="164">
        <f>F695-H695</f>
        <v>38996047.711499996</v>
      </c>
      <c r="K695" s="37">
        <f t="shared" si="37"/>
        <v>390963364.44701123</v>
      </c>
      <c r="L695" s="39"/>
      <c r="M695" s="40"/>
      <c r="N695" s="40"/>
      <c r="O695" s="41"/>
    </row>
    <row r="696" spans="1:15" s="7" customFormat="1" ht="18.75">
      <c r="A696" s="56"/>
      <c r="B696" s="30" t="s">
        <v>923</v>
      </c>
      <c r="C696" s="31"/>
      <c r="D696" s="32"/>
      <c r="E696" s="44"/>
      <c r="F696" s="34"/>
      <c r="G696" s="35"/>
      <c r="H696" s="87"/>
      <c r="I696" s="35"/>
      <c r="J696" s="37"/>
      <c r="K696" s="38">
        <f t="shared" si="37"/>
        <v>429959412.15851122</v>
      </c>
      <c r="L696" s="39"/>
      <c r="M696" s="40"/>
      <c r="N696" s="40"/>
      <c r="O696" s="41"/>
    </row>
    <row r="697" spans="1:15" s="7" customFormat="1" ht="18.75">
      <c r="A697" s="56"/>
      <c r="B697" s="30"/>
      <c r="C697" s="31"/>
      <c r="D697" s="32"/>
      <c r="E697" s="44"/>
      <c r="F697" s="34"/>
      <c r="G697" s="35"/>
      <c r="H697" s="87"/>
      <c r="I697" s="35"/>
      <c r="J697" s="37"/>
      <c r="K697" s="38"/>
      <c r="L697" s="39"/>
      <c r="M697" s="40"/>
      <c r="N697" s="40"/>
      <c r="O697" s="41"/>
    </row>
    <row r="698" spans="1:15" s="7" customFormat="1" ht="18.75">
      <c r="A698" s="56">
        <v>19</v>
      </c>
      <c r="B698" s="109" t="s">
        <v>55</v>
      </c>
      <c r="C698" s="29" t="s">
        <v>494</v>
      </c>
      <c r="D698" s="32" t="s">
        <v>924</v>
      </c>
      <c r="E698" s="44"/>
      <c r="F698" s="118">
        <v>2339512227.1999998</v>
      </c>
      <c r="G698" s="75" t="s">
        <v>925</v>
      </c>
      <c r="H698" s="36">
        <v>712042947.59000003</v>
      </c>
      <c r="I698" s="35"/>
      <c r="J698" s="37">
        <f t="shared" ref="J698:J731" si="38">F698-H698</f>
        <v>1627469279.6099997</v>
      </c>
      <c r="K698" s="43">
        <v>0</v>
      </c>
      <c r="L698" s="124" t="s">
        <v>926</v>
      </c>
      <c r="M698" s="40"/>
      <c r="N698" s="40"/>
      <c r="O698" s="59"/>
    </row>
    <row r="699" spans="1:15" s="7" customFormat="1" ht="18.75">
      <c r="A699" s="56"/>
      <c r="B699" s="64"/>
      <c r="C699" s="167"/>
      <c r="D699" s="32"/>
      <c r="E699" s="44"/>
      <c r="F699" s="155"/>
      <c r="G699" s="76"/>
      <c r="H699" s="36">
        <v>100000000</v>
      </c>
      <c r="I699" s="35"/>
      <c r="J699" s="37">
        <f t="shared" si="38"/>
        <v>-100000000</v>
      </c>
      <c r="K699" s="43">
        <f>J698+K698</f>
        <v>1627469279.6099997</v>
      </c>
      <c r="L699" s="124"/>
      <c r="M699" s="40"/>
      <c r="N699" s="40"/>
      <c r="O699" s="59"/>
    </row>
    <row r="700" spans="1:15" s="7" customFormat="1" ht="18.75">
      <c r="A700" s="56"/>
      <c r="B700" s="64"/>
      <c r="C700" s="29" t="s">
        <v>497</v>
      </c>
      <c r="D700" s="32" t="s">
        <v>927</v>
      </c>
      <c r="E700" s="44"/>
      <c r="F700" s="145">
        <v>2415581722.1500001</v>
      </c>
      <c r="G700" s="75" t="s">
        <v>925</v>
      </c>
      <c r="H700" s="36">
        <v>1000000000</v>
      </c>
      <c r="I700" s="35" t="s">
        <v>928</v>
      </c>
      <c r="J700" s="37">
        <f t="shared" si="38"/>
        <v>1415581722.1500001</v>
      </c>
      <c r="K700" s="43">
        <f t="shared" ref="K700:K763" si="39">K699+J699</f>
        <v>1527469279.6099997</v>
      </c>
      <c r="L700" s="124"/>
      <c r="M700" s="40"/>
      <c r="N700" s="40"/>
      <c r="O700" s="59"/>
    </row>
    <row r="701" spans="1:15" s="7" customFormat="1" ht="18.75">
      <c r="A701" s="56"/>
      <c r="B701" s="64"/>
      <c r="C701" s="168" t="s">
        <v>498</v>
      </c>
      <c r="D701" s="32" t="s">
        <v>929</v>
      </c>
      <c r="E701" s="44"/>
      <c r="F701" s="169">
        <v>2547893893.9299998</v>
      </c>
      <c r="G701" s="76" t="s">
        <v>930</v>
      </c>
      <c r="H701" s="36">
        <v>1000000000</v>
      </c>
      <c r="I701" s="35">
        <v>42928</v>
      </c>
      <c r="J701" s="37">
        <f t="shared" si="38"/>
        <v>1547893893.9299998</v>
      </c>
      <c r="K701" s="43">
        <f t="shared" si="39"/>
        <v>2943051001.7599998</v>
      </c>
      <c r="L701" s="124"/>
      <c r="M701" s="40"/>
      <c r="N701" s="40"/>
      <c r="O701" s="59"/>
    </row>
    <row r="702" spans="1:15" s="7" customFormat="1" ht="18.75">
      <c r="A702" s="56"/>
      <c r="B702" s="109"/>
      <c r="C702" s="29" t="s">
        <v>564</v>
      </c>
      <c r="D702" s="32" t="s">
        <v>931</v>
      </c>
      <c r="E702" s="44"/>
      <c r="F702" s="101">
        <v>2212590669.4899998</v>
      </c>
      <c r="G702" s="75" t="s">
        <v>930</v>
      </c>
      <c r="H702" s="36">
        <v>800000000</v>
      </c>
      <c r="I702" s="35" t="s">
        <v>932</v>
      </c>
      <c r="J702" s="37">
        <f t="shared" si="38"/>
        <v>1412590669.4899998</v>
      </c>
      <c r="K702" s="43">
        <f t="shared" si="39"/>
        <v>4490944895.6899996</v>
      </c>
      <c r="L702" s="124">
        <v>676994050.14454103</v>
      </c>
      <c r="M702" s="40"/>
      <c r="N702" s="40"/>
      <c r="O702" s="59"/>
    </row>
    <row r="703" spans="1:15" s="7" customFormat="1" ht="18.75">
      <c r="A703" s="56"/>
      <c r="B703" s="109"/>
      <c r="C703" s="29" t="s">
        <v>500</v>
      </c>
      <c r="D703" s="32" t="s">
        <v>933</v>
      </c>
      <c r="E703" s="44"/>
      <c r="F703" s="101">
        <v>2413625841.2600002</v>
      </c>
      <c r="G703" s="75">
        <v>43020</v>
      </c>
      <c r="H703" s="36">
        <v>600000000</v>
      </c>
      <c r="I703" s="35" t="s">
        <v>934</v>
      </c>
      <c r="J703" s="37">
        <f t="shared" si="38"/>
        <v>1813625841.2600002</v>
      </c>
      <c r="K703" s="43">
        <f t="shared" si="39"/>
        <v>5903535565.1799994</v>
      </c>
      <c r="L703" s="124"/>
      <c r="M703" s="40"/>
      <c r="N703" s="40"/>
      <c r="O703" s="59"/>
    </row>
    <row r="704" spans="1:15" s="7" customFormat="1" ht="18.75">
      <c r="A704" s="56"/>
      <c r="B704" s="109"/>
      <c r="C704" s="29"/>
      <c r="D704" s="32"/>
      <c r="E704" s="44"/>
      <c r="F704" s="101"/>
      <c r="G704" s="75"/>
      <c r="H704" s="36">
        <v>1000000000</v>
      </c>
      <c r="I704" s="35" t="s">
        <v>935</v>
      </c>
      <c r="J704" s="37">
        <f t="shared" si="38"/>
        <v>-1000000000</v>
      </c>
      <c r="K704" s="43">
        <f t="shared" si="39"/>
        <v>7717161406.4399996</v>
      </c>
      <c r="L704" s="124"/>
      <c r="M704" s="40"/>
      <c r="N704" s="40"/>
      <c r="O704" s="170"/>
    </row>
    <row r="705" spans="1:15" s="7" customFormat="1" ht="18.75">
      <c r="A705" s="56"/>
      <c r="B705" s="109"/>
      <c r="C705" s="29" t="s">
        <v>501</v>
      </c>
      <c r="D705" s="32" t="s">
        <v>936</v>
      </c>
      <c r="E705" s="44"/>
      <c r="F705" s="101">
        <v>2363138538.04</v>
      </c>
      <c r="G705" s="75">
        <v>43020</v>
      </c>
      <c r="H705" s="36">
        <v>1000000000</v>
      </c>
      <c r="I705" s="35" t="s">
        <v>937</v>
      </c>
      <c r="J705" s="37">
        <f t="shared" si="38"/>
        <v>1363138538.04</v>
      </c>
      <c r="K705" s="43">
        <f t="shared" si="39"/>
        <v>6717161406.4399996</v>
      </c>
      <c r="L705" s="124"/>
      <c r="M705" s="40"/>
      <c r="N705" s="40"/>
      <c r="O705" s="59"/>
    </row>
    <row r="706" spans="1:15" s="7" customFormat="1" ht="18.75">
      <c r="A706" s="56"/>
      <c r="B706" s="109"/>
      <c r="C706" s="29"/>
      <c r="D706" s="32"/>
      <c r="E706" s="44"/>
      <c r="F706" s="101"/>
      <c r="G706" s="75"/>
      <c r="H706" s="36">
        <v>500000000</v>
      </c>
      <c r="I706" s="35" t="s">
        <v>938</v>
      </c>
      <c r="J706" s="37">
        <f t="shared" si="38"/>
        <v>-500000000</v>
      </c>
      <c r="K706" s="43">
        <f t="shared" si="39"/>
        <v>8080299944.4799995</v>
      </c>
      <c r="L706" s="124"/>
      <c r="M706" s="40"/>
      <c r="N706" s="40"/>
      <c r="O706" s="59"/>
    </row>
    <row r="707" spans="1:15" s="7" customFormat="1" ht="18.75">
      <c r="A707" s="56"/>
      <c r="B707" s="109"/>
      <c r="C707" s="29" t="s">
        <v>504</v>
      </c>
      <c r="D707" s="32" t="s">
        <v>939</v>
      </c>
      <c r="E707" s="44"/>
      <c r="F707" s="101">
        <v>2591871279.6599998</v>
      </c>
      <c r="G707" s="75">
        <v>43222</v>
      </c>
      <c r="H707" s="36">
        <v>180000000</v>
      </c>
      <c r="I707" s="35" t="s">
        <v>940</v>
      </c>
      <c r="J707" s="37">
        <f t="shared" si="38"/>
        <v>2411871279.6599998</v>
      </c>
      <c r="K707" s="43">
        <f t="shared" si="39"/>
        <v>7580299944.4799995</v>
      </c>
      <c r="L707" s="124"/>
      <c r="M707" s="40"/>
      <c r="N707" s="40"/>
      <c r="O707" s="170"/>
    </row>
    <row r="708" spans="1:15" s="7" customFormat="1" ht="18.75">
      <c r="A708" s="56"/>
      <c r="B708" s="109"/>
      <c r="C708" s="29"/>
      <c r="D708" s="32"/>
      <c r="E708" s="44"/>
      <c r="F708" s="101"/>
      <c r="G708" s="75"/>
      <c r="H708" s="36">
        <v>700000000</v>
      </c>
      <c r="I708" s="35" t="s">
        <v>941</v>
      </c>
      <c r="J708" s="37">
        <f t="shared" si="38"/>
        <v>-700000000</v>
      </c>
      <c r="K708" s="43">
        <f t="shared" si="39"/>
        <v>9992171224.1399994</v>
      </c>
      <c r="L708" s="124"/>
      <c r="M708" s="40"/>
      <c r="N708" s="40"/>
      <c r="O708" s="59"/>
    </row>
    <row r="709" spans="1:15" s="7" customFormat="1" ht="18.75">
      <c r="A709" s="56"/>
      <c r="B709" s="109"/>
      <c r="C709" s="29"/>
      <c r="D709" s="32"/>
      <c r="E709" s="44"/>
      <c r="F709" s="101"/>
      <c r="G709" s="75"/>
      <c r="H709" s="36">
        <v>300000000</v>
      </c>
      <c r="I709" s="35" t="s">
        <v>942</v>
      </c>
      <c r="J709" s="37">
        <f t="shared" si="38"/>
        <v>-300000000</v>
      </c>
      <c r="K709" s="43">
        <f t="shared" si="39"/>
        <v>9292171224.1399994</v>
      </c>
      <c r="L709" s="124">
        <v>61699651.849952199</v>
      </c>
      <c r="M709" s="40"/>
      <c r="N709" s="40"/>
      <c r="O709" s="59"/>
    </row>
    <row r="710" spans="1:15" s="7" customFormat="1" ht="18.75">
      <c r="A710" s="56"/>
      <c r="B710" s="109"/>
      <c r="C710" s="29"/>
      <c r="D710" s="32"/>
      <c r="E710" s="44"/>
      <c r="F710" s="101"/>
      <c r="G710" s="75"/>
      <c r="H710" s="36">
        <v>500000000</v>
      </c>
      <c r="I710" s="35" t="s">
        <v>803</v>
      </c>
      <c r="J710" s="37">
        <f t="shared" si="38"/>
        <v>-500000000</v>
      </c>
      <c r="K710" s="43">
        <f t="shared" si="39"/>
        <v>8992171224.1399994</v>
      </c>
      <c r="L710" s="124"/>
      <c r="M710" s="40"/>
      <c r="N710" s="40"/>
      <c r="O710" s="59"/>
    </row>
    <row r="711" spans="1:15" s="7" customFormat="1" ht="18.75">
      <c r="A711" s="56"/>
      <c r="B711" s="109"/>
      <c r="C711" s="29"/>
      <c r="D711" s="32"/>
      <c r="E711" s="44"/>
      <c r="F711" s="101"/>
      <c r="G711" s="75"/>
      <c r="H711" s="36">
        <v>500000000</v>
      </c>
      <c r="I711" s="35" t="s">
        <v>943</v>
      </c>
      <c r="J711" s="37">
        <f t="shared" si="38"/>
        <v>-500000000</v>
      </c>
      <c r="K711" s="43">
        <f t="shared" si="39"/>
        <v>8492171224.1399994</v>
      </c>
      <c r="L711" s="124"/>
      <c r="M711" s="40"/>
      <c r="N711" s="40"/>
      <c r="O711" s="59"/>
    </row>
    <row r="712" spans="1:15" s="7" customFormat="1" ht="18.75">
      <c r="A712" s="56"/>
      <c r="B712" s="109"/>
      <c r="C712" s="29"/>
      <c r="D712" s="32"/>
      <c r="E712" s="44"/>
      <c r="F712" s="101"/>
      <c r="G712" s="75"/>
      <c r="H712" s="36">
        <v>1000000000</v>
      </c>
      <c r="I712" s="35" t="s">
        <v>944</v>
      </c>
      <c r="J712" s="37">
        <f t="shared" si="38"/>
        <v>-1000000000</v>
      </c>
      <c r="K712" s="43">
        <f t="shared" si="39"/>
        <v>7992171224.1399994</v>
      </c>
      <c r="L712" s="124"/>
      <c r="M712" s="40"/>
      <c r="N712" s="40"/>
      <c r="O712" s="59"/>
    </row>
    <row r="713" spans="1:15" s="7" customFormat="1" ht="18.75">
      <c r="A713" s="56"/>
      <c r="B713" s="109"/>
      <c r="C713" s="29"/>
      <c r="D713" s="32"/>
      <c r="E713" s="44"/>
      <c r="F713" s="101"/>
      <c r="G713" s="75"/>
      <c r="H713" s="36">
        <v>700000000</v>
      </c>
      <c r="I713" s="35"/>
      <c r="J713" s="37">
        <f t="shared" si="38"/>
        <v>-700000000</v>
      </c>
      <c r="K713" s="43">
        <f t="shared" si="39"/>
        <v>6992171224.1399994</v>
      </c>
      <c r="L713" s="124"/>
      <c r="M713" s="40"/>
      <c r="N713" s="40"/>
      <c r="O713" s="59"/>
    </row>
    <row r="714" spans="1:15" s="7" customFormat="1" ht="18.75">
      <c r="A714" s="56"/>
      <c r="B714" s="109"/>
      <c r="C714" s="29" t="s">
        <v>506</v>
      </c>
      <c r="D714" s="32" t="s">
        <v>945</v>
      </c>
      <c r="E714" s="44"/>
      <c r="F714" s="101">
        <v>1450339721.78</v>
      </c>
      <c r="G714" s="75" t="s">
        <v>566</v>
      </c>
      <c r="H714" s="36">
        <v>50000</v>
      </c>
      <c r="I714" s="35" t="s">
        <v>946</v>
      </c>
      <c r="J714" s="37">
        <f t="shared" si="38"/>
        <v>1450289721.78</v>
      </c>
      <c r="K714" s="43">
        <f t="shared" si="39"/>
        <v>6292171224.1399994</v>
      </c>
      <c r="L714" s="124"/>
      <c r="M714" s="40"/>
      <c r="N714" s="40"/>
      <c r="O714" s="59"/>
    </row>
    <row r="715" spans="1:15" s="7" customFormat="1" ht="18.75">
      <c r="A715" s="56"/>
      <c r="B715" s="109"/>
      <c r="C715" s="29" t="s">
        <v>508</v>
      </c>
      <c r="D715" s="32" t="s">
        <v>947</v>
      </c>
      <c r="E715" s="44"/>
      <c r="F715" s="101">
        <v>2577960712.7800002</v>
      </c>
      <c r="G715" s="75" t="s">
        <v>509</v>
      </c>
      <c r="H715" s="36">
        <v>700000000</v>
      </c>
      <c r="I715" s="35"/>
      <c r="J715" s="37">
        <f t="shared" si="38"/>
        <v>1877960712.7800002</v>
      </c>
      <c r="K715" s="43">
        <f t="shared" si="39"/>
        <v>7742460945.9199991</v>
      </c>
      <c r="L715" s="124"/>
      <c r="M715" s="40"/>
      <c r="N715" s="40"/>
      <c r="O715" s="59"/>
    </row>
    <row r="716" spans="1:15" s="7" customFormat="1" ht="18.75">
      <c r="A716" s="56"/>
      <c r="B716" s="109"/>
      <c r="C716" s="29"/>
      <c r="D716" s="32"/>
      <c r="E716" s="44"/>
      <c r="F716" s="101"/>
      <c r="G716" s="75"/>
      <c r="H716" s="36">
        <v>500000000</v>
      </c>
      <c r="I716" s="35"/>
      <c r="J716" s="37">
        <f t="shared" si="38"/>
        <v>-500000000</v>
      </c>
      <c r="K716" s="43">
        <f t="shared" si="39"/>
        <v>9620421658.6999989</v>
      </c>
      <c r="L716" s="124"/>
      <c r="M716" s="40"/>
      <c r="N716" s="40"/>
      <c r="O716" s="59"/>
    </row>
    <row r="717" spans="1:15" s="7" customFormat="1" ht="18.75">
      <c r="A717" s="56"/>
      <c r="B717" s="109"/>
      <c r="C717" s="29"/>
      <c r="D717" s="32"/>
      <c r="E717" s="44"/>
      <c r="F717" s="101"/>
      <c r="G717" s="75"/>
      <c r="H717" s="36">
        <v>200000000</v>
      </c>
      <c r="I717" s="35"/>
      <c r="J717" s="37">
        <f t="shared" si="38"/>
        <v>-200000000</v>
      </c>
      <c r="K717" s="43">
        <f t="shared" si="39"/>
        <v>9120421658.6999989</v>
      </c>
      <c r="L717" s="124"/>
      <c r="M717" s="40"/>
      <c r="N717" s="40"/>
      <c r="O717" s="59"/>
    </row>
    <row r="718" spans="1:15" s="7" customFormat="1" ht="18.75">
      <c r="A718" s="56"/>
      <c r="B718" s="109"/>
      <c r="C718" s="29"/>
      <c r="D718" s="32"/>
      <c r="E718" s="44"/>
      <c r="F718" s="101"/>
      <c r="G718" s="75"/>
      <c r="H718" s="36">
        <v>500000000</v>
      </c>
      <c r="I718" s="35"/>
      <c r="J718" s="37">
        <f t="shared" si="38"/>
        <v>-500000000</v>
      </c>
      <c r="K718" s="43">
        <f t="shared" si="39"/>
        <v>8920421658.6999989</v>
      </c>
      <c r="L718" s="124"/>
      <c r="M718" s="40"/>
      <c r="N718" s="40"/>
      <c r="O718" s="59"/>
    </row>
    <row r="719" spans="1:15" s="7" customFormat="1" ht="18.75">
      <c r="A719" s="56"/>
      <c r="B719" s="109"/>
      <c r="C719" s="29" t="s">
        <v>948</v>
      </c>
      <c r="D719" s="32" t="s">
        <v>949</v>
      </c>
      <c r="E719" s="44"/>
      <c r="F719" s="101">
        <v>2803620567.6651797</v>
      </c>
      <c r="G719" s="75"/>
      <c r="H719" s="36">
        <v>1000000000</v>
      </c>
      <c r="I719" s="35"/>
      <c r="J719" s="37">
        <f t="shared" si="38"/>
        <v>1803620567.6651797</v>
      </c>
      <c r="K719" s="43">
        <f t="shared" si="39"/>
        <v>8420421658.6999989</v>
      </c>
      <c r="L719" s="124"/>
      <c r="M719" s="40"/>
      <c r="N719" s="40"/>
      <c r="O719" s="59"/>
    </row>
    <row r="720" spans="1:15" s="7" customFormat="1" ht="18.75">
      <c r="A720" s="56"/>
      <c r="B720" s="109"/>
      <c r="C720" s="29"/>
      <c r="D720" s="32"/>
      <c r="E720" s="44"/>
      <c r="F720" s="171"/>
      <c r="G720" s="75"/>
      <c r="H720" s="36">
        <v>700000000</v>
      </c>
      <c r="I720" s="35"/>
      <c r="J720" s="37">
        <f t="shared" si="38"/>
        <v>-700000000</v>
      </c>
      <c r="K720" s="43">
        <f t="shared" si="39"/>
        <v>10224042226.365179</v>
      </c>
      <c r="L720" s="124"/>
      <c r="M720" s="40"/>
      <c r="N720" s="40"/>
      <c r="O720" s="59"/>
    </row>
    <row r="721" spans="1:15" s="7" customFormat="1" ht="18.75">
      <c r="A721" s="56"/>
      <c r="B721" s="109"/>
      <c r="C721" s="29"/>
      <c r="D721" s="32"/>
      <c r="E721" s="44"/>
      <c r="F721" s="171"/>
      <c r="G721" s="75"/>
      <c r="H721" s="36">
        <v>4000000000</v>
      </c>
      <c r="I721" s="35"/>
      <c r="J721" s="37">
        <f t="shared" si="38"/>
        <v>-4000000000</v>
      </c>
      <c r="K721" s="43">
        <f t="shared" si="39"/>
        <v>9524042226.3651791</v>
      </c>
      <c r="L721" s="124"/>
      <c r="M721" s="40"/>
      <c r="N721" s="40"/>
      <c r="O721" s="59"/>
    </row>
    <row r="722" spans="1:15" s="7" customFormat="1" ht="18.75">
      <c r="A722" s="56"/>
      <c r="B722" s="109"/>
      <c r="C722" s="29"/>
      <c r="D722" s="32"/>
      <c r="E722" s="44"/>
      <c r="F722" s="171"/>
      <c r="G722" s="75"/>
      <c r="H722" s="36">
        <v>1000000000</v>
      </c>
      <c r="I722" s="35" t="s">
        <v>950</v>
      </c>
      <c r="J722" s="37">
        <f t="shared" si="38"/>
        <v>-1000000000</v>
      </c>
      <c r="K722" s="43">
        <f t="shared" si="39"/>
        <v>5524042226.3651791</v>
      </c>
      <c r="L722" s="124"/>
      <c r="M722" s="40"/>
      <c r="N722" s="40"/>
      <c r="O722" s="59"/>
    </row>
    <row r="723" spans="1:15" s="7" customFormat="1" ht="18.75">
      <c r="A723" s="56"/>
      <c r="B723" s="109"/>
      <c r="C723" s="29" t="s">
        <v>234</v>
      </c>
      <c r="D723" s="32" t="s">
        <v>951</v>
      </c>
      <c r="E723" s="44"/>
      <c r="F723" s="101">
        <v>3055884890.8713408</v>
      </c>
      <c r="G723" s="75"/>
      <c r="H723" s="36">
        <v>1000000000</v>
      </c>
      <c r="I723" s="35" t="s">
        <v>952</v>
      </c>
      <c r="J723" s="37">
        <f t="shared" si="38"/>
        <v>2055884890.8713408</v>
      </c>
      <c r="K723" s="43">
        <f t="shared" si="39"/>
        <v>4524042226.3651791</v>
      </c>
      <c r="L723" s="124"/>
      <c r="M723" s="40"/>
      <c r="N723" s="40"/>
      <c r="O723" s="59"/>
    </row>
    <row r="724" spans="1:15" s="7" customFormat="1" ht="18.75">
      <c r="A724" s="56"/>
      <c r="B724" s="109"/>
      <c r="C724" s="102" t="s">
        <v>514</v>
      </c>
      <c r="D724" s="32" t="s">
        <v>953</v>
      </c>
      <c r="E724" s="44"/>
      <c r="F724" s="101">
        <v>2856713424.1540003</v>
      </c>
      <c r="G724" s="75" t="s">
        <v>571</v>
      </c>
      <c r="H724" s="36">
        <v>3000000000</v>
      </c>
      <c r="I724" s="35"/>
      <c r="J724" s="37">
        <f>F724-H724</f>
        <v>-143286575.84599972</v>
      </c>
      <c r="K724" s="43">
        <f t="shared" si="39"/>
        <v>6579927117.2365198</v>
      </c>
      <c r="L724" s="124"/>
      <c r="M724" s="40"/>
      <c r="N724" s="40"/>
      <c r="O724" s="59"/>
    </row>
    <row r="725" spans="1:15" s="7" customFormat="1" ht="18.75">
      <c r="A725" s="56"/>
      <c r="B725" s="109"/>
      <c r="C725" s="102" t="s">
        <v>238</v>
      </c>
      <c r="D725" s="32" t="s">
        <v>954</v>
      </c>
      <c r="E725" s="44"/>
      <c r="F725" s="101">
        <v>2723155926.414</v>
      </c>
      <c r="G725" s="75" t="s">
        <v>642</v>
      </c>
      <c r="H725" s="172">
        <f>1200000000+700000000+1000000000</f>
        <v>2900000000</v>
      </c>
      <c r="I725" s="35" t="s">
        <v>507</v>
      </c>
      <c r="J725" s="37">
        <f t="shared" si="38"/>
        <v>-176844073.58599997</v>
      </c>
      <c r="K725" s="43">
        <f t="shared" si="39"/>
        <v>6436640541.3905201</v>
      </c>
      <c r="L725" s="124"/>
      <c r="M725" s="40"/>
      <c r="N725" s="40"/>
      <c r="O725" s="59"/>
    </row>
    <row r="726" spans="1:15" s="7" customFormat="1" ht="18.75">
      <c r="A726" s="56"/>
      <c r="B726" s="109"/>
      <c r="C726" s="102" t="s">
        <v>517</v>
      </c>
      <c r="D726" s="32" t="s">
        <v>955</v>
      </c>
      <c r="E726" s="44"/>
      <c r="F726" s="101">
        <v>2689136482.8959999</v>
      </c>
      <c r="G726" s="75" t="s">
        <v>956</v>
      </c>
      <c r="H726" s="172">
        <v>1000000000</v>
      </c>
      <c r="I726" s="35" t="s">
        <v>957</v>
      </c>
      <c r="J726" s="37">
        <f t="shared" si="38"/>
        <v>1689136482.8959999</v>
      </c>
      <c r="K726" s="43">
        <f t="shared" si="39"/>
        <v>6259796467.8045197</v>
      </c>
      <c r="L726" s="124"/>
      <c r="M726" s="40"/>
      <c r="N726" s="40"/>
      <c r="O726" s="59"/>
    </row>
    <row r="727" spans="1:15" s="7" customFormat="1" ht="18.75">
      <c r="A727" s="56"/>
      <c r="B727" s="109"/>
      <c r="C727" s="102" t="s">
        <v>243</v>
      </c>
      <c r="D727" s="32" t="s">
        <v>958</v>
      </c>
      <c r="E727" s="44"/>
      <c r="F727" s="101">
        <v>2788787555.1684999</v>
      </c>
      <c r="G727" s="75" t="s">
        <v>424</v>
      </c>
      <c r="H727" s="172">
        <f>750000000+250000000+250000000+1000000000+1000000000</f>
        <v>3250000000</v>
      </c>
      <c r="I727" s="35" t="s">
        <v>959</v>
      </c>
      <c r="J727" s="37">
        <f t="shared" si="38"/>
        <v>-461212444.83150005</v>
      </c>
      <c r="K727" s="43">
        <f t="shared" si="39"/>
        <v>7948932950.7005196</v>
      </c>
      <c r="L727" s="124"/>
      <c r="M727" s="40"/>
      <c r="N727" s="40"/>
      <c r="O727" s="59"/>
    </row>
    <row r="728" spans="1:15" s="7" customFormat="1" ht="18.75">
      <c r="A728" s="56"/>
      <c r="B728" s="109"/>
      <c r="C728" s="102" t="s">
        <v>246</v>
      </c>
      <c r="D728" s="32" t="s">
        <v>960</v>
      </c>
      <c r="E728" s="44"/>
      <c r="F728" s="101">
        <v>2714205820.3699999</v>
      </c>
      <c r="G728" s="105" t="s">
        <v>762</v>
      </c>
      <c r="H728" s="172">
        <f>1000000000+1000000000+699999842.5+700000157.5</f>
        <v>3400000000</v>
      </c>
      <c r="I728" s="35" t="s">
        <v>961</v>
      </c>
      <c r="J728" s="37">
        <f t="shared" si="38"/>
        <v>-685794179.63000011</v>
      </c>
      <c r="K728" s="43">
        <f t="shared" si="39"/>
        <v>7487720505.8690195</v>
      </c>
      <c r="L728" s="124"/>
      <c r="M728" s="40"/>
      <c r="N728" s="40"/>
      <c r="O728" s="59"/>
    </row>
    <row r="729" spans="1:15" s="7" customFormat="1" ht="18.75">
      <c r="A729" s="56"/>
      <c r="B729" s="109"/>
      <c r="C729" s="102" t="s">
        <v>522</v>
      </c>
      <c r="D729" s="32" t="s">
        <v>962</v>
      </c>
      <c r="E729" s="44"/>
      <c r="F729" s="101">
        <v>2956166543.8794999</v>
      </c>
      <c r="G729" s="105" t="s">
        <v>963</v>
      </c>
      <c r="H729" s="172">
        <f>500000000+500000157.5</f>
        <v>1000000157.5</v>
      </c>
      <c r="I729" s="35" t="s">
        <v>915</v>
      </c>
      <c r="J729" s="37">
        <f t="shared" si="38"/>
        <v>1956166386.3794999</v>
      </c>
      <c r="K729" s="43">
        <f t="shared" si="39"/>
        <v>6801926326.2390194</v>
      </c>
      <c r="L729" s="124"/>
      <c r="M729" s="40"/>
      <c r="N729" s="40"/>
      <c r="O729" s="59"/>
    </row>
    <row r="730" spans="1:15" s="7" customFormat="1" ht="18.75">
      <c r="A730" s="56"/>
      <c r="B730" s="109"/>
      <c r="C730" s="111" t="s">
        <v>250</v>
      </c>
      <c r="D730" s="166" t="s">
        <v>964</v>
      </c>
      <c r="E730" s="44"/>
      <c r="F730" s="149">
        <v>2624943631.9782901</v>
      </c>
      <c r="G730" s="105" t="s">
        <v>965</v>
      </c>
      <c r="H730" s="172">
        <f>1500000000+500000000+1000000000+1000000000</f>
        <v>4000000000</v>
      </c>
      <c r="I730" s="35" t="s">
        <v>916</v>
      </c>
      <c r="J730" s="37">
        <f t="shared" si="38"/>
        <v>-1375056368.0217099</v>
      </c>
      <c r="K730" s="43">
        <f t="shared" si="39"/>
        <v>8758092712.6185188</v>
      </c>
      <c r="L730" s="124"/>
      <c r="M730" s="40"/>
      <c r="N730" s="40"/>
      <c r="O730" s="59"/>
    </row>
    <row r="731" spans="1:15" s="7" customFormat="1" ht="18.75">
      <c r="A731" s="56"/>
      <c r="B731" s="109"/>
      <c r="C731" s="111" t="s">
        <v>139</v>
      </c>
      <c r="D731" s="166" t="s">
        <v>966</v>
      </c>
      <c r="E731" s="44"/>
      <c r="F731" s="149">
        <v>2770610238.1999998</v>
      </c>
      <c r="G731" s="105" t="s">
        <v>652</v>
      </c>
      <c r="H731" s="54"/>
      <c r="I731" s="41"/>
      <c r="J731" s="37">
        <f t="shared" si="38"/>
        <v>2770610238.1999998</v>
      </c>
      <c r="K731" s="43">
        <f t="shared" si="39"/>
        <v>7383036344.5968094</v>
      </c>
      <c r="L731" s="124"/>
      <c r="M731" s="40"/>
      <c r="N731" s="40"/>
      <c r="O731" s="59"/>
    </row>
    <row r="732" spans="1:15" s="7" customFormat="1" ht="18.75">
      <c r="A732" s="56"/>
      <c r="B732" s="109"/>
      <c r="C732" s="111"/>
      <c r="D732" s="166"/>
      <c r="E732" s="44"/>
      <c r="F732" s="149"/>
      <c r="G732" s="105"/>
      <c r="H732" s="54"/>
      <c r="I732" s="41"/>
      <c r="J732" s="37"/>
      <c r="K732" s="156">
        <f t="shared" si="39"/>
        <v>10153646582.79681</v>
      </c>
      <c r="L732" s="124"/>
      <c r="M732" s="40"/>
      <c r="N732" s="40"/>
      <c r="O732" s="59"/>
    </row>
    <row r="733" spans="1:15" s="7" customFormat="1" ht="46.5">
      <c r="A733" s="56"/>
      <c r="B733" s="109"/>
      <c r="C733" s="173" t="s">
        <v>967</v>
      </c>
      <c r="D733" s="166"/>
      <c r="E733" s="44"/>
      <c r="F733" s="149"/>
      <c r="G733" s="105"/>
      <c r="H733" s="172"/>
      <c r="I733" s="35"/>
      <c r="J733" s="37"/>
      <c r="K733" s="174">
        <v>8198131927.8400002</v>
      </c>
      <c r="L733" s="175" t="s">
        <v>968</v>
      </c>
      <c r="M733" s="40"/>
      <c r="N733" s="40"/>
      <c r="O733" s="59"/>
    </row>
    <row r="734" spans="1:15" s="7" customFormat="1" ht="18.75">
      <c r="A734" s="56"/>
      <c r="B734" s="109"/>
      <c r="C734" s="111" t="s">
        <v>142</v>
      </c>
      <c r="D734" s="166" t="s">
        <v>969</v>
      </c>
      <c r="E734" s="44"/>
      <c r="F734" s="149">
        <v>2761944533.1799998</v>
      </c>
      <c r="G734" s="105" t="s">
        <v>768</v>
      </c>
      <c r="H734" s="172">
        <f>1000000000+1000000000</f>
        <v>2000000000</v>
      </c>
      <c r="I734" s="35" t="s">
        <v>970</v>
      </c>
      <c r="J734" s="37">
        <f>F734-H734</f>
        <v>761944533.17999983</v>
      </c>
      <c r="K734" s="43">
        <f t="shared" si="39"/>
        <v>8198131927.8400002</v>
      </c>
      <c r="L734" s="124"/>
      <c r="M734" s="40"/>
      <c r="N734" s="40"/>
      <c r="O734" s="41"/>
    </row>
    <row r="735" spans="1:15" s="7" customFormat="1" ht="31.5">
      <c r="A735" s="56"/>
      <c r="B735" s="109"/>
      <c r="C735" s="111" t="s">
        <v>971</v>
      </c>
      <c r="D735" s="166" t="s">
        <v>972</v>
      </c>
      <c r="E735" s="44"/>
      <c r="F735" s="149"/>
      <c r="G735" s="105"/>
      <c r="H735" s="172">
        <v>659984780.40999997</v>
      </c>
      <c r="I735" s="35" t="s">
        <v>973</v>
      </c>
      <c r="J735" s="37">
        <f t="shared" ref="J735:J785" si="40">F735-H735</f>
        <v>-659984780.40999997</v>
      </c>
      <c r="K735" s="43">
        <f t="shared" si="39"/>
        <v>8960076461.0200005</v>
      </c>
      <c r="L735" s="124" t="s">
        <v>974</v>
      </c>
      <c r="M735" s="40"/>
      <c r="N735" s="40"/>
      <c r="O735" s="41"/>
    </row>
    <row r="736" spans="1:15" s="7" customFormat="1" ht="18.75">
      <c r="A736" s="56"/>
      <c r="B736" s="109"/>
      <c r="C736" s="111" t="s">
        <v>145</v>
      </c>
      <c r="D736" s="166" t="s">
        <v>975</v>
      </c>
      <c r="E736" s="44"/>
      <c r="F736" s="149">
        <v>2611737451.8400002</v>
      </c>
      <c r="G736" s="105" t="s">
        <v>976</v>
      </c>
      <c r="H736" s="172">
        <f>500000000</f>
        <v>500000000</v>
      </c>
      <c r="I736" s="35" t="s">
        <v>977</v>
      </c>
      <c r="J736" s="37">
        <f t="shared" si="40"/>
        <v>2111737451.8400002</v>
      </c>
      <c r="K736" s="43">
        <f t="shared" si="39"/>
        <v>8300091680.6100006</v>
      </c>
      <c r="L736" s="124"/>
      <c r="M736" s="40"/>
      <c r="N736" s="40"/>
      <c r="O736" s="41"/>
    </row>
    <row r="737" spans="1:15" s="7" customFormat="1" ht="18.75">
      <c r="A737" s="56"/>
      <c r="B737" s="109"/>
      <c r="C737" s="111" t="s">
        <v>148</v>
      </c>
      <c r="D737" s="166" t="s">
        <v>978</v>
      </c>
      <c r="E737" s="44"/>
      <c r="F737" s="149">
        <v>2688139090.96</v>
      </c>
      <c r="G737" s="105" t="s">
        <v>979</v>
      </c>
      <c r="H737" s="172">
        <v>500000000</v>
      </c>
      <c r="I737" s="35" t="s">
        <v>143</v>
      </c>
      <c r="J737" s="37">
        <f t="shared" si="40"/>
        <v>2188139090.96</v>
      </c>
      <c r="K737" s="43">
        <f t="shared" si="39"/>
        <v>10411829132.450001</v>
      </c>
      <c r="L737" s="176"/>
      <c r="M737" s="40"/>
      <c r="N737" s="40"/>
      <c r="O737" s="41"/>
    </row>
    <row r="738" spans="1:15" s="7" customFormat="1" ht="18.75">
      <c r="A738" s="56"/>
      <c r="B738" s="109"/>
      <c r="C738" s="111" t="s">
        <v>151</v>
      </c>
      <c r="D738" s="166" t="s">
        <v>980</v>
      </c>
      <c r="E738" s="44"/>
      <c r="F738" s="149">
        <v>2786261589.3000002</v>
      </c>
      <c r="G738" s="105" t="s">
        <v>152</v>
      </c>
      <c r="H738" s="177">
        <v>550000000</v>
      </c>
      <c r="I738" s="35" t="s">
        <v>981</v>
      </c>
      <c r="J738" s="37">
        <f t="shared" si="40"/>
        <v>2236261589.3000002</v>
      </c>
      <c r="K738" s="43">
        <f t="shared" si="39"/>
        <v>12599968223.41</v>
      </c>
      <c r="L738" s="124"/>
      <c r="M738" s="40"/>
      <c r="N738" s="40"/>
      <c r="O738" s="41"/>
    </row>
    <row r="739" spans="1:15" s="7" customFormat="1" ht="18.75">
      <c r="A739" s="56"/>
      <c r="B739" s="109"/>
      <c r="C739" s="111" t="s">
        <v>154</v>
      </c>
      <c r="D739" s="166" t="s">
        <v>982</v>
      </c>
      <c r="E739" s="44"/>
      <c r="F739" s="149">
        <v>3138694936.8400002</v>
      </c>
      <c r="G739" s="178" t="s">
        <v>156</v>
      </c>
      <c r="H739" s="177">
        <v>450000000</v>
      </c>
      <c r="I739" s="35" t="s">
        <v>981</v>
      </c>
      <c r="J739" s="37">
        <f t="shared" si="40"/>
        <v>2688694936.8400002</v>
      </c>
      <c r="K739" s="43">
        <f t="shared" si="39"/>
        <v>14836229812.709999</v>
      </c>
      <c r="L739" s="124"/>
      <c r="M739" s="40"/>
      <c r="N739" s="40"/>
      <c r="O739" s="41"/>
    </row>
    <row r="740" spans="1:15" s="7" customFormat="1" ht="18.75">
      <c r="A740" s="56"/>
      <c r="B740" s="109"/>
      <c r="C740" s="111" t="s">
        <v>158</v>
      </c>
      <c r="D740" s="166" t="s">
        <v>983</v>
      </c>
      <c r="E740" s="44"/>
      <c r="F740" s="149">
        <v>2948569806.6700001</v>
      </c>
      <c r="G740" s="178" t="s">
        <v>160</v>
      </c>
      <c r="H740" s="177">
        <v>1000000000</v>
      </c>
      <c r="I740" s="35" t="s">
        <v>984</v>
      </c>
      <c r="J740" s="37">
        <f t="shared" si="40"/>
        <v>1948569806.6700001</v>
      </c>
      <c r="K740" s="43">
        <f t="shared" si="39"/>
        <v>17524924749.549999</v>
      </c>
      <c r="L740" s="124"/>
      <c r="M740" s="40"/>
      <c r="N740" s="40"/>
      <c r="O740" s="41"/>
    </row>
    <row r="741" spans="1:15" s="7" customFormat="1" ht="18.75">
      <c r="A741" s="56"/>
      <c r="B741" s="109"/>
      <c r="C741" s="111" t="s">
        <v>162</v>
      </c>
      <c r="D741" s="166" t="s">
        <v>985</v>
      </c>
      <c r="E741" s="44"/>
      <c r="F741" s="149">
        <v>3706358445.3899999</v>
      </c>
      <c r="G741" s="178" t="s">
        <v>164</v>
      </c>
      <c r="H741" s="177">
        <v>1000000000</v>
      </c>
      <c r="I741" s="35" t="s">
        <v>149</v>
      </c>
      <c r="J741" s="37">
        <f t="shared" si="40"/>
        <v>2706358445.3899999</v>
      </c>
      <c r="K741" s="43">
        <f t="shared" si="39"/>
        <v>19473494556.220001</v>
      </c>
      <c r="L741" s="124"/>
      <c r="M741" s="40"/>
      <c r="N741" s="40"/>
      <c r="O741" s="41"/>
    </row>
    <row r="742" spans="1:15" s="7" customFormat="1" ht="18.75">
      <c r="A742" s="56"/>
      <c r="B742" s="109"/>
      <c r="C742" s="111" t="s">
        <v>166</v>
      </c>
      <c r="D742" s="166" t="s">
        <v>986</v>
      </c>
      <c r="E742" s="44"/>
      <c r="F742" s="149">
        <v>3242535118.6599998</v>
      </c>
      <c r="G742" s="178" t="s">
        <v>591</v>
      </c>
      <c r="H742" s="177">
        <f>500000000+200000000+500000000+500000000</f>
        <v>1700000000</v>
      </c>
      <c r="I742" s="35" t="s">
        <v>987</v>
      </c>
      <c r="J742" s="37">
        <f t="shared" si="40"/>
        <v>1542535118.6599998</v>
      </c>
      <c r="K742" s="43">
        <f t="shared" si="39"/>
        <v>22179853001.610001</v>
      </c>
      <c r="L742" s="124"/>
      <c r="M742" s="40"/>
      <c r="N742" s="40"/>
      <c r="O742" s="41"/>
    </row>
    <row r="743" spans="1:15" s="7" customFormat="1" ht="18.75">
      <c r="A743" s="56"/>
      <c r="B743" s="109"/>
      <c r="C743" s="111" t="s">
        <v>170</v>
      </c>
      <c r="D743" s="166" t="s">
        <v>988</v>
      </c>
      <c r="E743" s="44"/>
      <c r="F743" s="149">
        <v>2894734196.4344997</v>
      </c>
      <c r="G743" s="178" t="s">
        <v>989</v>
      </c>
      <c r="H743" s="177">
        <v>500000000</v>
      </c>
      <c r="I743" s="35" t="s">
        <v>990</v>
      </c>
      <c r="J743" s="37">
        <f t="shared" si="40"/>
        <v>2394734196.4344997</v>
      </c>
      <c r="K743" s="43">
        <f t="shared" si="39"/>
        <v>23722388120.27</v>
      </c>
      <c r="L743" s="124"/>
      <c r="M743" s="40"/>
      <c r="N743" s="40"/>
      <c r="O743" s="41"/>
    </row>
    <row r="744" spans="1:15" s="7" customFormat="1" ht="18.75">
      <c r="A744" s="56"/>
      <c r="B744" s="109"/>
      <c r="C744" s="111" t="s">
        <v>174</v>
      </c>
      <c r="D744" s="166" t="s">
        <v>991</v>
      </c>
      <c r="E744" s="44"/>
      <c r="F744" s="149">
        <v>3593213353.9679999</v>
      </c>
      <c r="G744" s="178" t="s">
        <v>523</v>
      </c>
      <c r="H744" s="177">
        <v>800000000</v>
      </c>
      <c r="I744" s="35" t="s">
        <v>979</v>
      </c>
      <c r="J744" s="37">
        <f t="shared" si="40"/>
        <v>2793213353.9679999</v>
      </c>
      <c r="K744" s="43">
        <f t="shared" si="39"/>
        <v>26117122316.704498</v>
      </c>
      <c r="L744" s="124"/>
      <c r="M744" s="40"/>
      <c r="N744" s="40"/>
      <c r="O744" s="41"/>
    </row>
    <row r="745" spans="1:15" s="7" customFormat="1" ht="18.75">
      <c r="A745" s="56"/>
      <c r="B745" s="109"/>
      <c r="C745" s="111" t="s">
        <v>178</v>
      </c>
      <c r="D745" s="166" t="s">
        <v>992</v>
      </c>
      <c r="E745" s="44"/>
      <c r="F745" s="149">
        <v>3368055047.3800001</v>
      </c>
      <c r="G745" s="178" t="s">
        <v>179</v>
      </c>
      <c r="H745" s="177">
        <v>700000000</v>
      </c>
      <c r="I745" s="35" t="s">
        <v>993</v>
      </c>
      <c r="J745" s="37">
        <f t="shared" si="40"/>
        <v>2668055047.3800001</v>
      </c>
      <c r="K745" s="43">
        <f t="shared" si="39"/>
        <v>28910335670.672497</v>
      </c>
      <c r="L745" s="124"/>
      <c r="M745" s="40"/>
      <c r="N745" s="40"/>
      <c r="O745" s="41"/>
    </row>
    <row r="746" spans="1:15" s="7" customFormat="1" ht="18.75">
      <c r="A746" s="56"/>
      <c r="B746" s="109"/>
      <c r="C746" s="111" t="s">
        <v>181</v>
      </c>
      <c r="D746" s="166" t="s">
        <v>994</v>
      </c>
      <c r="E746" s="44"/>
      <c r="F746" s="149">
        <v>3931917857.0700002</v>
      </c>
      <c r="G746" s="178" t="s">
        <v>183</v>
      </c>
      <c r="H746" s="177">
        <v>1000000000</v>
      </c>
      <c r="I746" s="35" t="s">
        <v>995</v>
      </c>
      <c r="J746" s="37">
        <f t="shared" si="40"/>
        <v>2931917857.0700002</v>
      </c>
      <c r="K746" s="43">
        <f t="shared" si="39"/>
        <v>31578390718.052498</v>
      </c>
      <c r="L746" s="124"/>
      <c r="M746" s="40"/>
      <c r="N746" s="40"/>
      <c r="O746" s="59">
        <v>500000000</v>
      </c>
    </row>
    <row r="747" spans="1:15" s="7" customFormat="1" ht="18.75">
      <c r="A747" s="56"/>
      <c r="B747" s="109"/>
      <c r="C747" s="111" t="s">
        <v>185</v>
      </c>
      <c r="D747" s="166" t="s">
        <v>996</v>
      </c>
      <c r="E747" s="44"/>
      <c r="F747" s="149">
        <v>3494359758.1500001</v>
      </c>
      <c r="G747" s="178" t="s">
        <v>187</v>
      </c>
      <c r="H747" s="177">
        <v>1000000000</v>
      </c>
      <c r="I747" s="35" t="s">
        <v>688</v>
      </c>
      <c r="J747" s="37">
        <f t="shared" si="40"/>
        <v>2494359758.1500001</v>
      </c>
      <c r="K747" s="43">
        <f t="shared" si="39"/>
        <v>34510308575.122498</v>
      </c>
      <c r="L747" s="124"/>
      <c r="M747" s="40"/>
      <c r="N747" s="40"/>
      <c r="O747" s="41"/>
    </row>
    <row r="748" spans="1:15" s="7" customFormat="1" ht="18.75">
      <c r="A748" s="56"/>
      <c r="B748" s="109"/>
      <c r="C748" s="111" t="s">
        <v>189</v>
      </c>
      <c r="D748" s="166" t="s">
        <v>997</v>
      </c>
      <c r="E748" s="44"/>
      <c r="F748" s="149">
        <v>3687510674.6100001</v>
      </c>
      <c r="G748" s="178" t="s">
        <v>377</v>
      </c>
      <c r="H748" s="177"/>
      <c r="I748" s="35"/>
      <c r="J748" s="37">
        <f t="shared" si="40"/>
        <v>3687510674.6100001</v>
      </c>
      <c r="K748" s="43">
        <f t="shared" si="39"/>
        <v>37004668333.272499</v>
      </c>
      <c r="L748" s="124"/>
      <c r="M748" s="40"/>
      <c r="N748" s="40"/>
      <c r="O748" s="41"/>
    </row>
    <row r="749" spans="1:15" s="7" customFormat="1" ht="18.75">
      <c r="A749" s="56"/>
      <c r="B749" s="109"/>
      <c r="C749" s="111" t="s">
        <v>191</v>
      </c>
      <c r="D749" s="166" t="s">
        <v>998</v>
      </c>
      <c r="E749" s="44">
        <v>43986</v>
      </c>
      <c r="F749" s="149">
        <v>3662090653.0332499</v>
      </c>
      <c r="G749" s="178" t="s">
        <v>193</v>
      </c>
      <c r="H749" s="177">
        <v>1000000000</v>
      </c>
      <c r="I749" s="35" t="s">
        <v>999</v>
      </c>
      <c r="J749" s="37">
        <f t="shared" si="40"/>
        <v>2662090653.0332499</v>
      </c>
      <c r="K749" s="43">
        <f t="shared" si="39"/>
        <v>40692179007.8825</v>
      </c>
      <c r="L749" s="124"/>
      <c r="M749" s="40"/>
      <c r="N749" s="40"/>
      <c r="O749" s="41"/>
    </row>
    <row r="750" spans="1:15" s="7" customFormat="1" ht="18.75">
      <c r="A750" s="56"/>
      <c r="B750" s="109"/>
      <c r="C750" s="111" t="s">
        <v>195</v>
      </c>
      <c r="D750" s="166" t="s">
        <v>1000</v>
      </c>
      <c r="E750" s="44" t="s">
        <v>197</v>
      </c>
      <c r="F750" s="149">
        <v>3423319826.6345</v>
      </c>
      <c r="G750" s="178" t="s">
        <v>198</v>
      </c>
      <c r="H750" s="177">
        <v>1000000000</v>
      </c>
      <c r="I750" s="35" t="s">
        <v>527</v>
      </c>
      <c r="J750" s="37">
        <f t="shared" si="40"/>
        <v>2423319826.6345</v>
      </c>
      <c r="K750" s="43">
        <f t="shared" si="39"/>
        <v>43354269660.915749</v>
      </c>
      <c r="L750" s="124"/>
      <c r="M750" s="40"/>
      <c r="N750" s="40"/>
      <c r="O750" s="41"/>
    </row>
    <row r="751" spans="1:15" s="7" customFormat="1" ht="18.75">
      <c r="A751" s="56"/>
      <c r="B751" s="109"/>
      <c r="C751" s="111" t="s">
        <v>199</v>
      </c>
      <c r="D751" s="166" t="s">
        <v>1001</v>
      </c>
      <c r="E751" s="44">
        <v>44049</v>
      </c>
      <c r="F751" s="149">
        <v>3768447228.48</v>
      </c>
      <c r="G751" s="178">
        <v>43897</v>
      </c>
      <c r="H751" s="177">
        <v>500000000</v>
      </c>
      <c r="I751" s="35" t="s">
        <v>772</v>
      </c>
      <c r="J751" s="37">
        <f t="shared" si="40"/>
        <v>3268447228.48</v>
      </c>
      <c r="K751" s="43">
        <f t="shared" si="39"/>
        <v>45777589487.550247</v>
      </c>
      <c r="L751" s="124"/>
      <c r="M751" s="40"/>
      <c r="N751" s="40"/>
      <c r="O751" s="41"/>
    </row>
    <row r="752" spans="1:15" s="7" customFormat="1" ht="18.75">
      <c r="A752" s="56"/>
      <c r="B752" s="109"/>
      <c r="C752" s="111" t="s">
        <v>201</v>
      </c>
      <c r="D752" s="166" t="s">
        <v>1002</v>
      </c>
      <c r="E752" s="44" t="s">
        <v>449</v>
      </c>
      <c r="F752" s="149">
        <v>3570085310.8699999</v>
      </c>
      <c r="G752" s="178">
        <v>43929</v>
      </c>
      <c r="H752" s="177">
        <v>1000000000</v>
      </c>
      <c r="I752" s="35" t="s">
        <v>772</v>
      </c>
      <c r="J752" s="37">
        <f t="shared" si="40"/>
        <v>2570085310.8699999</v>
      </c>
      <c r="K752" s="43">
        <f t="shared" si="39"/>
        <v>49046036716.030251</v>
      </c>
      <c r="L752" s="124"/>
      <c r="M752" s="40"/>
      <c r="N752" s="40"/>
      <c r="O752" s="41"/>
    </row>
    <row r="753" spans="1:15" s="7" customFormat="1" ht="18.75">
      <c r="A753" s="56"/>
      <c r="B753" s="109"/>
      <c r="C753" s="111" t="s">
        <v>203</v>
      </c>
      <c r="D753" s="166" t="s">
        <v>1003</v>
      </c>
      <c r="E753" s="44">
        <v>43990</v>
      </c>
      <c r="F753" s="149">
        <v>4283347119.0500002</v>
      </c>
      <c r="G753" s="178" t="s">
        <v>290</v>
      </c>
      <c r="H753" s="177">
        <v>1000000000</v>
      </c>
      <c r="I753" s="35" t="s">
        <v>772</v>
      </c>
      <c r="J753" s="37">
        <f t="shared" si="40"/>
        <v>3283347119.0500002</v>
      </c>
      <c r="K753" s="43">
        <f t="shared" si="39"/>
        <v>51616122026.900253</v>
      </c>
      <c r="L753" s="124"/>
      <c r="M753" s="40"/>
      <c r="N753" s="40"/>
      <c r="O753" s="41"/>
    </row>
    <row r="754" spans="1:15" s="7" customFormat="1" ht="18.75">
      <c r="A754" s="56"/>
      <c r="B754" s="109"/>
      <c r="C754" s="111" t="s">
        <v>207</v>
      </c>
      <c r="D754" s="166" t="s">
        <v>1003</v>
      </c>
      <c r="E754" s="44" t="s">
        <v>1004</v>
      </c>
      <c r="F754" s="149">
        <v>3848905833.77</v>
      </c>
      <c r="G754" s="178" t="s">
        <v>888</v>
      </c>
      <c r="H754" s="177">
        <v>1000000000</v>
      </c>
      <c r="I754" s="35" t="s">
        <v>568</v>
      </c>
      <c r="J754" s="37">
        <f t="shared" si="40"/>
        <v>2848905833.77</v>
      </c>
      <c r="K754" s="43">
        <f t="shared" si="39"/>
        <v>54899469145.950256</v>
      </c>
      <c r="L754" s="148"/>
      <c r="M754" s="40"/>
      <c r="N754" s="40"/>
      <c r="O754" s="41"/>
    </row>
    <row r="755" spans="1:15" s="7" customFormat="1" ht="18.75">
      <c r="A755" s="56"/>
      <c r="B755" s="109"/>
      <c r="C755" s="111" t="s">
        <v>212</v>
      </c>
      <c r="D755" s="166" t="s">
        <v>1005</v>
      </c>
      <c r="E755" s="44" t="s">
        <v>1006</v>
      </c>
      <c r="F755" s="149">
        <v>4403786123.7227497</v>
      </c>
      <c r="G755" s="178">
        <v>44023</v>
      </c>
      <c r="H755" s="177">
        <v>500000000</v>
      </c>
      <c r="I755" s="35" t="s">
        <v>1007</v>
      </c>
      <c r="J755" s="37">
        <f t="shared" si="40"/>
        <v>3903786123.7227497</v>
      </c>
      <c r="K755" s="43">
        <f t="shared" si="39"/>
        <v>57748374979.720253</v>
      </c>
      <c r="L755" s="124"/>
      <c r="M755" s="40"/>
      <c r="N755" s="40"/>
      <c r="O755" s="41"/>
    </row>
    <row r="756" spans="1:15" s="7" customFormat="1" ht="18.75">
      <c r="A756" s="56"/>
      <c r="B756" s="109"/>
      <c r="C756" s="111" t="s">
        <v>214</v>
      </c>
      <c r="D756" s="166" t="s">
        <v>1008</v>
      </c>
      <c r="E756" s="44" t="s">
        <v>216</v>
      </c>
      <c r="F756" s="149">
        <v>4014419269.4660001</v>
      </c>
      <c r="G756" s="178">
        <v>44177</v>
      </c>
      <c r="H756" s="177">
        <v>500000000</v>
      </c>
      <c r="I756" s="35" t="s">
        <v>1009</v>
      </c>
      <c r="J756" s="37">
        <f t="shared" si="40"/>
        <v>3514419269.4660001</v>
      </c>
      <c r="K756" s="43">
        <f t="shared" si="39"/>
        <v>61652161103.443001</v>
      </c>
      <c r="L756" s="124"/>
      <c r="M756" s="40"/>
      <c r="N756" s="40"/>
      <c r="O756" s="41"/>
    </row>
    <row r="757" spans="1:15" s="7" customFormat="1" ht="18.75">
      <c r="A757" s="56"/>
      <c r="B757" s="109"/>
      <c r="C757" s="111" t="s">
        <v>218</v>
      </c>
      <c r="D757" s="166" t="s">
        <v>1010</v>
      </c>
      <c r="E757" s="44" t="s">
        <v>703</v>
      </c>
      <c r="F757" s="149">
        <v>4330811686.84025</v>
      </c>
      <c r="G757" s="178">
        <v>44531</v>
      </c>
      <c r="H757" s="177">
        <f>500000000+700000000+400000000+500000000</f>
        <v>2100000000</v>
      </c>
      <c r="I757" s="35" t="s">
        <v>161</v>
      </c>
      <c r="J757" s="37">
        <f t="shared" si="40"/>
        <v>2230811686.84025</v>
      </c>
      <c r="K757" s="43">
        <f t="shared" si="39"/>
        <v>65166580372.909004</v>
      </c>
      <c r="L757" s="124"/>
      <c r="M757" s="40"/>
      <c r="N757" s="40"/>
      <c r="O757" s="41"/>
    </row>
    <row r="758" spans="1:15" s="7" customFormat="1" ht="18.75">
      <c r="A758" s="56"/>
      <c r="B758" s="109"/>
      <c r="C758" s="111" t="s">
        <v>219</v>
      </c>
      <c r="D758" s="166" t="s">
        <v>1011</v>
      </c>
      <c r="E758" s="44" t="s">
        <v>1012</v>
      </c>
      <c r="F758" s="149">
        <v>4059629827.0002503</v>
      </c>
      <c r="G758" s="178" t="s">
        <v>1013</v>
      </c>
      <c r="H758" s="177">
        <f>124387378.17+500000000+600000000+500000000+900000000+500000000+500000000</f>
        <v>3624387378.1700001</v>
      </c>
      <c r="I758" s="35" t="s">
        <v>1014</v>
      </c>
      <c r="J758" s="37">
        <f t="shared" si="40"/>
        <v>435242448.83025026</v>
      </c>
      <c r="K758" s="43">
        <f t="shared" si="39"/>
        <v>67397392059.749252</v>
      </c>
      <c r="L758" s="124"/>
      <c r="M758" s="40"/>
      <c r="N758" s="40"/>
      <c r="O758" s="41"/>
    </row>
    <row r="759" spans="1:15" s="7" customFormat="1" ht="18.75">
      <c r="A759" s="56"/>
      <c r="B759" s="109"/>
      <c r="C759" s="111"/>
      <c r="D759" s="166"/>
      <c r="E759" s="44"/>
      <c r="F759" s="149"/>
      <c r="G759" s="178"/>
      <c r="H759" s="177">
        <f>800000000+800000000+1900000000</f>
        <v>3500000000</v>
      </c>
      <c r="I759" s="35" t="s">
        <v>1015</v>
      </c>
      <c r="J759" s="37">
        <f t="shared" si="40"/>
        <v>-3500000000</v>
      </c>
      <c r="K759" s="43">
        <f t="shared" si="39"/>
        <v>67832634508.579506</v>
      </c>
      <c r="L759" s="124"/>
      <c r="M759" s="40"/>
      <c r="N759" s="40"/>
      <c r="O759" s="41"/>
    </row>
    <row r="760" spans="1:15" s="7" customFormat="1" ht="18.75">
      <c r="A760" s="56"/>
      <c r="B760" s="109"/>
      <c r="C760" s="111"/>
      <c r="D760" s="166"/>
      <c r="E760" s="44"/>
      <c r="F760" s="149"/>
      <c r="G760" s="178"/>
      <c r="H760" s="177">
        <f>2000000000+500000000+500000000+200000000+100000000</f>
        <v>3300000000</v>
      </c>
      <c r="I760" s="35" t="s">
        <v>1016</v>
      </c>
      <c r="J760" s="37">
        <f t="shared" si="40"/>
        <v>-3300000000</v>
      </c>
      <c r="K760" s="43">
        <f t="shared" si="39"/>
        <v>64332634508.579506</v>
      </c>
      <c r="L760" s="124"/>
      <c r="M760" s="40"/>
      <c r="N760" s="40"/>
      <c r="O760" s="41"/>
    </row>
    <row r="761" spans="1:15" s="7" customFormat="1" ht="18.75">
      <c r="A761" s="56"/>
      <c r="B761" s="109"/>
      <c r="C761" s="111"/>
      <c r="D761" s="166"/>
      <c r="E761" s="44"/>
      <c r="F761" s="149"/>
      <c r="G761" s="178"/>
      <c r="H761" s="177">
        <f>500000000+1000000000+500000000+100000000</f>
        <v>2100000000</v>
      </c>
      <c r="I761" s="35" t="s">
        <v>1017</v>
      </c>
      <c r="J761" s="37">
        <f t="shared" si="40"/>
        <v>-2100000000</v>
      </c>
      <c r="K761" s="43">
        <f t="shared" si="39"/>
        <v>61032634508.579506</v>
      </c>
      <c r="L761" s="124"/>
      <c r="M761" s="40"/>
      <c r="N761" s="40"/>
      <c r="O761" s="59"/>
    </row>
    <row r="762" spans="1:15" s="7" customFormat="1" ht="18.75">
      <c r="A762" s="56"/>
      <c r="B762" s="109"/>
      <c r="C762" s="111"/>
      <c r="D762" s="166"/>
      <c r="E762" s="44"/>
      <c r="F762" s="149"/>
      <c r="G762" s="178"/>
      <c r="H762" s="177">
        <f>1000000000+500000000</f>
        <v>1500000000</v>
      </c>
      <c r="I762" s="35" t="s">
        <v>705</v>
      </c>
      <c r="J762" s="37">
        <f t="shared" si="40"/>
        <v>-1500000000</v>
      </c>
      <c r="K762" s="43">
        <f t="shared" si="39"/>
        <v>58932634508.579506</v>
      </c>
      <c r="L762" s="124"/>
      <c r="M762" s="40"/>
      <c r="N762" s="40"/>
      <c r="O762" s="59"/>
    </row>
    <row r="763" spans="1:15" s="7" customFormat="1" ht="18.75">
      <c r="A763" s="56"/>
      <c r="B763" s="109"/>
      <c r="C763" s="111"/>
      <c r="D763" s="166"/>
      <c r="E763" s="44"/>
      <c r="F763" s="149"/>
      <c r="G763" s="178"/>
      <c r="H763" s="177">
        <f>1000000000+500000000+500000000+500000000</f>
        <v>2500000000</v>
      </c>
      <c r="I763" s="35" t="s">
        <v>378</v>
      </c>
      <c r="J763" s="37">
        <f t="shared" si="40"/>
        <v>-2500000000</v>
      </c>
      <c r="K763" s="43">
        <f t="shared" si="39"/>
        <v>57432634508.579506</v>
      </c>
      <c r="L763" s="124"/>
      <c r="M763" s="40"/>
      <c r="N763" s="40"/>
      <c r="O763" s="41"/>
    </row>
    <row r="764" spans="1:15" s="7" customFormat="1" ht="18.75">
      <c r="A764" s="56"/>
      <c r="B764" s="109"/>
      <c r="C764" s="111"/>
      <c r="D764" s="166"/>
      <c r="E764" s="44"/>
      <c r="F764" s="149"/>
      <c r="G764" s="178"/>
      <c r="H764" s="177">
        <f>500000000+1000000000+1000000000</f>
        <v>2500000000</v>
      </c>
      <c r="I764" s="35" t="s">
        <v>193</v>
      </c>
      <c r="J764" s="37">
        <f t="shared" si="40"/>
        <v>-2500000000</v>
      </c>
      <c r="K764" s="43">
        <f t="shared" ref="K764:K772" si="41">K763+J763</f>
        <v>54932634508.579506</v>
      </c>
      <c r="L764" s="124"/>
      <c r="M764" s="40"/>
      <c r="N764" s="40"/>
      <c r="O764" s="41"/>
    </row>
    <row r="765" spans="1:15" s="7" customFormat="1" ht="18.75">
      <c r="A765" s="56"/>
      <c r="B765" s="109"/>
      <c r="C765" s="111"/>
      <c r="D765" s="166"/>
      <c r="E765" s="44"/>
      <c r="F765" s="149"/>
      <c r="G765" s="178"/>
      <c r="H765" s="177">
        <f>500000000+500000000+500000000+1000000000</f>
        <v>2500000000</v>
      </c>
      <c r="I765" s="35" t="s">
        <v>852</v>
      </c>
      <c r="J765" s="37">
        <f t="shared" si="40"/>
        <v>-2500000000</v>
      </c>
      <c r="K765" s="43">
        <f t="shared" si="41"/>
        <v>52432634508.579506</v>
      </c>
      <c r="L765" s="124"/>
      <c r="M765" s="40"/>
      <c r="N765" s="40"/>
      <c r="O765" s="41"/>
    </row>
    <row r="766" spans="1:15" s="7" customFormat="1" ht="18.75">
      <c r="A766" s="56"/>
      <c r="B766" s="109"/>
      <c r="C766" s="111"/>
      <c r="D766" s="166"/>
      <c r="E766" s="44"/>
      <c r="F766" s="149"/>
      <c r="G766" s="178"/>
      <c r="H766" s="177">
        <f>1000000000+1000000000+1000000000+1000000000</f>
        <v>4000000000</v>
      </c>
      <c r="I766" s="35" t="s">
        <v>719</v>
      </c>
      <c r="J766" s="37">
        <f t="shared" si="40"/>
        <v>-4000000000</v>
      </c>
      <c r="K766" s="43">
        <f t="shared" si="41"/>
        <v>49932634508.579506</v>
      </c>
      <c r="L766" s="124"/>
      <c r="M766" s="40"/>
      <c r="N766" s="40"/>
      <c r="O766" s="41"/>
    </row>
    <row r="767" spans="1:15" s="7" customFormat="1" ht="18.75">
      <c r="A767" s="56"/>
      <c r="B767" s="109"/>
      <c r="C767" s="111"/>
      <c r="D767" s="166"/>
      <c r="E767" s="44"/>
      <c r="F767" s="149"/>
      <c r="G767" s="178"/>
      <c r="H767" s="177">
        <f>1000000000+1000000000+1000000000+1000000000</f>
        <v>4000000000</v>
      </c>
      <c r="I767" s="35" t="s">
        <v>785</v>
      </c>
      <c r="J767" s="37">
        <f t="shared" si="40"/>
        <v>-4000000000</v>
      </c>
      <c r="K767" s="43">
        <f t="shared" si="41"/>
        <v>45932634508.579506</v>
      </c>
      <c r="L767" s="124"/>
      <c r="M767" s="40"/>
      <c r="N767" s="40"/>
      <c r="O767" s="41"/>
    </row>
    <row r="768" spans="1:15" s="7" customFormat="1" ht="18.75">
      <c r="A768" s="56"/>
      <c r="B768" s="109"/>
      <c r="C768" s="153" t="s">
        <v>1018</v>
      </c>
      <c r="D768" s="179"/>
      <c r="E768" s="44"/>
      <c r="F768" s="149"/>
      <c r="G768" s="178"/>
      <c r="H768" s="177">
        <v>3644842754.48</v>
      </c>
      <c r="I768" s="35" t="s">
        <v>1019</v>
      </c>
      <c r="J768" s="37">
        <f t="shared" si="40"/>
        <v>-3644842754.48</v>
      </c>
      <c r="K768" s="43">
        <f t="shared" si="41"/>
        <v>41932634508.579506</v>
      </c>
      <c r="L768" s="124">
        <v>-3644842754.48</v>
      </c>
      <c r="M768" s="40"/>
      <c r="N768" s="40"/>
      <c r="O768" s="41"/>
    </row>
    <row r="769" spans="1:15" s="7" customFormat="1" ht="18.75">
      <c r="A769" s="56"/>
      <c r="B769" s="109"/>
      <c r="C769" s="153"/>
      <c r="D769" s="166"/>
      <c r="E769" s="44"/>
      <c r="F769" s="149"/>
      <c r="G769" s="178"/>
      <c r="H769" s="177">
        <f>1000000000+1000000000+1000000000+1000000000</f>
        <v>4000000000</v>
      </c>
      <c r="I769" s="35" t="s">
        <v>720</v>
      </c>
      <c r="J769" s="37">
        <f t="shared" si="40"/>
        <v>-4000000000</v>
      </c>
      <c r="K769" s="43">
        <f t="shared" si="41"/>
        <v>38287791754.099503</v>
      </c>
      <c r="L769" s="124"/>
      <c r="M769" s="40"/>
      <c r="N769" s="40"/>
      <c r="O769" s="41"/>
    </row>
    <row r="770" spans="1:15" s="7" customFormat="1" ht="18.75">
      <c r="A770" s="56"/>
      <c r="B770" s="109"/>
      <c r="C770" s="153"/>
      <c r="D770" s="166"/>
      <c r="E770" s="44"/>
      <c r="F770" s="149"/>
      <c r="G770" s="178"/>
      <c r="H770" s="177">
        <f>1000000000+1000000000+1000000000+500000000+500000000+500000000</f>
        <v>4500000000</v>
      </c>
      <c r="I770" s="35" t="s">
        <v>887</v>
      </c>
      <c r="J770" s="37">
        <f t="shared" si="40"/>
        <v>-4500000000</v>
      </c>
      <c r="K770" s="43">
        <f t="shared" si="41"/>
        <v>34287791754.099503</v>
      </c>
      <c r="L770" s="124"/>
      <c r="M770" s="40"/>
      <c r="N770" s="40"/>
      <c r="O770" s="41"/>
    </row>
    <row r="771" spans="1:15" s="7" customFormat="1" ht="18.75">
      <c r="A771" s="56"/>
      <c r="B771" s="109"/>
      <c r="C771" s="153"/>
      <c r="D771" s="166"/>
      <c r="E771" s="44"/>
      <c r="F771" s="149"/>
      <c r="G771" s="178"/>
      <c r="H771" s="177">
        <f>1000000000+1000000000+245000000+1000000000</f>
        <v>3245000000</v>
      </c>
      <c r="I771" s="35" t="s">
        <v>288</v>
      </c>
      <c r="J771" s="37">
        <f t="shared" si="40"/>
        <v>-3245000000</v>
      </c>
      <c r="K771" s="43">
        <f t="shared" si="41"/>
        <v>29787791754.099503</v>
      </c>
      <c r="L771" s="124"/>
      <c r="M771" s="40"/>
      <c r="N771" s="40"/>
      <c r="O771" s="41"/>
    </row>
    <row r="772" spans="1:15" s="7" customFormat="1" ht="18.75">
      <c r="A772" s="56"/>
      <c r="B772" s="109"/>
      <c r="C772" s="153" t="s">
        <v>1020</v>
      </c>
      <c r="D772" s="179" t="s">
        <v>1021</v>
      </c>
      <c r="E772" s="44"/>
      <c r="F772" s="149"/>
      <c r="G772" s="178"/>
      <c r="H772" s="177">
        <v>2335495297.8899999</v>
      </c>
      <c r="I772" s="35"/>
      <c r="J772" s="37">
        <f t="shared" si="40"/>
        <v>-2335495297.8899999</v>
      </c>
      <c r="K772" s="43">
        <f t="shared" si="41"/>
        <v>26542791754.099503</v>
      </c>
      <c r="L772" s="124"/>
      <c r="M772" s="40"/>
      <c r="N772" s="40"/>
      <c r="O772" s="41"/>
    </row>
    <row r="773" spans="1:15" s="7" customFormat="1" ht="18.75">
      <c r="A773" s="56"/>
      <c r="B773" s="109"/>
      <c r="C773" s="153" t="s">
        <v>865</v>
      </c>
      <c r="D773" s="179"/>
      <c r="E773" s="44"/>
      <c r="F773" s="149"/>
      <c r="G773" s="178"/>
      <c r="H773" s="177">
        <v>1970726287.3</v>
      </c>
      <c r="I773" s="35"/>
      <c r="J773" s="37">
        <f t="shared" si="40"/>
        <v>-1970726287.3</v>
      </c>
      <c r="K773" s="43">
        <f>K772+J772</f>
        <v>24207296456.209503</v>
      </c>
      <c r="L773" s="124">
        <v>-1970726287.3</v>
      </c>
      <c r="M773" s="40"/>
      <c r="N773" s="40"/>
      <c r="O773" s="41"/>
    </row>
    <row r="774" spans="1:15" s="7" customFormat="1" ht="18.75">
      <c r="A774" s="56"/>
      <c r="B774" s="109"/>
      <c r="C774" s="153"/>
      <c r="D774" s="179"/>
      <c r="E774" s="44"/>
      <c r="F774" s="149"/>
      <c r="G774" s="178"/>
      <c r="H774" s="177">
        <f>1000000000+500000000+500000000+1000000000</f>
        <v>3000000000</v>
      </c>
      <c r="I774" s="35" t="s">
        <v>382</v>
      </c>
      <c r="J774" s="37">
        <f t="shared" si="40"/>
        <v>-3000000000</v>
      </c>
      <c r="K774" s="43">
        <f>K773+J773</f>
        <v>22236570168.909504</v>
      </c>
      <c r="L774" s="124"/>
      <c r="M774" s="40"/>
      <c r="N774" s="40"/>
      <c r="O774" s="41"/>
    </row>
    <row r="775" spans="1:15" s="7" customFormat="1" ht="18.75">
      <c r="A775" s="56"/>
      <c r="B775" s="109"/>
      <c r="C775" s="153"/>
      <c r="D775" s="179"/>
      <c r="E775" s="44"/>
      <c r="F775" s="149"/>
      <c r="G775" s="178"/>
      <c r="H775" s="177">
        <f>600000000+1000000000+1000000000+1000000000+700000000+300000000</f>
        <v>4600000000</v>
      </c>
      <c r="I775" s="35" t="s">
        <v>1022</v>
      </c>
      <c r="J775" s="37">
        <f t="shared" si="40"/>
        <v>-4600000000</v>
      </c>
      <c r="K775" s="43">
        <f>K774+J774</f>
        <v>19236570168.909504</v>
      </c>
      <c r="L775" s="4"/>
      <c r="M775" s="40"/>
      <c r="N775" s="40"/>
      <c r="O775" s="41"/>
    </row>
    <row r="776" spans="1:15" s="7" customFormat="1" ht="18.75">
      <c r="A776" s="56"/>
      <c r="B776" s="109"/>
      <c r="C776" s="153"/>
      <c r="D776" s="179"/>
      <c r="E776" s="44"/>
      <c r="F776" s="149"/>
      <c r="G776" s="178"/>
      <c r="H776" s="177">
        <f>1000000000+1000000000</f>
        <v>2000000000</v>
      </c>
      <c r="I776" s="35" t="s">
        <v>604</v>
      </c>
      <c r="J776" s="37">
        <f t="shared" si="40"/>
        <v>-2000000000</v>
      </c>
      <c r="K776" s="43">
        <f t="shared" ref="K776:K786" si="42">K775+J775</f>
        <v>14636570168.909504</v>
      </c>
      <c r="L776" s="4"/>
      <c r="M776" s="40">
        <f>J775+J776+J778</f>
        <v>-10000000000</v>
      </c>
      <c r="N776" s="40"/>
      <c r="O776" s="41"/>
    </row>
    <row r="777" spans="1:15" s="7" customFormat="1" ht="18.75">
      <c r="A777" s="56"/>
      <c r="B777" s="109"/>
      <c r="C777" s="153" t="s">
        <v>1023</v>
      </c>
      <c r="D777" s="179"/>
      <c r="E777" s="44"/>
      <c r="F777" s="149"/>
      <c r="G777" s="178"/>
      <c r="H777" s="177">
        <v>1847131680.1400001</v>
      </c>
      <c r="I777" s="35"/>
      <c r="J777" s="37">
        <f t="shared" si="40"/>
        <v>-1847131680.1400001</v>
      </c>
      <c r="K777" s="43">
        <f t="shared" si="42"/>
        <v>12636570168.909504</v>
      </c>
      <c r="L777" s="4">
        <v>-1847131680.1400001</v>
      </c>
      <c r="M777" s="40"/>
      <c r="N777" s="40"/>
      <c r="O777" s="41"/>
    </row>
    <row r="778" spans="1:15" s="7" customFormat="1" ht="18.75">
      <c r="A778" s="56"/>
      <c r="B778" s="109"/>
      <c r="C778" s="153"/>
      <c r="D778" s="179"/>
      <c r="E778" s="44"/>
      <c r="F778" s="149"/>
      <c r="G778" s="178"/>
      <c r="H778" s="177">
        <f>600000000+400000000+500000000+500000000+1000000000+400000000</f>
        <v>3400000000</v>
      </c>
      <c r="I778" s="44" t="s">
        <v>1024</v>
      </c>
      <c r="J778" s="37">
        <f t="shared" si="40"/>
        <v>-3400000000</v>
      </c>
      <c r="K778" s="43">
        <f t="shared" si="42"/>
        <v>10789438488.769505</v>
      </c>
      <c r="L778" s="4"/>
      <c r="M778" s="40"/>
      <c r="N778" s="40"/>
      <c r="O778" s="41"/>
    </row>
    <row r="779" spans="1:15" s="7" customFormat="1" ht="21" customHeight="1">
      <c r="A779" s="56"/>
      <c r="B779" s="109"/>
      <c r="C779" s="153"/>
      <c r="D779" s="179"/>
      <c r="E779" s="44"/>
      <c r="F779" s="149"/>
      <c r="G779" s="178"/>
      <c r="H779" s="177">
        <f>600000000+400000000</f>
        <v>1000000000</v>
      </c>
      <c r="I779" s="44">
        <v>44199</v>
      </c>
      <c r="J779" s="37">
        <f t="shared" si="40"/>
        <v>-1000000000</v>
      </c>
      <c r="K779" s="43">
        <f t="shared" si="42"/>
        <v>7389438488.7695045</v>
      </c>
      <c r="L779" s="4"/>
      <c r="M779" s="40"/>
      <c r="N779" s="40"/>
      <c r="O779" s="41"/>
    </row>
    <row r="780" spans="1:15" s="7" customFormat="1" ht="18.75">
      <c r="A780" s="56"/>
      <c r="B780" s="109"/>
      <c r="C780" s="153" t="s">
        <v>1025</v>
      </c>
      <c r="D780" s="179"/>
      <c r="E780" s="44"/>
      <c r="F780" s="149"/>
      <c r="G780" s="178"/>
      <c r="H780" s="177">
        <v>955247026.88</v>
      </c>
      <c r="I780" s="44"/>
      <c r="J780" s="37">
        <f t="shared" si="40"/>
        <v>-955247026.88</v>
      </c>
      <c r="K780" s="43">
        <f t="shared" si="42"/>
        <v>6389438488.7695045</v>
      </c>
      <c r="L780" s="4"/>
      <c r="M780" s="40"/>
      <c r="N780" s="40"/>
      <c r="O780" s="41"/>
    </row>
    <row r="781" spans="1:15" s="7" customFormat="1" ht="18.75">
      <c r="A781" s="56"/>
      <c r="B781" s="109"/>
      <c r="C781" s="153" t="s">
        <v>1026</v>
      </c>
      <c r="D781" s="179"/>
      <c r="E781" s="44"/>
      <c r="F781" s="149"/>
      <c r="G781" s="178"/>
      <c r="H781" s="177">
        <v>430570523.85000002</v>
      </c>
      <c r="I781" s="44"/>
      <c r="J781" s="37">
        <f t="shared" si="40"/>
        <v>-430570523.85000002</v>
      </c>
      <c r="K781" s="43">
        <f t="shared" si="42"/>
        <v>5434191461.8895044</v>
      </c>
      <c r="L781" s="4"/>
      <c r="M781" s="40"/>
      <c r="N781" s="40"/>
      <c r="O781" s="41"/>
    </row>
    <row r="782" spans="1:15" s="7" customFormat="1" ht="18.75">
      <c r="A782" s="56"/>
      <c r="B782" s="109"/>
      <c r="C782" s="153" t="s">
        <v>1027</v>
      </c>
      <c r="D782" s="179"/>
      <c r="E782" s="44"/>
      <c r="F782" s="149"/>
      <c r="G782" s="178"/>
      <c r="H782" s="177">
        <v>1229780792.6795039</v>
      </c>
      <c r="I782" s="44"/>
      <c r="J782" s="37">
        <f t="shared" si="40"/>
        <v>-1229780792.6795039</v>
      </c>
      <c r="K782" s="43">
        <f t="shared" si="42"/>
        <v>5003620938.0395041</v>
      </c>
      <c r="L782" s="4"/>
      <c r="M782" s="40"/>
      <c r="N782" s="40"/>
      <c r="O782" s="41"/>
    </row>
    <row r="783" spans="1:15" s="7" customFormat="1" ht="33" customHeight="1">
      <c r="A783" s="56"/>
      <c r="B783" s="109"/>
      <c r="C783" s="153"/>
      <c r="D783" s="179"/>
      <c r="E783" s="44"/>
      <c r="F783" s="149"/>
      <c r="G783" s="178"/>
      <c r="H783" s="177"/>
      <c r="I783" s="44"/>
      <c r="J783" s="37">
        <f t="shared" si="40"/>
        <v>0</v>
      </c>
      <c r="K783" s="174">
        <f t="shared" si="42"/>
        <v>3773840145.3600001</v>
      </c>
      <c r="L783" s="175" t="s">
        <v>1028</v>
      </c>
      <c r="M783" s="40"/>
      <c r="N783" s="40"/>
      <c r="O783" s="41"/>
    </row>
    <row r="784" spans="1:15" s="7" customFormat="1" ht="18.75">
      <c r="A784" s="56"/>
      <c r="B784" s="109"/>
      <c r="C784" s="111" t="s">
        <v>221</v>
      </c>
      <c r="D784" s="166" t="s">
        <v>1029</v>
      </c>
      <c r="E784" s="44">
        <v>44258</v>
      </c>
      <c r="F784" s="149">
        <v>4406323665.4475002</v>
      </c>
      <c r="G784" s="178" t="s">
        <v>1030</v>
      </c>
      <c r="H784" s="177">
        <f>1000000000+1000000000+1000000000+1000000000</f>
        <v>4000000000</v>
      </c>
      <c r="I784" s="44" t="s">
        <v>1031</v>
      </c>
      <c r="J784" s="37">
        <f t="shared" si="40"/>
        <v>406323665.44750023</v>
      </c>
      <c r="K784" s="36">
        <f t="shared" si="42"/>
        <v>3773840145.3600001</v>
      </c>
      <c r="L784" s="4"/>
      <c r="M784" s="40"/>
      <c r="N784" s="40"/>
      <c r="O784" s="41"/>
    </row>
    <row r="785" spans="1:15" s="7" customFormat="1" ht="18.75">
      <c r="A785" s="56"/>
      <c r="B785" s="109"/>
      <c r="C785" s="111" t="s">
        <v>222</v>
      </c>
      <c r="D785" s="166" t="s">
        <v>1029</v>
      </c>
      <c r="E785" s="44" t="s">
        <v>1032</v>
      </c>
      <c r="F785" s="149">
        <v>4059436948.2642498</v>
      </c>
      <c r="G785" s="178" t="s">
        <v>1033</v>
      </c>
      <c r="H785" s="177">
        <f>1000000000+1000000000+1000000000+1000000000</f>
        <v>4000000000</v>
      </c>
      <c r="I785" s="44" t="s">
        <v>1034</v>
      </c>
      <c r="J785" s="37">
        <f t="shared" si="40"/>
        <v>59436948.264249802</v>
      </c>
      <c r="K785" s="36">
        <f t="shared" si="42"/>
        <v>4180163810.8075004</v>
      </c>
      <c r="L785" s="4"/>
      <c r="M785" s="40"/>
      <c r="N785" s="40"/>
      <c r="O785" s="41"/>
    </row>
    <row r="786" spans="1:15" s="7" customFormat="1" ht="18.75">
      <c r="A786" s="56"/>
      <c r="B786" s="109" t="s">
        <v>1035</v>
      </c>
      <c r="C786" s="167"/>
      <c r="D786" s="32"/>
      <c r="E786" s="44"/>
      <c r="F786" s="155"/>
      <c r="G786" s="76"/>
      <c r="H786" s="54"/>
      <c r="I786" s="35"/>
      <c r="J786" s="37"/>
      <c r="K786" s="180">
        <f t="shared" si="42"/>
        <v>4239600759.0717502</v>
      </c>
      <c r="M786" s="40"/>
      <c r="N786" s="40"/>
      <c r="O786" s="41"/>
    </row>
    <row r="787" spans="1:15" s="7" customFormat="1" ht="18.75">
      <c r="A787" s="56"/>
      <c r="B787" s="109"/>
      <c r="C787" s="167"/>
      <c r="D787" s="32"/>
      <c r="E787" s="44"/>
      <c r="F787" s="155"/>
      <c r="G787" s="76"/>
      <c r="H787" s="54"/>
      <c r="I787" s="35"/>
      <c r="J787" s="37"/>
      <c r="K787" s="156"/>
      <c r="L787" s="124"/>
      <c r="M787" s="40"/>
      <c r="N787" s="40"/>
      <c r="O787" s="41"/>
    </row>
    <row r="788" spans="1:15" s="7" customFormat="1" ht="18.75">
      <c r="A788" s="81">
        <v>20</v>
      </c>
      <c r="B788" s="57" t="s">
        <v>56</v>
      </c>
      <c r="C788" s="167" t="s">
        <v>1036</v>
      </c>
      <c r="D788" s="32"/>
      <c r="E788" s="44"/>
      <c r="F788" s="95">
        <v>113350414.015</v>
      </c>
      <c r="G788" s="76"/>
      <c r="H788" s="54"/>
      <c r="I788" s="35"/>
      <c r="J788" s="37">
        <f>F788-H788</f>
        <v>113350414.015</v>
      </c>
      <c r="K788" s="156"/>
      <c r="L788" s="124"/>
      <c r="M788" s="40"/>
      <c r="N788" s="40"/>
      <c r="O788" s="41"/>
    </row>
    <row r="789" spans="1:15" s="7" customFormat="1" ht="18.75">
      <c r="A789" s="81"/>
      <c r="B789" s="57"/>
      <c r="C789" s="167" t="s">
        <v>1037</v>
      </c>
      <c r="D789" s="32"/>
      <c r="E789" s="44"/>
      <c r="F789" s="95">
        <v>113350414.015</v>
      </c>
      <c r="G789" s="76"/>
      <c r="H789" s="54"/>
      <c r="I789" s="35"/>
      <c r="J789" s="37">
        <f>F789-H789</f>
        <v>113350414.015</v>
      </c>
      <c r="K789" s="110">
        <f>J788+K788</f>
        <v>113350414.015</v>
      </c>
      <c r="L789" s="124"/>
      <c r="M789" s="40"/>
      <c r="N789" s="40"/>
      <c r="O789" s="41"/>
    </row>
    <row r="790" spans="1:15" s="7" customFormat="1" ht="18.75">
      <c r="C790" s="29" t="s">
        <v>489</v>
      </c>
      <c r="D790" s="32" t="s">
        <v>367</v>
      </c>
      <c r="E790" s="44"/>
      <c r="F790" s="95">
        <v>167881382.34</v>
      </c>
      <c r="G790" s="76" t="s">
        <v>556</v>
      </c>
      <c r="H790" s="47"/>
      <c r="I790" s="58"/>
      <c r="J790" s="37">
        <f t="shared" ref="J790:J835" si="43">F790-H790</f>
        <v>167881382.34</v>
      </c>
      <c r="K790" s="110">
        <f t="shared" ref="K790:K841" si="44">J789+K789</f>
        <v>226700828.03</v>
      </c>
      <c r="L790" s="60"/>
      <c r="M790" s="41"/>
      <c r="N790" s="41"/>
      <c r="O790" s="41"/>
    </row>
    <row r="791" spans="1:15" s="7" customFormat="1" ht="18.75">
      <c r="A791" s="81"/>
      <c r="B791" s="109"/>
      <c r="C791" s="29" t="s">
        <v>618</v>
      </c>
      <c r="D791" s="32" t="s">
        <v>368</v>
      </c>
      <c r="E791" s="44"/>
      <c r="F791" s="95">
        <v>134368851.05000001</v>
      </c>
      <c r="G791" s="76" t="s">
        <v>1038</v>
      </c>
      <c r="H791" s="47">
        <v>121571817.61</v>
      </c>
      <c r="I791" s="96">
        <v>43081</v>
      </c>
      <c r="J791" s="37">
        <f t="shared" si="43"/>
        <v>12797033.440000013</v>
      </c>
      <c r="K791" s="110">
        <f t="shared" si="44"/>
        <v>394582210.37</v>
      </c>
      <c r="L791" s="60"/>
      <c r="M791" s="41"/>
      <c r="N791" s="41"/>
      <c r="O791" s="41"/>
    </row>
    <row r="792" spans="1:15" s="7" customFormat="1" ht="18.75">
      <c r="A792" s="81"/>
      <c r="B792" s="109"/>
      <c r="C792" s="29" t="s">
        <v>1039</v>
      </c>
      <c r="D792" s="32" t="s">
        <v>370</v>
      </c>
      <c r="E792" s="44"/>
      <c r="F792" s="95">
        <v>166184080.28</v>
      </c>
      <c r="G792" s="76" t="s">
        <v>1040</v>
      </c>
      <c r="H792" s="159">
        <v>150357025.01523808</v>
      </c>
      <c r="I792" s="58" t="s">
        <v>935</v>
      </c>
      <c r="J792" s="37">
        <f t="shared" si="43"/>
        <v>15827055.264761925</v>
      </c>
      <c r="K792" s="110">
        <f t="shared" si="44"/>
        <v>407379243.81</v>
      </c>
      <c r="L792" s="60"/>
      <c r="M792" s="41"/>
      <c r="N792" s="41"/>
      <c r="O792" s="41"/>
    </row>
    <row r="793" spans="1:15" s="7" customFormat="1" ht="18.75">
      <c r="A793" s="81"/>
      <c r="B793" s="109"/>
      <c r="C793" s="29" t="s">
        <v>562</v>
      </c>
      <c r="D793" s="32" t="s">
        <v>639</v>
      </c>
      <c r="E793" s="44"/>
      <c r="F793" s="95">
        <v>206484699.06999999</v>
      </c>
      <c r="G793" s="96">
        <v>42931</v>
      </c>
      <c r="H793" s="159">
        <v>186819489.63476187</v>
      </c>
      <c r="I793" s="58" t="s">
        <v>1041</v>
      </c>
      <c r="J793" s="37">
        <f t="shared" si="43"/>
        <v>19665209.435238123</v>
      </c>
      <c r="K793" s="110">
        <f t="shared" si="44"/>
        <v>423206299.07476193</v>
      </c>
      <c r="L793" s="60"/>
      <c r="M793" s="41"/>
      <c r="N793" s="41"/>
      <c r="O793" s="41"/>
    </row>
    <row r="794" spans="1:15" s="7" customFormat="1" ht="18.75">
      <c r="A794" s="81"/>
      <c r="B794" s="109"/>
      <c r="C794" s="29" t="s">
        <v>494</v>
      </c>
      <c r="D794" s="32" t="s">
        <v>639</v>
      </c>
      <c r="E794" s="44"/>
      <c r="F794" s="95">
        <v>10503776.289999999</v>
      </c>
      <c r="G794" s="96">
        <v>42962</v>
      </c>
      <c r="H794" s="159">
        <v>9503416.6433333308</v>
      </c>
      <c r="I794" s="58" t="s">
        <v>935</v>
      </c>
      <c r="J794" s="37">
        <f t="shared" si="43"/>
        <v>1000359.6466666684</v>
      </c>
      <c r="K794" s="110">
        <f t="shared" si="44"/>
        <v>442871508.51000005</v>
      </c>
      <c r="L794" s="60"/>
      <c r="M794" s="41"/>
      <c r="N794" s="41"/>
      <c r="O794" s="41"/>
    </row>
    <row r="795" spans="1:15" s="7" customFormat="1" ht="18.75">
      <c r="A795" s="81"/>
      <c r="B795" s="109"/>
      <c r="C795" s="29" t="s">
        <v>497</v>
      </c>
      <c r="D795" s="32" t="s">
        <v>641</v>
      </c>
      <c r="E795" s="44"/>
      <c r="F795" s="95">
        <v>72068945.609999999</v>
      </c>
      <c r="G795" s="96">
        <v>42962</v>
      </c>
      <c r="H795" s="159">
        <v>65205236.504285708</v>
      </c>
      <c r="I795" s="58" t="s">
        <v>515</v>
      </c>
      <c r="J795" s="37">
        <f t="shared" si="43"/>
        <v>6863709.1057142913</v>
      </c>
      <c r="K795" s="110">
        <f t="shared" si="44"/>
        <v>443871868.1566667</v>
      </c>
      <c r="L795" s="60"/>
      <c r="M795" s="41"/>
      <c r="N795" s="41"/>
      <c r="O795" s="41"/>
    </row>
    <row r="796" spans="1:15" s="7" customFormat="1" ht="18.75">
      <c r="A796" s="81"/>
      <c r="B796" s="109"/>
      <c r="C796" s="29" t="s">
        <v>498</v>
      </c>
      <c r="D796" s="32" t="s">
        <v>641</v>
      </c>
      <c r="E796" s="44"/>
      <c r="F796" s="95">
        <v>93760143.939999998</v>
      </c>
      <c r="G796" s="96" t="s">
        <v>1042</v>
      </c>
      <c r="H796" s="159">
        <v>84830606.421904773</v>
      </c>
      <c r="I796" s="58" t="s">
        <v>515</v>
      </c>
      <c r="J796" s="37">
        <f t="shared" si="43"/>
        <v>8929537.5180952251</v>
      </c>
      <c r="K796" s="110">
        <f t="shared" si="44"/>
        <v>450735577.26238096</v>
      </c>
      <c r="L796" s="60"/>
      <c r="M796" s="41"/>
      <c r="N796" s="41"/>
      <c r="O796" s="41"/>
    </row>
    <row r="797" spans="1:15" s="7" customFormat="1" ht="18.75">
      <c r="A797" s="81"/>
      <c r="B797" s="109"/>
      <c r="C797" s="29" t="s">
        <v>564</v>
      </c>
      <c r="D797" s="32" t="s">
        <v>643</v>
      </c>
      <c r="E797" s="44"/>
      <c r="F797" s="95">
        <v>144317075.09</v>
      </c>
      <c r="G797" s="96">
        <v>43044</v>
      </c>
      <c r="H797" s="47">
        <v>130572591.75</v>
      </c>
      <c r="I797" s="58" t="s">
        <v>1041</v>
      </c>
      <c r="J797" s="37">
        <f t="shared" si="43"/>
        <v>13744483.340000004</v>
      </c>
      <c r="K797" s="110">
        <f t="shared" si="44"/>
        <v>459665114.78047621</v>
      </c>
      <c r="L797" s="60"/>
      <c r="M797" s="41"/>
      <c r="N797" s="41"/>
      <c r="O797" s="41"/>
    </row>
    <row r="798" spans="1:15" s="7" customFormat="1" ht="18.75">
      <c r="A798" s="81"/>
      <c r="B798" s="109"/>
      <c r="C798" s="29" t="s">
        <v>500</v>
      </c>
      <c r="D798" s="32" t="s">
        <v>645</v>
      </c>
      <c r="E798" s="44"/>
      <c r="F798" s="95">
        <v>180484873.78999999</v>
      </c>
      <c r="G798" s="96" t="s">
        <v>1043</v>
      </c>
      <c r="H798" s="47">
        <v>163295838.16999999</v>
      </c>
      <c r="I798" s="58" t="s">
        <v>1044</v>
      </c>
      <c r="J798" s="37">
        <f t="shared" si="43"/>
        <v>17189035.620000005</v>
      </c>
      <c r="K798" s="110">
        <f t="shared" si="44"/>
        <v>473409598.12047625</v>
      </c>
      <c r="L798" s="60"/>
      <c r="M798" s="41"/>
      <c r="N798" s="41"/>
      <c r="O798" s="41"/>
    </row>
    <row r="799" spans="1:15" s="7" customFormat="1" ht="18.75">
      <c r="A799" s="81"/>
      <c r="B799" s="109"/>
      <c r="C799" s="29" t="s">
        <v>501</v>
      </c>
      <c r="D799" s="32" t="s">
        <v>1045</v>
      </c>
      <c r="E799" s="44"/>
      <c r="F799" s="95">
        <v>107050740.93000001</v>
      </c>
      <c r="G799" s="96" t="s">
        <v>1046</v>
      </c>
      <c r="H799" s="47"/>
      <c r="I799" s="58"/>
      <c r="J799" s="37">
        <f t="shared" si="43"/>
        <v>107050740.93000001</v>
      </c>
      <c r="K799" s="110">
        <f t="shared" si="44"/>
        <v>490598633.74047625</v>
      </c>
      <c r="L799" s="60"/>
      <c r="M799" s="41"/>
      <c r="N799" s="41"/>
      <c r="O799" s="41"/>
    </row>
    <row r="800" spans="1:15" s="7" customFormat="1" ht="18.75">
      <c r="A800" s="81"/>
      <c r="B800" s="109"/>
      <c r="C800" s="29" t="s">
        <v>504</v>
      </c>
      <c r="D800" s="32" t="s">
        <v>1047</v>
      </c>
      <c r="E800" s="44"/>
      <c r="F800" s="95">
        <v>137298007.03</v>
      </c>
      <c r="G800" s="75">
        <v>43222</v>
      </c>
      <c r="H800" s="159">
        <v>124222006.36</v>
      </c>
      <c r="I800" s="58" t="s">
        <v>653</v>
      </c>
      <c r="J800" s="37">
        <f t="shared" si="43"/>
        <v>13076000.670000002</v>
      </c>
      <c r="K800" s="110">
        <f t="shared" si="44"/>
        <v>597649374.6704762</v>
      </c>
      <c r="L800" s="60"/>
      <c r="M800" s="41"/>
      <c r="N800" s="41"/>
      <c r="O800" s="41"/>
    </row>
    <row r="801" spans="1:15" s="7" customFormat="1" ht="18.75">
      <c r="A801" s="81"/>
      <c r="B801" s="109"/>
      <c r="C801" s="29" t="s">
        <v>506</v>
      </c>
      <c r="D801" s="32" t="s">
        <v>1048</v>
      </c>
      <c r="E801" s="44"/>
      <c r="F801" s="95">
        <v>165806066.15000001</v>
      </c>
      <c r="G801" s="75">
        <v>43376</v>
      </c>
      <c r="H801" s="159">
        <v>150015012.22999999</v>
      </c>
      <c r="I801" s="58" t="s">
        <v>1049</v>
      </c>
      <c r="J801" s="37">
        <f t="shared" si="43"/>
        <v>15791053.920000017</v>
      </c>
      <c r="K801" s="110">
        <f t="shared" si="44"/>
        <v>610725375.34047616</v>
      </c>
      <c r="L801" s="60"/>
      <c r="M801" s="110"/>
      <c r="N801" s="41"/>
      <c r="O801" s="41"/>
    </row>
    <row r="802" spans="1:15" s="7" customFormat="1" ht="18.75">
      <c r="A802" s="81"/>
      <c r="B802" s="109"/>
      <c r="C802" s="29" t="s">
        <v>508</v>
      </c>
      <c r="D802" s="32" t="s">
        <v>1050</v>
      </c>
      <c r="E802" s="44"/>
      <c r="F802" s="95">
        <v>132008827.39</v>
      </c>
      <c r="G802" s="75" t="s">
        <v>509</v>
      </c>
      <c r="H802" s="159">
        <v>119436558.11</v>
      </c>
      <c r="I802" s="58" t="s">
        <v>1049</v>
      </c>
      <c r="J802" s="37">
        <f t="shared" si="43"/>
        <v>12572269.280000001</v>
      </c>
      <c r="K802" s="110">
        <f t="shared" si="44"/>
        <v>626516429.26047611</v>
      </c>
      <c r="L802" s="60"/>
      <c r="M802" s="110"/>
      <c r="N802" s="41"/>
      <c r="O802" s="41"/>
    </row>
    <row r="803" spans="1:15" s="7" customFormat="1" ht="18.75">
      <c r="A803" s="81"/>
      <c r="B803" s="109"/>
      <c r="C803" s="29" t="s">
        <v>355</v>
      </c>
      <c r="D803" s="32" t="s">
        <v>1051</v>
      </c>
      <c r="E803" s="44"/>
      <c r="F803" s="95">
        <v>135988858.33205399</v>
      </c>
      <c r="G803" s="75" t="s">
        <v>510</v>
      </c>
      <c r="H803" s="159">
        <v>123037538.40000001</v>
      </c>
      <c r="I803" s="58" t="s">
        <v>1052</v>
      </c>
      <c r="J803" s="37">
        <f t="shared" si="43"/>
        <v>12951319.932053983</v>
      </c>
      <c r="K803" s="110">
        <f t="shared" si="44"/>
        <v>639088698.54047608</v>
      </c>
      <c r="L803" s="60"/>
      <c r="M803" s="110"/>
      <c r="N803" s="41"/>
      <c r="O803" s="41"/>
    </row>
    <row r="804" spans="1:15" s="7" customFormat="1" ht="18.75">
      <c r="A804" s="81"/>
      <c r="B804" s="109"/>
      <c r="C804" s="31" t="s">
        <v>234</v>
      </c>
      <c r="D804" s="32" t="s">
        <v>1053</v>
      </c>
      <c r="E804" s="44"/>
      <c r="F804" s="95">
        <v>196208594.14968348</v>
      </c>
      <c r="G804" s="75" t="s">
        <v>513</v>
      </c>
      <c r="H804" s="181">
        <v>177552061.37</v>
      </c>
      <c r="I804" s="58" t="s">
        <v>1049</v>
      </c>
      <c r="J804" s="37">
        <f t="shared" si="43"/>
        <v>18656532.779683471</v>
      </c>
      <c r="K804" s="110">
        <f t="shared" si="44"/>
        <v>652040018.47253013</v>
      </c>
      <c r="L804" s="60"/>
      <c r="M804" s="110"/>
      <c r="N804" s="41"/>
      <c r="O804" s="41"/>
    </row>
    <row r="805" spans="1:15" s="7" customFormat="1" ht="18.75">
      <c r="A805" s="81"/>
      <c r="B805" s="109"/>
      <c r="C805" s="31" t="s">
        <v>514</v>
      </c>
      <c r="D805" s="32" t="s">
        <v>1054</v>
      </c>
      <c r="E805" s="44"/>
      <c r="F805" s="95">
        <v>132414208.766519</v>
      </c>
      <c r="G805" s="75" t="s">
        <v>571</v>
      </c>
      <c r="H805" s="159">
        <v>119803331.73999999</v>
      </c>
      <c r="I805" s="58" t="s">
        <v>1049</v>
      </c>
      <c r="J805" s="37">
        <f t="shared" si="43"/>
        <v>12610877.026519001</v>
      </c>
      <c r="K805" s="110">
        <f t="shared" si="44"/>
        <v>670696551.2522136</v>
      </c>
      <c r="L805" s="60"/>
      <c r="M805" s="110"/>
      <c r="N805" s="41"/>
      <c r="O805" s="41"/>
    </row>
    <row r="806" spans="1:15" s="7" customFormat="1" ht="18.75">
      <c r="A806" s="81"/>
      <c r="B806" s="109"/>
      <c r="C806" s="102" t="s">
        <v>238</v>
      </c>
      <c r="D806" s="32" t="s">
        <v>1055</v>
      </c>
      <c r="E806" s="44"/>
      <c r="F806" s="95">
        <v>143783463.76126853</v>
      </c>
      <c r="G806" s="75" t="s">
        <v>572</v>
      </c>
      <c r="H806" s="159">
        <v>130089806.54000001</v>
      </c>
      <c r="I806" s="58" t="s">
        <v>147</v>
      </c>
      <c r="J806" s="37">
        <f t="shared" si="43"/>
        <v>13693657.22126852</v>
      </c>
      <c r="K806" s="110">
        <f t="shared" si="44"/>
        <v>683307428.27873254</v>
      </c>
      <c r="L806" s="60"/>
      <c r="M806" s="110"/>
      <c r="N806" s="41"/>
      <c r="O806" s="41"/>
    </row>
    <row r="807" spans="1:15" s="7" customFormat="1" ht="18.75">
      <c r="A807" s="81"/>
      <c r="B807" s="109"/>
      <c r="C807" s="102" t="s">
        <v>517</v>
      </c>
      <c r="D807" s="32" t="s">
        <v>1056</v>
      </c>
      <c r="E807" s="44"/>
      <c r="F807" s="95">
        <v>89249569.193255305</v>
      </c>
      <c r="G807" s="75" t="s">
        <v>956</v>
      </c>
      <c r="H807" s="159">
        <v>80749610.222469091</v>
      </c>
      <c r="I807" s="76" t="s">
        <v>1057</v>
      </c>
      <c r="J807" s="37">
        <f t="shared" si="43"/>
        <v>8499958.9707862139</v>
      </c>
      <c r="K807" s="110">
        <f t="shared" si="44"/>
        <v>697001085.50000107</v>
      </c>
      <c r="L807" s="60"/>
      <c r="M807" s="110"/>
      <c r="N807" s="41"/>
      <c r="O807" s="41"/>
    </row>
    <row r="808" spans="1:15" s="7" customFormat="1" ht="18.75">
      <c r="A808" s="81"/>
      <c r="B808" s="109"/>
      <c r="C808" s="102" t="s">
        <v>243</v>
      </c>
      <c r="D808" s="32" t="s">
        <v>1058</v>
      </c>
      <c r="E808" s="44"/>
      <c r="F808" s="95">
        <v>45297682.177456804</v>
      </c>
      <c r="G808" s="75" t="s">
        <v>1059</v>
      </c>
      <c r="H808" s="182">
        <v>40983617.208175205</v>
      </c>
      <c r="I808" s="58" t="s">
        <v>147</v>
      </c>
      <c r="J808" s="37">
        <f t="shared" si="43"/>
        <v>4314064.9692815989</v>
      </c>
      <c r="K808" s="110">
        <f t="shared" si="44"/>
        <v>705501044.47078729</v>
      </c>
      <c r="L808" s="60"/>
      <c r="M808" s="110"/>
      <c r="N808" s="41"/>
      <c r="O808" s="41"/>
    </row>
    <row r="809" spans="1:15" s="7" customFormat="1" ht="18.75">
      <c r="A809" s="81"/>
      <c r="B809" s="109"/>
      <c r="C809" s="102" t="s">
        <v>246</v>
      </c>
      <c r="D809" s="103" t="s">
        <v>1060</v>
      </c>
      <c r="E809" s="44"/>
      <c r="F809" s="104">
        <v>86331274.075303525</v>
      </c>
      <c r="G809" s="105" t="s">
        <v>576</v>
      </c>
      <c r="H809" s="182">
        <v>78109247.972893655</v>
      </c>
      <c r="I809" s="58" t="s">
        <v>1057</v>
      </c>
      <c r="J809" s="37">
        <f t="shared" si="43"/>
        <v>8222026.1024098694</v>
      </c>
      <c r="K809" s="110">
        <f t="shared" si="44"/>
        <v>709815109.44006884</v>
      </c>
      <c r="L809" s="60"/>
      <c r="M809" s="110"/>
      <c r="N809" s="41"/>
      <c r="O809" s="41"/>
    </row>
    <row r="810" spans="1:15" s="7" customFormat="1" ht="18.75">
      <c r="A810" s="81"/>
      <c r="B810" s="109"/>
      <c r="C810" s="102" t="s">
        <v>522</v>
      </c>
      <c r="D810" s="103" t="s">
        <v>1061</v>
      </c>
      <c r="E810" s="44"/>
      <c r="F810" s="104">
        <v>107302991.37440968</v>
      </c>
      <c r="G810" s="105" t="s">
        <v>577</v>
      </c>
      <c r="H810" s="182">
        <v>97083658.862561136</v>
      </c>
      <c r="I810" s="58" t="s">
        <v>1062</v>
      </c>
      <c r="J810" s="37">
        <f t="shared" si="43"/>
        <v>10219332.511848539</v>
      </c>
      <c r="K810" s="110">
        <f t="shared" si="44"/>
        <v>718037135.54247868</v>
      </c>
      <c r="L810" s="60"/>
      <c r="M810" s="110"/>
      <c r="N810" s="41"/>
      <c r="O810" s="41"/>
    </row>
    <row r="811" spans="1:15" s="7" customFormat="1" ht="18.75">
      <c r="A811" s="81"/>
      <c r="B811" s="109"/>
      <c r="C811" s="111" t="s">
        <v>250</v>
      </c>
      <c r="D811" s="103" t="s">
        <v>393</v>
      </c>
      <c r="E811" s="44"/>
      <c r="F811" s="149">
        <v>58379385.770000003</v>
      </c>
      <c r="G811" s="105" t="s">
        <v>578</v>
      </c>
      <c r="H811" s="182">
        <v>52819444.268095247</v>
      </c>
      <c r="I811" s="58" t="s">
        <v>1062</v>
      </c>
      <c r="J811" s="37">
        <f t="shared" si="43"/>
        <v>5559941.5019047558</v>
      </c>
      <c r="K811" s="110">
        <f t="shared" si="44"/>
        <v>728256468.05432725</v>
      </c>
      <c r="L811" s="60"/>
      <c r="M811" s="110"/>
      <c r="N811" s="41"/>
      <c r="O811" s="41"/>
    </row>
    <row r="812" spans="1:15" s="7" customFormat="1" ht="18.75">
      <c r="A812" s="81"/>
      <c r="B812" s="109"/>
      <c r="C812" s="111" t="s">
        <v>139</v>
      </c>
      <c r="D812" s="183" t="s">
        <v>1063</v>
      </c>
      <c r="E812" s="44"/>
      <c r="F812" s="149">
        <v>99427587.859999999</v>
      </c>
      <c r="G812" s="105" t="s">
        <v>916</v>
      </c>
      <c r="H812" s="159">
        <v>89958293.780000001</v>
      </c>
      <c r="I812" s="41" t="s">
        <v>1064</v>
      </c>
      <c r="J812" s="37">
        <f t="shared" si="43"/>
        <v>9469294.0799999982</v>
      </c>
      <c r="K812" s="110">
        <f t="shared" si="44"/>
        <v>733816409.55623198</v>
      </c>
      <c r="L812" s="60"/>
      <c r="M812" s="110"/>
      <c r="N812" s="41"/>
      <c r="O812" s="41"/>
    </row>
    <row r="813" spans="1:15" s="7" customFormat="1" ht="18.75">
      <c r="A813" s="81"/>
      <c r="B813" s="109"/>
      <c r="C813" s="62" t="s">
        <v>142</v>
      </c>
      <c r="D813" s="103" t="s">
        <v>35</v>
      </c>
      <c r="E813" s="44"/>
      <c r="F813" s="149">
        <v>128220838.47444732</v>
      </c>
      <c r="G813" s="105" t="s">
        <v>519</v>
      </c>
      <c r="H813" s="182">
        <v>116009330.04830949</v>
      </c>
      <c r="I813" s="76" t="s">
        <v>654</v>
      </c>
      <c r="J813" s="37">
        <f t="shared" si="43"/>
        <v>12211508.426137835</v>
      </c>
      <c r="K813" s="110">
        <f t="shared" si="44"/>
        <v>743285703.63623202</v>
      </c>
      <c r="L813" s="60"/>
      <c r="M813" s="41"/>
      <c r="N813" s="41"/>
      <c r="O813" s="41"/>
    </row>
    <row r="814" spans="1:15" s="7" customFormat="1" ht="18.75">
      <c r="A814" s="81"/>
      <c r="B814" s="109"/>
      <c r="C814" s="62" t="s">
        <v>145</v>
      </c>
      <c r="D814" s="103" t="s">
        <v>530</v>
      </c>
      <c r="E814" s="44"/>
      <c r="F814" s="149">
        <v>74512442.277996451</v>
      </c>
      <c r="G814" s="105" t="s">
        <v>519</v>
      </c>
      <c r="H814" s="182">
        <v>67416019.203901559</v>
      </c>
      <c r="I814" s="76" t="s">
        <v>654</v>
      </c>
      <c r="J814" s="37">
        <f t="shared" si="43"/>
        <v>7096423.0740948915</v>
      </c>
      <c r="K814" s="110">
        <f t="shared" si="44"/>
        <v>755497212.06236982</v>
      </c>
      <c r="L814" s="60"/>
      <c r="M814" s="41"/>
      <c r="N814" s="41"/>
      <c r="O814" s="41"/>
    </row>
    <row r="815" spans="1:15" s="7" customFormat="1" ht="18.75">
      <c r="A815" s="81"/>
      <c r="B815" s="109"/>
      <c r="C815" s="62" t="s">
        <v>148</v>
      </c>
      <c r="D815" s="103" t="s">
        <v>532</v>
      </c>
      <c r="E815" s="44"/>
      <c r="F815" s="149">
        <v>87962799.922990322</v>
      </c>
      <c r="G815" s="105" t="s">
        <v>976</v>
      </c>
      <c r="H815" s="182">
        <v>79585390.406515062</v>
      </c>
      <c r="I815" s="76" t="s">
        <v>165</v>
      </c>
      <c r="J815" s="37">
        <f t="shared" si="43"/>
        <v>8377409.5164752603</v>
      </c>
      <c r="K815" s="110">
        <f t="shared" si="44"/>
        <v>762593635.13646472</v>
      </c>
      <c r="L815" s="60"/>
      <c r="M815" s="41"/>
      <c r="N815" s="41"/>
      <c r="O815" s="41"/>
    </row>
    <row r="816" spans="1:15" s="7" customFormat="1" ht="18.75">
      <c r="A816" s="81"/>
      <c r="B816" s="109"/>
      <c r="C816" s="62" t="s">
        <v>151</v>
      </c>
      <c r="D816" s="103" t="s">
        <v>534</v>
      </c>
      <c r="E816" s="44"/>
      <c r="F816" s="149">
        <v>33913344.892142415</v>
      </c>
      <c r="G816" s="105" t="s">
        <v>152</v>
      </c>
      <c r="H816" s="182">
        <v>30683502.521462187</v>
      </c>
      <c r="I816" s="76" t="s">
        <v>165</v>
      </c>
      <c r="J816" s="37">
        <f t="shared" si="43"/>
        <v>3229842.3706802279</v>
      </c>
      <c r="K816" s="110">
        <f t="shared" si="44"/>
        <v>770971044.65294003</v>
      </c>
      <c r="L816" s="60"/>
      <c r="M816" s="41"/>
      <c r="N816" s="41"/>
      <c r="O816" s="41"/>
    </row>
    <row r="817" spans="1:15" s="7" customFormat="1" ht="18.75">
      <c r="A817" s="81"/>
      <c r="B817" s="109"/>
      <c r="C817" s="62" t="s">
        <v>154</v>
      </c>
      <c r="D817" s="103" t="s">
        <v>535</v>
      </c>
      <c r="E817" s="44"/>
      <c r="F817" s="149">
        <v>103973673.68596846</v>
      </c>
      <c r="G817" s="105" t="s">
        <v>156</v>
      </c>
      <c r="H817" s="182">
        <v>94071419.049999997</v>
      </c>
      <c r="I817" s="76" t="s">
        <v>1065</v>
      </c>
      <c r="J817" s="37">
        <f t="shared" si="43"/>
        <v>9902254.6359684616</v>
      </c>
      <c r="K817" s="110">
        <f t="shared" si="44"/>
        <v>774200887.02362025</v>
      </c>
      <c r="L817" s="60"/>
      <c r="M817" s="41"/>
      <c r="N817" s="41"/>
      <c r="O817" s="41"/>
    </row>
    <row r="818" spans="1:15" s="7" customFormat="1" ht="18.75">
      <c r="A818" s="81"/>
      <c r="B818" s="109"/>
      <c r="C818" s="62" t="s">
        <v>158</v>
      </c>
      <c r="D818" s="103" t="s">
        <v>536</v>
      </c>
      <c r="E818" s="44"/>
      <c r="F818" s="149">
        <v>119863028.13401362</v>
      </c>
      <c r="G818" s="105" t="s">
        <v>160</v>
      </c>
      <c r="H818" s="182">
        <v>108447501.65000001</v>
      </c>
      <c r="I818" s="76" t="s">
        <v>896</v>
      </c>
      <c r="J818" s="37">
        <f t="shared" si="43"/>
        <v>11415526.484013617</v>
      </c>
      <c r="K818" s="110">
        <f t="shared" si="44"/>
        <v>784103141.65958869</v>
      </c>
      <c r="L818" s="60"/>
      <c r="M818" s="41"/>
      <c r="N818" s="41"/>
      <c r="O818" s="41"/>
    </row>
    <row r="819" spans="1:15" s="7" customFormat="1" ht="18.75">
      <c r="A819" s="81"/>
      <c r="B819" s="109"/>
      <c r="C819" s="62" t="s">
        <v>162</v>
      </c>
      <c r="D819" s="103" t="s">
        <v>538</v>
      </c>
      <c r="E819" s="44"/>
      <c r="F819" s="149">
        <v>107489866.01934557</v>
      </c>
      <c r="G819" s="105" t="s">
        <v>164</v>
      </c>
      <c r="H819" s="182">
        <v>97252735.920000002</v>
      </c>
      <c r="I819" s="76" t="s">
        <v>1066</v>
      </c>
      <c r="J819" s="37">
        <f t="shared" si="43"/>
        <v>10237130.099345565</v>
      </c>
      <c r="K819" s="110">
        <f t="shared" si="44"/>
        <v>795518668.14360237</v>
      </c>
      <c r="L819" s="60"/>
      <c r="M819" s="41"/>
      <c r="N819" s="41"/>
      <c r="O819" s="41"/>
    </row>
    <row r="820" spans="1:15" s="7" customFormat="1" ht="18.75">
      <c r="A820" s="81"/>
      <c r="B820" s="109"/>
      <c r="C820" s="62" t="s">
        <v>166</v>
      </c>
      <c r="D820" s="103" t="s">
        <v>43</v>
      </c>
      <c r="E820" s="44"/>
      <c r="F820" s="149">
        <v>98220172.733885482</v>
      </c>
      <c r="G820" s="105" t="s">
        <v>168</v>
      </c>
      <c r="H820" s="182">
        <v>88865870.569999993</v>
      </c>
      <c r="I820" s="76" t="s">
        <v>1067</v>
      </c>
      <c r="J820" s="37">
        <f t="shared" si="43"/>
        <v>9354302.1638854891</v>
      </c>
      <c r="K820" s="110">
        <f t="shared" si="44"/>
        <v>805755798.24294794</v>
      </c>
      <c r="L820" s="60"/>
      <c r="M820" s="41"/>
      <c r="N820" s="41"/>
      <c r="O820" s="41"/>
    </row>
    <row r="821" spans="1:15" s="7" customFormat="1" ht="18.75">
      <c r="A821" s="81"/>
      <c r="B821" s="109"/>
      <c r="C821" s="62" t="s">
        <v>170</v>
      </c>
      <c r="D821" s="103" t="s">
        <v>540</v>
      </c>
      <c r="E821" s="44"/>
      <c r="F821" s="149">
        <v>105680916.33599105</v>
      </c>
      <c r="G821" s="105" t="s">
        <v>172</v>
      </c>
      <c r="H821" s="182">
        <v>95616067.159999996</v>
      </c>
      <c r="I821" s="76" t="s">
        <v>380</v>
      </c>
      <c r="J821" s="37">
        <f t="shared" si="43"/>
        <v>10064849.175991058</v>
      </c>
      <c r="K821" s="110">
        <f t="shared" si="44"/>
        <v>815110100.40683341</v>
      </c>
      <c r="L821" s="60"/>
      <c r="M821" s="41"/>
      <c r="N821" s="41"/>
      <c r="O821" s="41"/>
    </row>
    <row r="822" spans="1:15" s="7" customFormat="1" ht="18.75">
      <c r="A822" s="81"/>
      <c r="B822" s="109"/>
      <c r="C822" s="62" t="s">
        <v>174</v>
      </c>
      <c r="D822" s="103" t="s">
        <v>542</v>
      </c>
      <c r="E822" s="44"/>
      <c r="F822" s="149">
        <v>110014786.6348713</v>
      </c>
      <c r="G822" s="105" t="s">
        <v>176</v>
      </c>
      <c r="H822" s="182">
        <v>99537187.909999996</v>
      </c>
      <c r="I822" s="76" t="s">
        <v>293</v>
      </c>
      <c r="J822" s="37">
        <f t="shared" si="43"/>
        <v>10477598.724871308</v>
      </c>
      <c r="K822" s="110">
        <f t="shared" si="44"/>
        <v>825174949.58282447</v>
      </c>
      <c r="L822" s="60"/>
      <c r="M822" s="41"/>
      <c r="N822" s="41"/>
      <c r="O822" s="41"/>
    </row>
    <row r="823" spans="1:15" s="7" customFormat="1" ht="18.75">
      <c r="A823" s="81"/>
      <c r="B823" s="109"/>
      <c r="C823" s="62" t="s">
        <v>178</v>
      </c>
      <c r="D823" s="103" t="s">
        <v>543</v>
      </c>
      <c r="E823" s="44"/>
      <c r="F823" s="149">
        <v>82359301.114149168</v>
      </c>
      <c r="G823" s="105" t="s">
        <v>179</v>
      </c>
      <c r="H823" s="182">
        <v>74515558.150000006</v>
      </c>
      <c r="I823" s="184" t="s">
        <v>599</v>
      </c>
      <c r="J823" s="37">
        <f t="shared" si="43"/>
        <v>7843742.9641491622</v>
      </c>
      <c r="K823" s="110">
        <f t="shared" si="44"/>
        <v>835652548.30769575</v>
      </c>
      <c r="L823" s="60"/>
      <c r="M823" s="41"/>
      <c r="N823" s="41"/>
      <c r="O823" s="41"/>
    </row>
    <row r="824" spans="1:15" s="7" customFormat="1" ht="18.75">
      <c r="A824" s="81"/>
      <c r="B824" s="109"/>
      <c r="C824" s="62" t="s">
        <v>181</v>
      </c>
      <c r="D824" s="103" t="s">
        <v>544</v>
      </c>
      <c r="E824" s="44"/>
      <c r="F824" s="149">
        <v>69108004.581204325</v>
      </c>
      <c r="G824" s="105" t="s">
        <v>183</v>
      </c>
      <c r="H824" s="76"/>
      <c r="I824" s="76"/>
      <c r="J824" s="37">
        <f t="shared" si="43"/>
        <v>69108004.581204325</v>
      </c>
      <c r="K824" s="110">
        <f t="shared" si="44"/>
        <v>843496291.27184486</v>
      </c>
      <c r="L824" s="60"/>
      <c r="M824" s="41"/>
      <c r="N824" s="41"/>
      <c r="O824" s="41"/>
    </row>
    <row r="825" spans="1:15" s="7" customFormat="1" ht="18.75">
      <c r="A825" s="81"/>
      <c r="B825" s="109"/>
      <c r="C825" s="62" t="s">
        <v>1068</v>
      </c>
      <c r="D825" s="103"/>
      <c r="E825" s="44"/>
      <c r="F825" s="149"/>
      <c r="G825" s="105"/>
      <c r="H825" s="182">
        <v>300664947.23000002</v>
      </c>
      <c r="I825" s="76"/>
      <c r="J825" s="37">
        <f t="shared" si="43"/>
        <v>-300664947.23000002</v>
      </c>
      <c r="K825" s="110">
        <f t="shared" si="44"/>
        <v>912604295.85304916</v>
      </c>
      <c r="L825" s="60"/>
      <c r="M825" s="41"/>
      <c r="N825" s="41"/>
      <c r="O825" s="41"/>
    </row>
    <row r="826" spans="1:15" s="7" customFormat="1" ht="18.75">
      <c r="A826" s="81"/>
      <c r="B826" s="109"/>
      <c r="C826" s="62" t="s">
        <v>1069</v>
      </c>
      <c r="D826" s="103"/>
      <c r="E826" s="44"/>
      <c r="F826" s="149"/>
      <c r="G826" s="105"/>
      <c r="H826" s="182">
        <v>300664947.23000002</v>
      </c>
      <c r="I826" s="76"/>
      <c r="J826" s="37">
        <f t="shared" si="43"/>
        <v>-300664947.23000002</v>
      </c>
      <c r="K826" s="110">
        <f t="shared" si="44"/>
        <v>611939348.62304914</v>
      </c>
      <c r="L826" s="60"/>
      <c r="M826" s="41"/>
      <c r="N826" s="41"/>
      <c r="O826" s="41"/>
    </row>
    <row r="827" spans="1:15" s="7" customFormat="1" ht="18.75">
      <c r="A827" s="56"/>
      <c r="B827" s="109"/>
      <c r="C827" s="62" t="s">
        <v>185</v>
      </c>
      <c r="D827" s="103" t="s">
        <v>545</v>
      </c>
      <c r="E827" s="44"/>
      <c r="F827" s="149">
        <v>103060432.65700875</v>
      </c>
      <c r="G827" s="105" t="s">
        <v>187</v>
      </c>
      <c r="H827" s="36">
        <v>93245153.359999999</v>
      </c>
      <c r="I827" s="76" t="s">
        <v>1019</v>
      </c>
      <c r="J827" s="37">
        <f t="shared" si="43"/>
        <v>9815279.2970087528</v>
      </c>
      <c r="K827" s="110">
        <f t="shared" si="44"/>
        <v>311274401.39304912</v>
      </c>
      <c r="L827" s="60"/>
      <c r="M827" s="41"/>
      <c r="N827" s="41"/>
      <c r="O827" s="41"/>
    </row>
    <row r="828" spans="1:15" s="7" customFormat="1" ht="18.75">
      <c r="A828" s="56"/>
      <c r="B828" s="109"/>
      <c r="C828" s="62" t="s">
        <v>189</v>
      </c>
      <c r="D828" s="103" t="s">
        <v>38</v>
      </c>
      <c r="E828" s="44"/>
      <c r="F828" s="149">
        <v>101029209.88785052</v>
      </c>
      <c r="G828" s="105" t="s">
        <v>377</v>
      </c>
      <c r="H828" s="36">
        <v>124040246.22</v>
      </c>
      <c r="I828" s="76" t="s">
        <v>1070</v>
      </c>
      <c r="J828" s="37">
        <f t="shared" si="43"/>
        <v>-23011036.332149476</v>
      </c>
      <c r="K828" s="110">
        <f t="shared" si="44"/>
        <v>321089680.69005787</v>
      </c>
      <c r="L828" s="60"/>
      <c r="M828" s="41"/>
      <c r="N828" s="41"/>
      <c r="O828" s="41"/>
    </row>
    <row r="829" spans="1:15" s="7" customFormat="1" ht="18.75">
      <c r="A829" s="56"/>
      <c r="B829" s="109"/>
      <c r="C829" s="62" t="s">
        <v>191</v>
      </c>
      <c r="D829" s="103" t="s">
        <v>548</v>
      </c>
      <c r="E829" s="44">
        <v>43986</v>
      </c>
      <c r="F829" s="149">
        <v>51614220.491125636</v>
      </c>
      <c r="G829" s="105" t="s">
        <v>193</v>
      </c>
      <c r="H829" s="36"/>
      <c r="I829" s="76"/>
      <c r="J829" s="37">
        <f t="shared" si="43"/>
        <v>51614220.491125636</v>
      </c>
      <c r="K829" s="110">
        <f t="shared" si="44"/>
        <v>298078644.35790837</v>
      </c>
      <c r="L829" s="60"/>
      <c r="M829" s="41"/>
      <c r="N829" s="41"/>
      <c r="O829" s="41"/>
    </row>
    <row r="830" spans="1:15" s="7" customFormat="1" ht="18.75">
      <c r="A830" s="56"/>
      <c r="B830" s="109"/>
      <c r="C830" s="62" t="s">
        <v>195</v>
      </c>
      <c r="D830" s="103" t="s">
        <v>550</v>
      </c>
      <c r="E830" s="44" t="s">
        <v>197</v>
      </c>
      <c r="F830" s="149">
        <v>62890673.344502583</v>
      </c>
      <c r="G830" s="105" t="s">
        <v>198</v>
      </c>
      <c r="H830" s="36"/>
      <c r="I830" s="76"/>
      <c r="J830" s="37">
        <f t="shared" si="43"/>
        <v>62890673.344502583</v>
      </c>
      <c r="K830" s="110">
        <f t="shared" si="44"/>
        <v>349692864.84903401</v>
      </c>
      <c r="L830" s="60"/>
      <c r="M830" s="41"/>
      <c r="N830" s="41"/>
      <c r="O830" s="41"/>
    </row>
    <row r="831" spans="1:15" s="7" customFormat="1" ht="18.75">
      <c r="A831" s="56"/>
      <c r="B831" s="109"/>
      <c r="C831" s="62" t="s">
        <v>199</v>
      </c>
      <c r="D831" s="103" t="s">
        <v>113</v>
      </c>
      <c r="E831" s="44">
        <v>44049</v>
      </c>
      <c r="F831" s="149">
        <v>88747110.76389271</v>
      </c>
      <c r="G831" s="105">
        <v>43897</v>
      </c>
      <c r="H831" s="36"/>
      <c r="I831" s="76"/>
      <c r="J831" s="37">
        <f t="shared" si="43"/>
        <v>88747110.76389271</v>
      </c>
      <c r="K831" s="110">
        <f t="shared" si="44"/>
        <v>412583538.19353658</v>
      </c>
      <c r="L831" s="60"/>
      <c r="M831" s="41"/>
      <c r="N831" s="41"/>
      <c r="O831" s="41"/>
    </row>
    <row r="832" spans="1:15" s="7" customFormat="1" ht="18.75">
      <c r="A832" s="56"/>
      <c r="B832" s="109"/>
      <c r="C832" s="62" t="s">
        <v>201</v>
      </c>
      <c r="D832" s="103" t="s">
        <v>229</v>
      </c>
      <c r="E832" s="44" t="s">
        <v>449</v>
      </c>
      <c r="F832" s="149">
        <v>75234018.932881191</v>
      </c>
      <c r="G832" s="105">
        <v>43929</v>
      </c>
      <c r="H832" s="36"/>
      <c r="I832" s="76"/>
      <c r="J832" s="37">
        <f t="shared" si="43"/>
        <v>75234018.932881191</v>
      </c>
      <c r="K832" s="110">
        <f t="shared" si="44"/>
        <v>501330648.95742929</v>
      </c>
      <c r="L832" s="60"/>
      <c r="M832" s="41"/>
      <c r="N832" s="41"/>
      <c r="O832" s="41"/>
    </row>
    <row r="833" spans="1:15" s="7" customFormat="1" ht="18.75">
      <c r="A833" s="56"/>
      <c r="B833" s="109"/>
      <c r="C833" s="62" t="s">
        <v>203</v>
      </c>
      <c r="D833" s="103" t="s">
        <v>232</v>
      </c>
      <c r="E833" s="44">
        <v>44020</v>
      </c>
      <c r="F833" s="149">
        <v>78236714.302794978</v>
      </c>
      <c r="G833" s="105" t="s">
        <v>450</v>
      </c>
      <c r="H833" s="36"/>
      <c r="I833" s="76"/>
      <c r="J833" s="37">
        <f t="shared" si="43"/>
        <v>78236714.302794978</v>
      </c>
      <c r="K833" s="110">
        <f t="shared" si="44"/>
        <v>576564667.89031053</v>
      </c>
      <c r="L833" s="60"/>
      <c r="M833" s="41"/>
      <c r="N833" s="41"/>
      <c r="O833" s="41"/>
    </row>
    <row r="834" spans="1:15" s="7" customFormat="1" ht="18.75">
      <c r="A834" s="56"/>
      <c r="B834" s="109"/>
      <c r="C834" s="62" t="s">
        <v>207</v>
      </c>
      <c r="D834" s="103" t="s">
        <v>235</v>
      </c>
      <c r="E834" s="44" t="s">
        <v>1071</v>
      </c>
      <c r="F834" s="149">
        <v>94491637.330216497</v>
      </c>
      <c r="G834" s="105">
        <v>43871</v>
      </c>
      <c r="H834" s="36">
        <v>83504237.640000001</v>
      </c>
      <c r="I834" s="76" t="s">
        <v>1072</v>
      </c>
      <c r="J834" s="37">
        <f t="shared" si="43"/>
        <v>10987399.690216497</v>
      </c>
      <c r="K834" s="110">
        <f t="shared" si="44"/>
        <v>654801382.19310546</v>
      </c>
      <c r="L834" s="60"/>
      <c r="M834" s="41"/>
      <c r="N834" s="41"/>
      <c r="O834" s="41"/>
    </row>
    <row r="835" spans="1:15" s="7" customFormat="1" ht="18.75">
      <c r="A835" s="56"/>
      <c r="B835" s="109"/>
      <c r="C835" s="62" t="s">
        <v>212</v>
      </c>
      <c r="D835" s="103" t="s">
        <v>237</v>
      </c>
      <c r="E835" s="44">
        <v>44084</v>
      </c>
      <c r="F835" s="149">
        <v>111242142.80911167</v>
      </c>
      <c r="G835" s="105" t="s">
        <v>213</v>
      </c>
      <c r="H835" s="36">
        <v>98307009.930000007</v>
      </c>
      <c r="I835" s="44">
        <v>44229</v>
      </c>
      <c r="J835" s="37">
        <f t="shared" si="43"/>
        <v>12935132.879111663</v>
      </c>
      <c r="K835" s="110">
        <f t="shared" si="44"/>
        <v>665788781.883322</v>
      </c>
      <c r="L835" s="60"/>
      <c r="M835" s="41"/>
      <c r="N835" s="41"/>
      <c r="O835" s="41"/>
    </row>
    <row r="836" spans="1:15" s="7" customFormat="1" ht="18.75">
      <c r="A836" s="56"/>
      <c r="B836" s="109"/>
      <c r="C836" s="62" t="s">
        <v>214</v>
      </c>
      <c r="D836" s="103" t="s">
        <v>33</v>
      </c>
      <c r="E836" s="44">
        <v>43962</v>
      </c>
      <c r="F836" s="149">
        <v>77651262.240298569</v>
      </c>
      <c r="G836" s="105" t="s">
        <v>216</v>
      </c>
      <c r="H836" s="36"/>
      <c r="I836" s="76"/>
      <c r="J836" s="37">
        <f>F836-H836</f>
        <v>77651262.240298569</v>
      </c>
      <c r="K836" s="110">
        <f t="shared" si="44"/>
        <v>678723914.76243365</v>
      </c>
      <c r="L836" s="60"/>
      <c r="M836" s="41"/>
      <c r="N836" s="41"/>
      <c r="O836" s="41"/>
    </row>
    <row r="837" spans="1:15" s="7" customFormat="1" ht="18.75">
      <c r="A837" s="56"/>
      <c r="B837" s="109"/>
      <c r="C837" s="62" t="s">
        <v>218</v>
      </c>
      <c r="D837" s="103" t="s">
        <v>241</v>
      </c>
      <c r="E837" s="44">
        <v>44024</v>
      </c>
      <c r="F837" s="149">
        <v>92045136.83288765</v>
      </c>
      <c r="G837" s="105">
        <v>44531</v>
      </c>
      <c r="H837" s="36"/>
      <c r="I837" s="76"/>
      <c r="J837" s="37">
        <f>F837-H837</f>
        <v>92045136.83288765</v>
      </c>
      <c r="K837" s="110">
        <f t="shared" si="44"/>
        <v>756375177.00273228</v>
      </c>
      <c r="L837" s="60"/>
      <c r="M837" s="41"/>
      <c r="N837" s="41"/>
      <c r="O837" s="41"/>
    </row>
    <row r="838" spans="1:15" s="7" customFormat="1" ht="18.75">
      <c r="A838" s="56"/>
      <c r="B838" s="109"/>
      <c r="C838" s="62" t="s">
        <v>219</v>
      </c>
      <c r="D838" s="103" t="s">
        <v>244</v>
      </c>
      <c r="E838" s="44">
        <v>44409</v>
      </c>
      <c r="F838" s="149">
        <v>84208114.123748764</v>
      </c>
      <c r="G838" s="105" t="s">
        <v>220</v>
      </c>
      <c r="H838" s="36"/>
      <c r="I838" s="76"/>
      <c r="J838" s="37">
        <f>F838-H838</f>
        <v>84208114.123748764</v>
      </c>
      <c r="K838" s="110">
        <f t="shared" si="44"/>
        <v>848420313.83561993</v>
      </c>
      <c r="L838" s="60"/>
      <c r="M838" s="41"/>
      <c r="N838" s="41"/>
      <c r="O838" s="41"/>
    </row>
    <row r="839" spans="1:15" s="7" customFormat="1" ht="18.75">
      <c r="A839" s="56"/>
      <c r="B839" s="109"/>
      <c r="C839" s="62" t="s">
        <v>221</v>
      </c>
      <c r="D839" s="103" t="s">
        <v>57</v>
      </c>
      <c r="E839" s="44">
        <v>44441</v>
      </c>
      <c r="F839" s="149">
        <v>102643477.57578321</v>
      </c>
      <c r="G839" s="105">
        <v>44289</v>
      </c>
      <c r="H839" s="36">
        <v>90708189.480000004</v>
      </c>
      <c r="I839" s="76" t="s">
        <v>1073</v>
      </c>
      <c r="J839" s="37">
        <f>F839-H839</f>
        <v>11935288.095783204</v>
      </c>
      <c r="K839" s="110">
        <f t="shared" si="44"/>
        <v>932628427.95936871</v>
      </c>
      <c r="L839" s="60"/>
      <c r="M839" s="41"/>
      <c r="N839" s="41"/>
      <c r="O839" s="41"/>
    </row>
    <row r="840" spans="1:15" s="7" customFormat="1" ht="18.75">
      <c r="A840" s="56"/>
      <c r="B840" s="109"/>
      <c r="C840" s="62" t="s">
        <v>222</v>
      </c>
      <c r="D840" s="103" t="s">
        <v>249</v>
      </c>
      <c r="E840" s="44" t="s">
        <v>82</v>
      </c>
      <c r="F840" s="149">
        <v>124544529.65784852</v>
      </c>
      <c r="G840" s="105">
        <v>44231</v>
      </c>
      <c r="H840" s="36"/>
      <c r="I840" s="76"/>
      <c r="J840" s="37">
        <f>F840-H840</f>
        <v>124544529.65784852</v>
      </c>
      <c r="K840" s="110">
        <f t="shared" si="44"/>
        <v>944563716.05515194</v>
      </c>
      <c r="L840" s="60"/>
      <c r="M840" s="41"/>
      <c r="N840" s="41"/>
      <c r="O840" s="41"/>
    </row>
    <row r="841" spans="1:15" s="7" customFormat="1" ht="18.75">
      <c r="A841" s="56"/>
      <c r="B841" s="57" t="s">
        <v>1074</v>
      </c>
      <c r="C841" s="31"/>
      <c r="D841" s="32"/>
      <c r="E841" s="44"/>
      <c r="F841" s="34"/>
      <c r="G841" s="125"/>
      <c r="H841" s="54"/>
      <c r="I841" s="35"/>
      <c r="J841" s="37"/>
      <c r="K841" s="116">
        <f t="shared" si="44"/>
        <v>1069108245.7130004</v>
      </c>
      <c r="L841" s="60"/>
      <c r="M841" s="41"/>
      <c r="N841" s="41"/>
      <c r="O841" s="41"/>
    </row>
    <row r="842" spans="1:15" s="7" customFormat="1" ht="18.75">
      <c r="A842" s="56"/>
      <c r="B842" s="57"/>
      <c r="C842" s="31"/>
      <c r="D842" s="32"/>
      <c r="E842" s="44"/>
      <c r="F842" s="34"/>
      <c r="G842" s="185"/>
      <c r="H842" s="54"/>
      <c r="I842" s="35"/>
      <c r="J842" s="37"/>
      <c r="K842" s="116"/>
      <c r="L842" s="60"/>
      <c r="M842" s="41"/>
      <c r="N842" s="41"/>
      <c r="O842" s="41"/>
    </row>
    <row r="843" spans="1:15" s="7" customFormat="1" ht="18.75">
      <c r="A843" s="56"/>
      <c r="B843" s="57" t="s">
        <v>58</v>
      </c>
      <c r="C843" s="31" t="s">
        <v>207</v>
      </c>
      <c r="D843" s="32" t="s">
        <v>1075</v>
      </c>
      <c r="E843" s="44" t="s">
        <v>887</v>
      </c>
      <c r="F843" s="34">
        <v>38282.0702418</v>
      </c>
      <c r="G843" s="44">
        <v>44022</v>
      </c>
      <c r="H843" s="159">
        <v>38282.07</v>
      </c>
      <c r="I843" s="35" t="s">
        <v>1076</v>
      </c>
      <c r="J843" s="37">
        <f t="shared" ref="J843:J850" si="45">F843-H843</f>
        <v>2.4180000036722049E-4</v>
      </c>
      <c r="K843" s="116"/>
      <c r="L843" s="60"/>
      <c r="M843" s="41"/>
      <c r="N843" s="41"/>
      <c r="O843" s="41"/>
    </row>
    <row r="844" spans="1:15" s="7" customFormat="1" ht="18.75">
      <c r="A844" s="56"/>
      <c r="B844" s="57"/>
      <c r="C844" s="31" t="s">
        <v>212</v>
      </c>
      <c r="D844" s="32" t="s">
        <v>120</v>
      </c>
      <c r="E844" s="44">
        <v>44084</v>
      </c>
      <c r="F844" s="34">
        <v>3182518.0268706824</v>
      </c>
      <c r="G844" s="185" t="s">
        <v>213</v>
      </c>
      <c r="H844" s="159">
        <v>3182518.03</v>
      </c>
      <c r="I844" s="35" t="s">
        <v>1006</v>
      </c>
      <c r="J844" s="37">
        <f t="shared" si="45"/>
        <v>-3.1293174251914024E-3</v>
      </c>
      <c r="K844" s="110">
        <f t="shared" ref="K844:K851" si="46">J843+K843</f>
        <v>2.4180000036722049E-4</v>
      </c>
      <c r="L844" s="60"/>
      <c r="M844" s="41"/>
      <c r="N844" s="41"/>
      <c r="O844" s="41"/>
    </row>
    <row r="845" spans="1:15" s="7" customFormat="1" ht="18.75">
      <c r="A845" s="56"/>
      <c r="B845" s="57"/>
      <c r="C845" s="31" t="s">
        <v>214</v>
      </c>
      <c r="D845" s="32" t="s">
        <v>1077</v>
      </c>
      <c r="E845" s="44">
        <v>43962</v>
      </c>
      <c r="F845" s="34">
        <v>6954981.3178980732</v>
      </c>
      <c r="G845" s="185" t="s">
        <v>216</v>
      </c>
      <c r="H845" s="159">
        <v>6954981.3178980732</v>
      </c>
      <c r="I845" s="35" t="s">
        <v>1078</v>
      </c>
      <c r="J845" s="37">
        <f t="shared" si="45"/>
        <v>0</v>
      </c>
      <c r="K845" s="110">
        <f t="shared" si="46"/>
        <v>-2.8875174248241819E-3</v>
      </c>
      <c r="L845" s="60"/>
      <c r="M845" s="41"/>
      <c r="N845" s="41"/>
      <c r="O845" s="41"/>
    </row>
    <row r="846" spans="1:15" s="7" customFormat="1" ht="18.75">
      <c r="A846" s="56"/>
      <c r="B846" s="57"/>
      <c r="C846" s="31" t="s">
        <v>218</v>
      </c>
      <c r="D846" s="32" t="s">
        <v>80</v>
      </c>
      <c r="E846" s="44">
        <v>44024</v>
      </c>
      <c r="F846" s="34">
        <v>13397256.671148159</v>
      </c>
      <c r="G846" s="44">
        <v>44531</v>
      </c>
      <c r="H846" s="159">
        <v>13397256.66</v>
      </c>
      <c r="I846" s="35" t="s">
        <v>1079</v>
      </c>
      <c r="J846" s="37">
        <f t="shared" si="45"/>
        <v>1.1148158460855484E-2</v>
      </c>
      <c r="K846" s="110">
        <f t="shared" si="46"/>
        <v>-2.8875174248241819E-3</v>
      </c>
      <c r="L846" s="60"/>
      <c r="M846" s="41"/>
      <c r="N846" s="41"/>
      <c r="O846" s="41"/>
    </row>
    <row r="847" spans="1:15" s="7" customFormat="1" ht="18.75">
      <c r="A847" s="56"/>
      <c r="B847" s="57"/>
      <c r="C847" s="31" t="s">
        <v>219</v>
      </c>
      <c r="D847" s="32" t="s">
        <v>124</v>
      </c>
      <c r="E847" s="44">
        <v>44409</v>
      </c>
      <c r="F847" s="34">
        <v>24247357.456590921</v>
      </c>
      <c r="G847" s="186" t="s">
        <v>220</v>
      </c>
      <c r="H847" s="159">
        <v>24247357.456590921</v>
      </c>
      <c r="I847" s="35" t="s">
        <v>1080</v>
      </c>
      <c r="J847" s="37">
        <f t="shared" si="45"/>
        <v>0</v>
      </c>
      <c r="K847" s="110">
        <f t="shared" si="46"/>
        <v>8.2606410360313021E-3</v>
      </c>
      <c r="L847" s="60"/>
      <c r="M847" s="41"/>
      <c r="N847" s="41"/>
      <c r="O847" s="41"/>
    </row>
    <row r="848" spans="1:15" s="7" customFormat="1" ht="18.75">
      <c r="A848" s="56"/>
      <c r="B848" s="57"/>
      <c r="C848" s="31" t="s">
        <v>221</v>
      </c>
      <c r="D848" s="32" t="s">
        <v>155</v>
      </c>
      <c r="E848" s="44">
        <v>44441</v>
      </c>
      <c r="F848" s="34">
        <v>27331489.395790961</v>
      </c>
      <c r="G848" s="186">
        <v>44289</v>
      </c>
      <c r="H848" s="159">
        <f>6000000+8000000+8331489.4+5000000</f>
        <v>27331489.399999999</v>
      </c>
      <c r="I848" s="35" t="s">
        <v>27</v>
      </c>
      <c r="J848" s="37">
        <f t="shared" si="45"/>
        <v>-4.2090378701686859E-3</v>
      </c>
      <c r="K848" s="110">
        <f t="shared" si="46"/>
        <v>8.2606410360313021E-3</v>
      </c>
      <c r="L848" s="60"/>
      <c r="M848" s="41"/>
      <c r="N848" s="41"/>
      <c r="O848" s="41"/>
    </row>
    <row r="849" spans="1:15" s="7" customFormat="1" ht="18.75">
      <c r="A849" s="56"/>
      <c r="B849" s="57"/>
      <c r="C849" s="31" t="s">
        <v>222</v>
      </c>
      <c r="D849" s="32" t="s">
        <v>159</v>
      </c>
      <c r="E849" s="44">
        <v>44411</v>
      </c>
      <c r="F849" s="34">
        <v>26970436.513788074</v>
      </c>
      <c r="G849" s="186" t="s">
        <v>85</v>
      </c>
      <c r="H849" s="159">
        <f>6970436.51+7000000+7000000+6000000</f>
        <v>26970436.509999998</v>
      </c>
      <c r="I849" s="35" t="s">
        <v>605</v>
      </c>
      <c r="J849" s="37">
        <f t="shared" si="45"/>
        <v>3.7880763411521912E-3</v>
      </c>
      <c r="K849" s="110">
        <f t="shared" si="46"/>
        <v>4.0516031658626162E-3</v>
      </c>
      <c r="L849" s="60"/>
      <c r="M849" s="41"/>
      <c r="N849" s="41"/>
      <c r="O849" s="41"/>
    </row>
    <row r="850" spans="1:15" s="7" customFormat="1" ht="18.75">
      <c r="A850" s="56"/>
      <c r="B850" s="57"/>
      <c r="C850" s="31" t="s">
        <v>349</v>
      </c>
      <c r="D850" s="32" t="s">
        <v>163</v>
      </c>
      <c r="E850" s="44">
        <v>44381</v>
      </c>
      <c r="F850" s="34">
        <v>34568407.086275943</v>
      </c>
      <c r="G850" s="186" t="s">
        <v>351</v>
      </c>
      <c r="H850" s="159">
        <f>20000000+14568407.08</f>
        <v>34568407.079999998</v>
      </c>
      <c r="I850" s="35" t="s">
        <v>1081</v>
      </c>
      <c r="J850" s="37">
        <f t="shared" si="45"/>
        <v>6.2759444117546082E-3</v>
      </c>
      <c r="K850" s="110">
        <f t="shared" si="46"/>
        <v>7.8396795070148073E-3</v>
      </c>
      <c r="L850" s="60"/>
      <c r="M850" s="41"/>
      <c r="N850" s="41"/>
      <c r="O850" s="41"/>
    </row>
    <row r="851" spans="1:15" s="30" customFormat="1" ht="18.75">
      <c r="A851" s="56"/>
      <c r="B851" s="57" t="s">
        <v>1082</v>
      </c>
      <c r="C851" s="187"/>
      <c r="D851" s="188"/>
      <c r="E851" s="189"/>
      <c r="F851" s="190"/>
      <c r="G851" s="191"/>
      <c r="H851" s="192"/>
      <c r="I851" s="193"/>
      <c r="J851" s="38"/>
      <c r="K851" s="116">
        <f t="shared" si="46"/>
        <v>1.4115623918769415E-2</v>
      </c>
      <c r="L851" s="194"/>
      <c r="M851" s="57"/>
      <c r="N851" s="57"/>
      <c r="O851" s="57"/>
    </row>
    <row r="852" spans="1:15" s="7" customFormat="1" ht="18.75">
      <c r="A852" s="56"/>
      <c r="B852" s="57"/>
      <c r="C852" s="31"/>
      <c r="D852" s="32"/>
      <c r="E852" s="44"/>
      <c r="F852" s="34"/>
      <c r="G852" s="185"/>
      <c r="H852" s="54"/>
      <c r="I852" s="35"/>
      <c r="J852" s="37"/>
      <c r="K852" s="116"/>
      <c r="L852" s="60"/>
      <c r="M852" s="41"/>
      <c r="N852" s="41"/>
      <c r="O852" s="41"/>
    </row>
    <row r="853" spans="1:15" s="7" customFormat="1" ht="18.75">
      <c r="A853" s="56">
        <v>21</v>
      </c>
      <c r="B853" s="30" t="s">
        <v>59</v>
      </c>
      <c r="C853" s="29" t="s">
        <v>564</v>
      </c>
      <c r="D853" s="32" t="s">
        <v>671</v>
      </c>
      <c r="E853" s="44"/>
      <c r="F853" s="95">
        <v>76814250.909999996</v>
      </c>
      <c r="G853" s="98">
        <v>43042</v>
      </c>
      <c r="H853" s="36">
        <v>76814250.909999996</v>
      </c>
      <c r="I853" s="35"/>
      <c r="J853" s="37">
        <f t="shared" ref="J853:J889" si="47">F853-H853</f>
        <v>0</v>
      </c>
      <c r="K853" s="37">
        <v>0</v>
      </c>
      <c r="L853" s="39"/>
      <c r="M853" s="40"/>
      <c r="N853" s="40"/>
      <c r="O853" s="41"/>
    </row>
    <row r="854" spans="1:15" s="7" customFormat="1" ht="18.75">
      <c r="A854" s="56"/>
      <c r="B854" s="30"/>
      <c r="C854" s="29" t="s">
        <v>500</v>
      </c>
      <c r="D854" s="32" t="s">
        <v>673</v>
      </c>
      <c r="E854" s="44"/>
      <c r="F854" s="95">
        <v>85005747.75</v>
      </c>
      <c r="G854" s="96" t="s">
        <v>801</v>
      </c>
      <c r="H854" s="36">
        <v>85005747.75</v>
      </c>
      <c r="I854" s="35"/>
      <c r="J854" s="37">
        <f t="shared" si="47"/>
        <v>0</v>
      </c>
      <c r="K854" s="37">
        <f>J853+K853</f>
        <v>0</v>
      </c>
      <c r="L854" s="39"/>
      <c r="M854" s="40"/>
      <c r="N854" s="40"/>
      <c r="O854" s="41"/>
    </row>
    <row r="855" spans="1:15" s="7" customFormat="1" ht="18.75">
      <c r="A855" s="56"/>
      <c r="B855" s="30"/>
      <c r="C855" s="29" t="s">
        <v>501</v>
      </c>
      <c r="D855" s="32" t="s">
        <v>909</v>
      </c>
      <c r="E855" s="44"/>
      <c r="F855" s="95">
        <v>95961111.480000004</v>
      </c>
      <c r="G855" s="98" t="s">
        <v>502</v>
      </c>
      <c r="H855" s="36">
        <f>45961111.48+50000000</f>
        <v>95961111.479999989</v>
      </c>
      <c r="I855" s="35"/>
      <c r="J855" s="37">
        <f t="shared" si="47"/>
        <v>0</v>
      </c>
      <c r="K855" s="37">
        <f t="shared" ref="K855:K895" si="48">J854+K854</f>
        <v>0</v>
      </c>
      <c r="L855" s="39"/>
      <c r="M855" s="40"/>
      <c r="N855" s="40"/>
      <c r="O855" s="41"/>
    </row>
    <row r="856" spans="1:15" s="7" customFormat="1" ht="18.75">
      <c r="A856" s="56"/>
      <c r="B856" s="30"/>
      <c r="C856" s="29" t="s">
        <v>504</v>
      </c>
      <c r="D856" s="32" t="s">
        <v>675</v>
      </c>
      <c r="E856" s="44"/>
      <c r="F856" s="95">
        <v>92655052.469999999</v>
      </c>
      <c r="G856" s="75">
        <v>43222</v>
      </c>
      <c r="H856" s="36">
        <f>50000000+42655052.42</f>
        <v>92655052.420000002</v>
      </c>
      <c r="I856" s="35"/>
      <c r="J856" s="37">
        <f t="shared" si="47"/>
        <v>4.9999997019767761E-2</v>
      </c>
      <c r="K856" s="37">
        <f t="shared" si="48"/>
        <v>0</v>
      </c>
      <c r="L856" s="39"/>
      <c r="M856" s="40"/>
      <c r="N856" s="40"/>
      <c r="O856" s="41"/>
    </row>
    <row r="857" spans="1:15" s="7" customFormat="1" ht="18.75">
      <c r="A857" s="56"/>
      <c r="B857" s="30"/>
      <c r="C857" s="29" t="s">
        <v>506</v>
      </c>
      <c r="D857" s="32" t="s">
        <v>677</v>
      </c>
      <c r="E857" s="44"/>
      <c r="F857" s="95">
        <v>97466175.629999995</v>
      </c>
      <c r="G857" s="75">
        <v>43223</v>
      </c>
      <c r="H857" s="36">
        <f>47466175.63+50000000</f>
        <v>97466175.629999995</v>
      </c>
      <c r="I857" s="35"/>
      <c r="J857" s="37">
        <f t="shared" si="47"/>
        <v>0</v>
      </c>
      <c r="K857" s="37">
        <f t="shared" si="48"/>
        <v>4.9999997019767761E-2</v>
      </c>
      <c r="L857" s="39"/>
      <c r="M857" s="40"/>
      <c r="N857" s="40"/>
      <c r="O857" s="41"/>
    </row>
    <row r="858" spans="1:15" s="7" customFormat="1" ht="18.75">
      <c r="A858" s="56"/>
      <c r="B858" s="30"/>
      <c r="C858" s="29" t="s">
        <v>508</v>
      </c>
      <c r="D858" s="32" t="s">
        <v>678</v>
      </c>
      <c r="E858" s="44"/>
      <c r="F858" s="95">
        <v>88439557.780000001</v>
      </c>
      <c r="G858" s="75" t="s">
        <v>509</v>
      </c>
      <c r="H858" s="36">
        <v>88439557.780000001</v>
      </c>
      <c r="I858" s="195" t="s">
        <v>143</v>
      </c>
      <c r="J858" s="37">
        <f t="shared" si="47"/>
        <v>0</v>
      </c>
      <c r="K858" s="37">
        <f t="shared" si="48"/>
        <v>4.9999997019767761E-2</v>
      </c>
      <c r="L858" s="39"/>
      <c r="M858" s="40"/>
      <c r="N858" s="40"/>
      <c r="O858" s="41"/>
    </row>
    <row r="859" spans="1:15" s="7" customFormat="1" ht="18.75">
      <c r="A859" s="56"/>
      <c r="B859" s="30"/>
      <c r="C859" s="29" t="s">
        <v>355</v>
      </c>
      <c r="D859" s="32" t="s">
        <v>679</v>
      </c>
      <c r="E859" s="44"/>
      <c r="F859" s="95">
        <v>113301293.614425</v>
      </c>
      <c r="G859" s="75" t="s">
        <v>510</v>
      </c>
      <c r="H859" s="36">
        <v>113301293.614425</v>
      </c>
      <c r="I859" s="35"/>
      <c r="J859" s="37">
        <f t="shared" si="47"/>
        <v>0</v>
      </c>
      <c r="K859" s="37">
        <f t="shared" si="48"/>
        <v>4.9999997019767761E-2</v>
      </c>
      <c r="L859" s="39"/>
      <c r="M859" s="40"/>
      <c r="N859" s="40"/>
      <c r="O859" s="41"/>
    </row>
    <row r="860" spans="1:15" s="7" customFormat="1" ht="18.75">
      <c r="A860" s="56"/>
      <c r="B860" s="30"/>
      <c r="C860" s="31" t="s">
        <v>234</v>
      </c>
      <c r="D860" s="32" t="s">
        <v>681</v>
      </c>
      <c r="E860" s="44"/>
      <c r="F860" s="95">
        <v>66389424.013920002</v>
      </c>
      <c r="G860" s="75" t="s">
        <v>513</v>
      </c>
      <c r="H860" s="121">
        <f>40000000+26389424.01</f>
        <v>66389424.010000005</v>
      </c>
      <c r="I860" s="35" t="s">
        <v>1083</v>
      </c>
      <c r="J860" s="37">
        <f t="shared" si="47"/>
        <v>3.9199963212013245E-3</v>
      </c>
      <c r="K860" s="37">
        <f t="shared" si="48"/>
        <v>4.9999997019767761E-2</v>
      </c>
      <c r="L860" s="39"/>
      <c r="M860" s="40"/>
      <c r="N860" s="40"/>
      <c r="O860" s="41"/>
    </row>
    <row r="861" spans="1:15" s="7" customFormat="1" ht="18.75">
      <c r="A861" s="56"/>
      <c r="B861" s="30"/>
      <c r="C861" s="31" t="s">
        <v>514</v>
      </c>
      <c r="D861" s="32" t="s">
        <v>683</v>
      </c>
      <c r="E861" s="44"/>
      <c r="F861" s="95">
        <v>63724750.510238998</v>
      </c>
      <c r="G861" s="75" t="s">
        <v>757</v>
      </c>
      <c r="H861" s="121">
        <f>23724750.51+40000000</f>
        <v>63724750.510000005</v>
      </c>
      <c r="I861" s="35" t="s">
        <v>1084</v>
      </c>
      <c r="J861" s="37">
        <f t="shared" si="47"/>
        <v>2.3899227380752563E-4</v>
      </c>
      <c r="K861" s="37">
        <f t="shared" si="48"/>
        <v>5.3919993340969086E-2</v>
      </c>
      <c r="L861" s="39"/>
      <c r="M861" s="40"/>
      <c r="N861" s="40"/>
      <c r="O861" s="41"/>
    </row>
    <row r="862" spans="1:15" s="7" customFormat="1" ht="18.75">
      <c r="A862" s="56"/>
      <c r="B862" s="30"/>
      <c r="C862" s="102" t="s">
        <v>238</v>
      </c>
      <c r="D862" s="32" t="s">
        <v>686</v>
      </c>
      <c r="E862" s="44"/>
      <c r="F862" s="95">
        <v>85126026.556955993</v>
      </c>
      <c r="G862" s="75" t="s">
        <v>1085</v>
      </c>
      <c r="H862" s="121">
        <v>85126026.556955993</v>
      </c>
      <c r="I862" s="35"/>
      <c r="J862" s="37">
        <f t="shared" si="47"/>
        <v>0</v>
      </c>
      <c r="K862" s="37">
        <f t="shared" si="48"/>
        <v>5.4158985614776611E-2</v>
      </c>
      <c r="L862" s="39"/>
      <c r="M862" s="40"/>
      <c r="N862" s="40"/>
      <c r="O862" s="41"/>
    </row>
    <row r="863" spans="1:15" s="7" customFormat="1" ht="18.75">
      <c r="A863" s="56"/>
      <c r="B863" s="30"/>
      <c r="C863" s="102" t="s">
        <v>517</v>
      </c>
      <c r="D863" s="32" t="s">
        <v>689</v>
      </c>
      <c r="E863" s="44"/>
      <c r="F863" s="95">
        <v>60814966.136652</v>
      </c>
      <c r="G863" s="75" t="s">
        <v>1086</v>
      </c>
      <c r="H863" s="121">
        <f>40000000+20814966.14</f>
        <v>60814966.140000001</v>
      </c>
      <c r="I863" s="35" t="s">
        <v>1087</v>
      </c>
      <c r="J863" s="37">
        <f t="shared" si="47"/>
        <v>-3.3480003476142883E-3</v>
      </c>
      <c r="K863" s="37">
        <f t="shared" si="48"/>
        <v>5.4158985614776611E-2</v>
      </c>
      <c r="L863" s="39"/>
      <c r="M863" s="40"/>
      <c r="N863" s="40"/>
      <c r="O863" s="41"/>
    </row>
    <row r="864" spans="1:15" s="7" customFormat="1" ht="18.75">
      <c r="A864" s="56"/>
      <c r="B864" s="30"/>
      <c r="C864" s="102" t="s">
        <v>243</v>
      </c>
      <c r="D864" s="32" t="s">
        <v>692</v>
      </c>
      <c r="E864" s="44"/>
      <c r="F864" s="95">
        <v>85925856.807126001</v>
      </c>
      <c r="G864" s="75" t="s">
        <v>518</v>
      </c>
      <c r="H864" s="121">
        <v>85925856.810000002</v>
      </c>
      <c r="I864" s="35"/>
      <c r="J864" s="37">
        <f t="shared" si="47"/>
        <v>-2.8740018606185913E-3</v>
      </c>
      <c r="K864" s="37">
        <f t="shared" si="48"/>
        <v>5.0810985267162323E-2</v>
      </c>
      <c r="L864" s="39"/>
      <c r="M864" s="40"/>
      <c r="N864" s="40"/>
      <c r="O864" s="41"/>
    </row>
    <row r="865" spans="1:15" s="7" customFormat="1" ht="18.75">
      <c r="A865" s="56"/>
      <c r="B865" s="30"/>
      <c r="C865" s="111" t="s">
        <v>1088</v>
      </c>
      <c r="D865" s="32" t="s">
        <v>1089</v>
      </c>
      <c r="E865" s="44"/>
      <c r="F865" s="196">
        <v>87170471.849999994</v>
      </c>
      <c r="G865" s="75" t="s">
        <v>914</v>
      </c>
      <c r="H865" s="48">
        <v>87170471.849999994</v>
      </c>
      <c r="I865" s="195" t="s">
        <v>713</v>
      </c>
      <c r="J865" s="37">
        <f t="shared" si="47"/>
        <v>0</v>
      </c>
      <c r="K865" s="37">
        <f t="shared" si="48"/>
        <v>4.7936983406543732E-2</v>
      </c>
      <c r="L865" s="39"/>
      <c r="M865" s="40"/>
      <c r="N865" s="40"/>
      <c r="O865" s="41"/>
    </row>
    <row r="866" spans="1:15" s="7" customFormat="1" ht="18.75">
      <c r="A866" s="56"/>
      <c r="B866" s="30"/>
      <c r="C866" s="197" t="s">
        <v>248</v>
      </c>
      <c r="D866" s="166" t="s">
        <v>621</v>
      </c>
      <c r="E866" s="44"/>
      <c r="F866" s="149">
        <v>105366625.69053601</v>
      </c>
      <c r="G866" s="198" t="s">
        <v>963</v>
      </c>
      <c r="H866" s="121">
        <f>20000000+40000000+45366625.69</f>
        <v>105366625.69</v>
      </c>
      <c r="I866" s="35" t="s">
        <v>1090</v>
      </c>
      <c r="J866" s="37">
        <f t="shared" si="47"/>
        <v>5.3600966930389404E-4</v>
      </c>
      <c r="K866" s="37">
        <f t="shared" si="48"/>
        <v>4.7936983406543732E-2</v>
      </c>
      <c r="L866" s="39"/>
      <c r="M866" s="40"/>
      <c r="N866" s="40"/>
      <c r="O866" s="41"/>
    </row>
    <row r="867" spans="1:15" s="7" customFormat="1" ht="18.75">
      <c r="A867" s="56"/>
      <c r="B867" s="30"/>
      <c r="C867" s="111" t="s">
        <v>250</v>
      </c>
      <c r="D867" s="103" t="s">
        <v>202</v>
      </c>
      <c r="E867" s="44"/>
      <c r="F867" s="149">
        <v>120659585.92</v>
      </c>
      <c r="G867" s="105" t="s">
        <v>965</v>
      </c>
      <c r="H867" s="121">
        <f>34659585.92+40000000+40000000</f>
        <v>114659585.92</v>
      </c>
      <c r="I867" s="35" t="s">
        <v>1091</v>
      </c>
      <c r="J867" s="37">
        <f t="shared" si="47"/>
        <v>6000000</v>
      </c>
      <c r="K867" s="37">
        <f t="shared" si="48"/>
        <v>4.8472993075847626E-2</v>
      </c>
      <c r="L867" s="39"/>
      <c r="M867" s="40"/>
      <c r="N867" s="40"/>
      <c r="O867" s="41"/>
    </row>
    <row r="868" spans="1:15" s="7" customFormat="1" ht="18.75">
      <c r="A868" s="56"/>
      <c r="B868" s="30"/>
      <c r="C868" s="62" t="s">
        <v>139</v>
      </c>
      <c r="D868" s="103" t="s">
        <v>204</v>
      </c>
      <c r="E868" s="44"/>
      <c r="F868" s="149">
        <v>155980925.11000001</v>
      </c>
      <c r="G868" s="105" t="s">
        <v>652</v>
      </c>
      <c r="H868" s="121">
        <f>50000000+50000000+50000000+5980925.11</f>
        <v>155980925.11000001</v>
      </c>
      <c r="I868" s="35" t="s">
        <v>526</v>
      </c>
      <c r="J868" s="37">
        <f t="shared" si="47"/>
        <v>0</v>
      </c>
      <c r="K868" s="37">
        <f t="shared" si="48"/>
        <v>6000000.0484729931</v>
      </c>
      <c r="L868" s="39"/>
      <c r="M868" s="40"/>
      <c r="N868" s="40"/>
      <c r="O868" s="41"/>
    </row>
    <row r="869" spans="1:15" s="7" customFormat="1" ht="18.75">
      <c r="A869" s="56"/>
      <c r="B869" s="30"/>
      <c r="C869" s="62" t="s">
        <v>142</v>
      </c>
      <c r="D869" s="103" t="s">
        <v>1092</v>
      </c>
      <c r="E869" s="44"/>
      <c r="F869" s="149">
        <v>119670010.20513</v>
      </c>
      <c r="G869" s="105"/>
      <c r="H869" s="121">
        <f>50000000+50000000+29642836.58</f>
        <v>129642836.58</v>
      </c>
      <c r="I869" s="35" t="s">
        <v>1093</v>
      </c>
      <c r="J869" s="37">
        <f t="shared" si="47"/>
        <v>-9972826.3748700023</v>
      </c>
      <c r="K869" s="37">
        <f t="shared" si="48"/>
        <v>6000000.0484729931</v>
      </c>
      <c r="L869" s="39"/>
      <c r="M869" s="40"/>
      <c r="N869" s="40"/>
      <c r="O869" s="41"/>
    </row>
    <row r="870" spans="1:15" s="7" customFormat="1" ht="18.75">
      <c r="A870" s="56"/>
      <c r="B870" s="30"/>
      <c r="C870" s="62" t="s">
        <v>145</v>
      </c>
      <c r="D870" s="103" t="s">
        <v>52</v>
      </c>
      <c r="E870" s="44"/>
      <c r="F870" s="149">
        <v>101473507.66392002</v>
      </c>
      <c r="G870" s="105" t="s">
        <v>364</v>
      </c>
      <c r="H870" s="121">
        <f>1473507.66+10000000+10000000+10000000+10000000+10000000+10000000+10000000+10000000+10000000+10000000</f>
        <v>101473507.66</v>
      </c>
      <c r="I870" s="199" t="s">
        <v>990</v>
      </c>
      <c r="J870" s="37">
        <f t="shared" si="47"/>
        <v>3.9200186729431152E-3</v>
      </c>
      <c r="K870" s="37">
        <f t="shared" si="48"/>
        <v>-3972826.3263970092</v>
      </c>
      <c r="L870" s="39"/>
      <c r="M870" s="40"/>
      <c r="N870" s="40"/>
      <c r="O870" s="41"/>
    </row>
    <row r="871" spans="1:15" s="7" customFormat="1" ht="18.75">
      <c r="A871" s="56"/>
      <c r="B871" s="30"/>
      <c r="C871" s="62" t="s">
        <v>148</v>
      </c>
      <c r="D871" s="103" t="s">
        <v>1094</v>
      </c>
      <c r="E871" s="44"/>
      <c r="F871" s="149">
        <v>120058751.06</v>
      </c>
      <c r="G871" s="105" t="s">
        <v>366</v>
      </c>
      <c r="H871" s="121">
        <f>10000000+10000000+10000000+10000000+10000000+10000000+10000000+10000000+10000000+10000000+10000000+10000000+10000000+63646.98</f>
        <v>130063646.98</v>
      </c>
      <c r="I871" s="143" t="s">
        <v>1095</v>
      </c>
      <c r="J871" s="37">
        <f t="shared" si="47"/>
        <v>-10004895.920000002</v>
      </c>
      <c r="K871" s="37">
        <f t="shared" si="48"/>
        <v>-3972826.3224769905</v>
      </c>
      <c r="L871" s="39"/>
      <c r="M871" s="40"/>
      <c r="N871" s="40"/>
      <c r="O871" s="41"/>
    </row>
    <row r="872" spans="1:15" s="7" customFormat="1" ht="18.75">
      <c r="A872" s="56"/>
      <c r="B872" s="30"/>
      <c r="C872" s="62" t="s">
        <v>151</v>
      </c>
      <c r="D872" s="103" t="s">
        <v>1096</v>
      </c>
      <c r="E872" s="44"/>
      <c r="F872" s="149">
        <v>110433777.7</v>
      </c>
      <c r="G872" s="105" t="s">
        <v>152</v>
      </c>
      <c r="H872" s="121">
        <v>96456055.409999996</v>
      </c>
      <c r="I872" s="35" t="s">
        <v>878</v>
      </c>
      <c r="J872" s="37">
        <f t="shared" si="47"/>
        <v>13977722.290000007</v>
      </c>
      <c r="K872" s="37">
        <f t="shared" si="48"/>
        <v>-13977722.242476992</v>
      </c>
      <c r="L872" s="39"/>
      <c r="M872" s="40"/>
      <c r="N872" s="40"/>
      <c r="O872" s="41"/>
    </row>
    <row r="873" spans="1:15" s="7" customFormat="1" ht="18.75">
      <c r="A873" s="56"/>
      <c r="B873" s="30"/>
      <c r="C873" s="62" t="s">
        <v>154</v>
      </c>
      <c r="D873" s="103" t="s">
        <v>71</v>
      </c>
      <c r="E873" s="44"/>
      <c r="F873" s="149">
        <v>126878457.10050002</v>
      </c>
      <c r="G873" s="105" t="s">
        <v>156</v>
      </c>
      <c r="H873" s="121">
        <f>10000000+10000000+10000000+10000000+10000000+6878457.1+10000000+10000000+10000000+10000000+10000000+10000000+10000000</f>
        <v>126878457.09999999</v>
      </c>
      <c r="I873" s="35" t="s">
        <v>772</v>
      </c>
      <c r="J873" s="37">
        <f t="shared" si="47"/>
        <v>5.0002336502075195E-4</v>
      </c>
      <c r="K873" s="37">
        <f t="shared" si="48"/>
        <v>4.752301424741745E-2</v>
      </c>
      <c r="L873" s="39"/>
      <c r="M873" s="40"/>
      <c r="N873" s="40"/>
      <c r="O873" s="41"/>
    </row>
    <row r="874" spans="1:15" s="7" customFormat="1" ht="18.75">
      <c r="A874" s="56"/>
      <c r="B874" s="30"/>
      <c r="C874" s="62" t="s">
        <v>158</v>
      </c>
      <c r="D874" s="103" t="s">
        <v>26</v>
      </c>
      <c r="E874" s="44"/>
      <c r="F874" s="149">
        <v>78748343.469999999</v>
      </c>
      <c r="G874" s="105" t="s">
        <v>160</v>
      </c>
      <c r="H874" s="121">
        <v>78748343.469999999</v>
      </c>
      <c r="I874" s="35" t="s">
        <v>895</v>
      </c>
      <c r="J874" s="37">
        <f t="shared" si="47"/>
        <v>0</v>
      </c>
      <c r="K874" s="37">
        <f t="shared" si="48"/>
        <v>4.8023037612438202E-2</v>
      </c>
      <c r="L874" s="39"/>
      <c r="M874" s="40"/>
      <c r="N874" s="40"/>
      <c r="O874" s="41"/>
    </row>
    <row r="875" spans="1:15" s="7" customFormat="1" ht="18.75">
      <c r="A875" s="56"/>
      <c r="B875" s="30"/>
      <c r="C875" s="62" t="s">
        <v>162</v>
      </c>
      <c r="D875" s="103" t="s">
        <v>223</v>
      </c>
      <c r="E875" s="44"/>
      <c r="F875" s="149">
        <v>102490965.82368</v>
      </c>
      <c r="G875" s="105" t="s">
        <v>164</v>
      </c>
      <c r="H875" s="121">
        <v>102490965.82368</v>
      </c>
      <c r="I875" s="35" t="s">
        <v>1097</v>
      </c>
      <c r="J875" s="37">
        <f t="shared" si="47"/>
        <v>0</v>
      </c>
      <c r="K875" s="37">
        <f t="shared" si="48"/>
        <v>4.8023037612438202E-2</v>
      </c>
      <c r="L875" s="39"/>
      <c r="M875" s="40"/>
      <c r="N875" s="40"/>
      <c r="O875" s="41"/>
    </row>
    <row r="876" spans="1:15" s="7" customFormat="1" ht="18.75">
      <c r="A876" s="56"/>
      <c r="B876" s="30"/>
      <c r="C876" s="62" t="s">
        <v>166</v>
      </c>
      <c r="D876" s="103" t="s">
        <v>367</v>
      </c>
      <c r="E876" s="44"/>
      <c r="F876" s="149">
        <v>104749312.82256001</v>
      </c>
      <c r="G876" s="105" t="s">
        <v>168</v>
      </c>
      <c r="H876" s="121">
        <v>104749312.82256001</v>
      </c>
      <c r="I876" s="35" t="s">
        <v>1098</v>
      </c>
      <c r="J876" s="37">
        <f t="shared" si="47"/>
        <v>0</v>
      </c>
      <c r="K876" s="37">
        <f t="shared" si="48"/>
        <v>4.8023037612438202E-2</v>
      </c>
      <c r="L876" s="39"/>
      <c r="M876" s="40"/>
      <c r="N876" s="40"/>
      <c r="O876" s="41"/>
    </row>
    <row r="877" spans="1:15" s="7" customFormat="1" ht="18.75">
      <c r="A877" s="56"/>
      <c r="B877" s="30"/>
      <c r="C877" s="62" t="s">
        <v>170</v>
      </c>
      <c r="D877" s="103" t="s">
        <v>368</v>
      </c>
      <c r="E877" s="44"/>
      <c r="F877" s="149">
        <v>83912249.506049991</v>
      </c>
      <c r="G877" s="105" t="s">
        <v>172</v>
      </c>
      <c r="H877" s="121">
        <v>83906699.379999995</v>
      </c>
      <c r="I877" s="35" t="s">
        <v>1099</v>
      </c>
      <c r="J877" s="37">
        <f t="shared" si="47"/>
        <v>5550.1260499954224</v>
      </c>
      <c r="K877" s="37">
        <f t="shared" si="48"/>
        <v>4.8023037612438202E-2</v>
      </c>
      <c r="L877" s="39"/>
      <c r="M877" s="40"/>
      <c r="N877" s="40"/>
      <c r="O877" s="41"/>
    </row>
    <row r="878" spans="1:15" s="7" customFormat="1" ht="18.75">
      <c r="A878" s="56"/>
      <c r="B878" s="30"/>
      <c r="C878" s="62" t="s">
        <v>174</v>
      </c>
      <c r="D878" s="103" t="s">
        <v>370</v>
      </c>
      <c r="E878" s="44"/>
      <c r="F878" s="149">
        <v>89585714.660400003</v>
      </c>
      <c r="G878" s="105" t="s">
        <v>176</v>
      </c>
      <c r="H878" s="121">
        <f>10000000+10000000+10000000+10000000+10000000+10000000+10000000+10000000+9585714.66</f>
        <v>89585714.659999996</v>
      </c>
      <c r="I878" s="35" t="s">
        <v>325</v>
      </c>
      <c r="J878" s="37">
        <f t="shared" si="47"/>
        <v>4.0000677108764648E-4</v>
      </c>
      <c r="K878" s="37">
        <f t="shared" si="48"/>
        <v>5550.1740730330348</v>
      </c>
      <c r="L878" s="39"/>
      <c r="M878" s="40"/>
      <c r="N878" s="40"/>
      <c r="O878" s="41"/>
    </row>
    <row r="879" spans="1:15" s="7" customFormat="1" ht="18.75">
      <c r="A879" s="56"/>
      <c r="B879" s="30"/>
      <c r="C879" s="62" t="s">
        <v>178</v>
      </c>
      <c r="D879" s="103" t="s">
        <v>371</v>
      </c>
      <c r="E879" s="44"/>
      <c r="F879" s="149">
        <v>104491489.74673501</v>
      </c>
      <c r="G879" s="105" t="s">
        <v>179</v>
      </c>
      <c r="H879" s="121">
        <v>104491489.75</v>
      </c>
      <c r="I879" s="35" t="s">
        <v>1016</v>
      </c>
      <c r="J879" s="37">
        <f t="shared" si="47"/>
        <v>-3.26499342918396E-3</v>
      </c>
      <c r="K879" s="37">
        <f t="shared" si="48"/>
        <v>5550.1744730398059</v>
      </c>
      <c r="L879" s="39"/>
      <c r="M879" s="40"/>
      <c r="N879" s="40"/>
      <c r="O879" s="41"/>
    </row>
    <row r="880" spans="1:15" s="7" customFormat="1" ht="18.75">
      <c r="A880" s="56"/>
      <c r="B880" s="30"/>
      <c r="C880" s="62" t="s">
        <v>181</v>
      </c>
      <c r="D880" s="103" t="s">
        <v>372</v>
      </c>
      <c r="E880" s="44"/>
      <c r="F880" s="149">
        <v>111115430.62515001</v>
      </c>
      <c r="G880" s="105" t="s">
        <v>183</v>
      </c>
      <c r="H880" s="121">
        <v>111115430.62515001</v>
      </c>
      <c r="I880" s="35" t="s">
        <v>583</v>
      </c>
      <c r="J880" s="37">
        <f t="shared" si="47"/>
        <v>0</v>
      </c>
      <c r="K880" s="37">
        <f t="shared" si="48"/>
        <v>5550.1712080463767</v>
      </c>
      <c r="L880" s="39"/>
      <c r="M880" s="40"/>
      <c r="N880" s="40"/>
      <c r="O880" s="41"/>
    </row>
    <row r="881" spans="1:15" s="7" customFormat="1" ht="18.75">
      <c r="A881" s="56"/>
      <c r="B881" s="30"/>
      <c r="C881" s="62" t="s">
        <v>185</v>
      </c>
      <c r="D881" s="103" t="s">
        <v>373</v>
      </c>
      <c r="E881" s="44"/>
      <c r="F881" s="149">
        <v>137695982.334939</v>
      </c>
      <c r="G881" s="105" t="s">
        <v>187</v>
      </c>
      <c r="H881" s="177">
        <f>10000000+10000000+10000000+10000000+10000000+10000000+10000000+10000000+10000000+10000000+10000000+10000000+7695982.33+10000000</f>
        <v>137695982.32999998</v>
      </c>
      <c r="I881" s="35" t="s">
        <v>717</v>
      </c>
      <c r="J881" s="37">
        <f t="shared" si="47"/>
        <v>4.9390196800231934E-3</v>
      </c>
      <c r="K881" s="37">
        <f t="shared" si="48"/>
        <v>5550.1712080463767</v>
      </c>
      <c r="L881" s="39"/>
      <c r="M881" s="40"/>
      <c r="N881" s="40"/>
      <c r="O881" s="41"/>
    </row>
    <row r="882" spans="1:15" s="7" customFormat="1" ht="18.75">
      <c r="A882" s="56"/>
      <c r="B882" s="30"/>
      <c r="C882" s="62" t="s">
        <v>189</v>
      </c>
      <c r="D882" s="103" t="s">
        <v>92</v>
      </c>
      <c r="E882" s="44"/>
      <c r="F882" s="149">
        <v>95163404.959721252</v>
      </c>
      <c r="G882" s="105" t="s">
        <v>377</v>
      </c>
      <c r="H882" s="177">
        <v>95163404.959999993</v>
      </c>
      <c r="I882" s="35" t="s">
        <v>1100</v>
      </c>
      <c r="J882" s="37">
        <f t="shared" si="47"/>
        <v>-2.7874112129211426E-4</v>
      </c>
      <c r="K882" s="37">
        <f t="shared" si="48"/>
        <v>5550.1761470660567</v>
      </c>
      <c r="L882" s="39"/>
      <c r="M882" s="40"/>
      <c r="N882" s="40"/>
      <c r="O882" s="41"/>
    </row>
    <row r="883" spans="1:15" s="7" customFormat="1" ht="18.75">
      <c r="A883" s="56"/>
      <c r="B883" s="30"/>
      <c r="C883" s="62" t="s">
        <v>191</v>
      </c>
      <c r="D883" s="103" t="s">
        <v>63</v>
      </c>
      <c r="E883" s="44">
        <v>43986</v>
      </c>
      <c r="F883" s="149">
        <v>156076821.35166875</v>
      </c>
      <c r="G883" s="105" t="s">
        <v>193</v>
      </c>
      <c r="H883" s="177">
        <v>156076821.34999999</v>
      </c>
      <c r="I883" s="35" t="s">
        <v>188</v>
      </c>
      <c r="J883" s="37">
        <f t="shared" si="47"/>
        <v>1.6687512397766113E-3</v>
      </c>
      <c r="K883" s="37">
        <f t="shared" si="48"/>
        <v>5550.1758683249354</v>
      </c>
      <c r="L883" s="39"/>
      <c r="M883" s="40"/>
      <c r="N883" s="40"/>
      <c r="O883" s="41"/>
    </row>
    <row r="884" spans="1:15" s="7" customFormat="1" ht="18.75">
      <c r="A884" s="56"/>
      <c r="B884" s="30"/>
      <c r="C884" s="62" t="s">
        <v>195</v>
      </c>
      <c r="D884" s="103" t="s">
        <v>374</v>
      </c>
      <c r="E884" s="44" t="s">
        <v>197</v>
      </c>
      <c r="F884" s="149">
        <v>114660515.39952749</v>
      </c>
      <c r="G884" s="105" t="s">
        <v>198</v>
      </c>
      <c r="H884" s="177">
        <v>114660515.40000001</v>
      </c>
      <c r="I884" s="35" t="s">
        <v>1101</v>
      </c>
      <c r="J884" s="37">
        <f t="shared" si="47"/>
        <v>-4.7251582145690918E-4</v>
      </c>
      <c r="K884" s="37">
        <f t="shared" si="48"/>
        <v>5550.1775370761752</v>
      </c>
      <c r="L884" s="39"/>
      <c r="M884" s="40"/>
      <c r="N884" s="40"/>
      <c r="O884" s="41"/>
    </row>
    <row r="885" spans="1:15" s="7" customFormat="1" ht="18.75">
      <c r="A885" s="56"/>
      <c r="B885" s="30"/>
      <c r="C885" s="62" t="s">
        <v>199</v>
      </c>
      <c r="D885" s="103" t="s">
        <v>376</v>
      </c>
      <c r="E885" s="44">
        <v>44049</v>
      </c>
      <c r="F885" s="149">
        <v>129548839.96170999</v>
      </c>
      <c r="G885" s="105">
        <v>43897</v>
      </c>
      <c r="H885" s="177">
        <v>129548839.95999999</v>
      </c>
      <c r="I885" s="35" t="s">
        <v>855</v>
      </c>
      <c r="J885" s="37">
        <f t="shared" si="47"/>
        <v>1.7099976539611816E-3</v>
      </c>
      <c r="K885" s="37">
        <f t="shared" si="48"/>
        <v>5550.1770645603538</v>
      </c>
      <c r="L885" s="39"/>
      <c r="M885" s="40"/>
      <c r="N885" s="40"/>
      <c r="O885" s="41"/>
    </row>
    <row r="886" spans="1:15" s="7" customFormat="1" ht="18.75">
      <c r="A886" s="56"/>
      <c r="B886" s="30"/>
      <c r="C886" s="62" t="s">
        <v>201</v>
      </c>
      <c r="D886" s="103" t="s">
        <v>54</v>
      </c>
      <c r="E886" s="44" t="s">
        <v>449</v>
      </c>
      <c r="F886" s="149">
        <v>148600348.00883999</v>
      </c>
      <c r="G886" s="105">
        <v>43929</v>
      </c>
      <c r="H886" s="177">
        <v>148600348.00999999</v>
      </c>
      <c r="I886" s="35" t="s">
        <v>708</v>
      </c>
      <c r="J886" s="37">
        <f t="shared" si="47"/>
        <v>-1.1599957942962646E-3</v>
      </c>
      <c r="K886" s="37">
        <f t="shared" si="48"/>
        <v>5550.1787745580077</v>
      </c>
      <c r="L886" s="39"/>
      <c r="M886" s="40"/>
      <c r="N886" s="40"/>
      <c r="O886" s="41"/>
    </row>
    <row r="887" spans="1:15" s="7" customFormat="1" ht="18.75">
      <c r="A887" s="56"/>
      <c r="B887" s="30"/>
      <c r="C887" s="62" t="s">
        <v>203</v>
      </c>
      <c r="D887" s="103" t="s">
        <v>379</v>
      </c>
      <c r="E887" s="44">
        <v>44020</v>
      </c>
      <c r="F887" s="149">
        <v>168894652.13851747</v>
      </c>
      <c r="G887" s="105" t="s">
        <v>450</v>
      </c>
      <c r="H887" s="177">
        <v>168894652.13851747</v>
      </c>
      <c r="I887" s="35" t="s">
        <v>587</v>
      </c>
      <c r="J887" s="37">
        <f t="shared" si="47"/>
        <v>0</v>
      </c>
      <c r="K887" s="37">
        <f t="shared" si="48"/>
        <v>5550.1776145622134</v>
      </c>
      <c r="L887" s="39"/>
      <c r="M887" s="40"/>
      <c r="N887" s="40"/>
      <c r="O887" s="41"/>
    </row>
    <row r="888" spans="1:15" s="7" customFormat="1" ht="18.75">
      <c r="A888" s="56"/>
      <c r="B888" s="30"/>
      <c r="C888" s="62" t="s">
        <v>207</v>
      </c>
      <c r="D888" s="103" t="s">
        <v>381</v>
      </c>
      <c r="E888" s="44" t="s">
        <v>209</v>
      </c>
      <c r="F888" s="149">
        <v>158400513.86340004</v>
      </c>
      <c r="G888" s="105" t="s">
        <v>210</v>
      </c>
      <c r="H888" s="177">
        <v>158400513.86000001</v>
      </c>
      <c r="I888" s="35" t="s">
        <v>602</v>
      </c>
      <c r="J888" s="37">
        <f t="shared" si="47"/>
        <v>3.4000277519226074E-3</v>
      </c>
      <c r="K888" s="37">
        <f t="shared" si="48"/>
        <v>5550.1776145622134</v>
      </c>
      <c r="L888" s="39"/>
      <c r="M888" s="40"/>
      <c r="N888" s="40"/>
      <c r="O888" s="41"/>
    </row>
    <row r="889" spans="1:15" s="7" customFormat="1" ht="18.75">
      <c r="A889" s="56"/>
      <c r="B889" s="30"/>
      <c r="C889" s="62" t="s">
        <v>212</v>
      </c>
      <c r="D889" s="103" t="s">
        <v>383</v>
      </c>
      <c r="E889" s="44">
        <v>44084</v>
      </c>
      <c r="F889" s="149">
        <v>149284620.76362801</v>
      </c>
      <c r="G889" s="105" t="s">
        <v>213</v>
      </c>
      <c r="H889" s="177">
        <v>149284620.75999999</v>
      </c>
      <c r="I889" s="35" t="s">
        <v>664</v>
      </c>
      <c r="J889" s="37">
        <f t="shared" si="47"/>
        <v>3.6280155181884766E-3</v>
      </c>
      <c r="K889" s="37">
        <f t="shared" si="48"/>
        <v>5550.1810145899653</v>
      </c>
      <c r="L889" s="39"/>
      <c r="M889" s="40"/>
      <c r="N889" s="40"/>
      <c r="O889" s="41"/>
    </row>
    <row r="890" spans="1:15" s="7" customFormat="1" ht="18.75">
      <c r="A890" s="56"/>
      <c r="B890" s="30"/>
      <c r="C890" s="62" t="s">
        <v>214</v>
      </c>
      <c r="D890" s="103" t="s">
        <v>384</v>
      </c>
      <c r="E890" s="44">
        <v>43962</v>
      </c>
      <c r="F890" s="149">
        <v>151693861.40164903</v>
      </c>
      <c r="G890" s="105" t="s">
        <v>216</v>
      </c>
      <c r="H890" s="177">
        <v>151693861.41</v>
      </c>
      <c r="I890" s="35" t="s">
        <v>294</v>
      </c>
      <c r="J890" s="37">
        <f>F890-H890</f>
        <v>-8.3509683609008789E-3</v>
      </c>
      <c r="K890" s="37">
        <f t="shared" si="48"/>
        <v>5550.1846426054835</v>
      </c>
      <c r="L890" s="39"/>
      <c r="M890" s="40"/>
      <c r="N890" s="40"/>
      <c r="O890" s="41"/>
    </row>
    <row r="891" spans="1:15" s="7" customFormat="1" ht="18.75">
      <c r="A891" s="56"/>
      <c r="B891" s="30"/>
      <c r="C891" s="62" t="s">
        <v>218</v>
      </c>
      <c r="D891" s="103" t="s">
        <v>385</v>
      </c>
      <c r="E891" s="44">
        <v>44024</v>
      </c>
      <c r="F891" s="149">
        <v>187624363.10931599</v>
      </c>
      <c r="G891" s="105">
        <v>44531</v>
      </c>
      <c r="H891" s="177">
        <v>187624363.09999999</v>
      </c>
      <c r="I891" s="44">
        <v>44531</v>
      </c>
      <c r="J891" s="37">
        <f>F891-H891</f>
        <v>9.3159973621368408E-3</v>
      </c>
      <c r="K891" s="37">
        <f t="shared" si="48"/>
        <v>5550.1762916371226</v>
      </c>
      <c r="L891" s="39"/>
      <c r="M891" s="40"/>
      <c r="N891" s="40"/>
      <c r="O891" s="41"/>
    </row>
    <row r="892" spans="1:15" s="7" customFormat="1" ht="18.75">
      <c r="A892" s="56"/>
      <c r="B892" s="30"/>
      <c r="C892" s="62" t="s">
        <v>219</v>
      </c>
      <c r="D892" s="103" t="s">
        <v>386</v>
      </c>
      <c r="E892" s="44">
        <v>44409</v>
      </c>
      <c r="F892" s="149">
        <v>195961249.21475452</v>
      </c>
      <c r="G892" s="105" t="s">
        <v>220</v>
      </c>
      <c r="H892" s="177">
        <v>195961249.21000001</v>
      </c>
      <c r="I892" s="44">
        <v>44502</v>
      </c>
      <c r="J892" s="37">
        <f>F892-H892</f>
        <v>4.7545135021209717E-3</v>
      </c>
      <c r="K892" s="37">
        <f t="shared" si="48"/>
        <v>5550.1856076344848</v>
      </c>
      <c r="L892" s="39"/>
      <c r="M892" s="40"/>
      <c r="N892" s="40"/>
      <c r="O892" s="41"/>
    </row>
    <row r="893" spans="1:15" s="7" customFormat="1" ht="18.75">
      <c r="A893" s="56"/>
      <c r="B893" s="30"/>
      <c r="C893" s="62" t="s">
        <v>221</v>
      </c>
      <c r="D893" s="103" t="s">
        <v>388</v>
      </c>
      <c r="E893" s="44">
        <v>44471</v>
      </c>
      <c r="F893" s="149">
        <v>178515687.82834503</v>
      </c>
      <c r="G893" s="105" t="s">
        <v>27</v>
      </c>
      <c r="H893" s="177">
        <v>178515687.83000001</v>
      </c>
      <c r="I893" s="44" t="s">
        <v>711</v>
      </c>
      <c r="J893" s="37">
        <f>F893-H893</f>
        <v>-1.6549825668334961E-3</v>
      </c>
      <c r="K893" s="37">
        <f t="shared" si="48"/>
        <v>5550.1903621479869</v>
      </c>
      <c r="L893" s="39"/>
      <c r="M893" s="40"/>
      <c r="N893" s="40"/>
      <c r="O893" s="41"/>
    </row>
    <row r="894" spans="1:15" s="7" customFormat="1" ht="18.75">
      <c r="A894" s="56"/>
      <c r="B894" s="30"/>
      <c r="C894" s="62" t="s">
        <v>222</v>
      </c>
      <c r="D894" s="103" t="s">
        <v>39</v>
      </c>
      <c r="E894" s="44">
        <v>44319</v>
      </c>
      <c r="F894" s="149">
        <v>160618521.67649901</v>
      </c>
      <c r="G894" s="105" t="s">
        <v>224</v>
      </c>
      <c r="H894" s="177">
        <v>149412578.30000001</v>
      </c>
      <c r="I894" s="44" t="s">
        <v>1081</v>
      </c>
      <c r="J894" s="37">
        <f>F894-H894</f>
        <v>11205943.376498997</v>
      </c>
      <c r="K894" s="37">
        <f t="shared" si="48"/>
        <v>5550.1887071654201</v>
      </c>
      <c r="L894" s="39"/>
      <c r="M894" s="40"/>
      <c r="N894" s="40"/>
      <c r="O894" s="41"/>
    </row>
    <row r="895" spans="1:15" s="7" customFormat="1" ht="18.75">
      <c r="A895" s="56"/>
      <c r="B895" s="30" t="s">
        <v>1102</v>
      </c>
      <c r="D895" s="200"/>
      <c r="E895" s="44"/>
      <c r="F895" s="53"/>
      <c r="G895" s="201"/>
      <c r="H895" s="87"/>
      <c r="I895" s="35"/>
      <c r="J895" s="37"/>
      <c r="K895" s="38">
        <f t="shared" si="48"/>
        <v>11211493.565206163</v>
      </c>
      <c r="L895" s="39"/>
      <c r="M895" s="40"/>
      <c r="N895" s="40"/>
      <c r="O895" s="41"/>
    </row>
    <row r="896" spans="1:15" s="7" customFormat="1" ht="18.75">
      <c r="A896" s="56"/>
      <c r="B896" s="30"/>
      <c r="D896" s="200"/>
      <c r="E896" s="44"/>
      <c r="F896" s="53"/>
      <c r="G896" s="202"/>
      <c r="H896" s="87"/>
      <c r="I896" s="35"/>
      <c r="J896" s="37"/>
      <c r="K896" s="38"/>
      <c r="L896" s="39"/>
      <c r="M896" s="40"/>
      <c r="N896" s="40"/>
      <c r="O896" s="41"/>
    </row>
    <row r="897" spans="1:15" s="7" customFormat="1" ht="18.75">
      <c r="A897" s="81">
        <v>22</v>
      </c>
      <c r="B897" s="109" t="s">
        <v>60</v>
      </c>
      <c r="C897" s="29" t="s">
        <v>498</v>
      </c>
      <c r="D897" s="32"/>
      <c r="E897" s="44"/>
      <c r="F897" s="95"/>
      <c r="G897" s="98"/>
      <c r="H897" s="36"/>
      <c r="I897" s="35"/>
      <c r="J897" s="110"/>
      <c r="K897" s="64">
        <v>0</v>
      </c>
      <c r="L897" s="60"/>
      <c r="M897" s="41"/>
      <c r="N897" s="41"/>
      <c r="O897" s="41"/>
    </row>
    <row r="898" spans="1:15" s="7" customFormat="1" ht="18.75">
      <c r="A898" s="81"/>
      <c r="B898" s="109"/>
      <c r="C898" s="111" t="s">
        <v>250</v>
      </c>
      <c r="D898" s="103" t="s">
        <v>341</v>
      </c>
      <c r="E898" s="44"/>
      <c r="F898" s="149"/>
      <c r="G898" s="105"/>
      <c r="H898" s="36"/>
      <c r="I898" s="35"/>
      <c r="J898" s="110">
        <f t="shared" ref="J898:J920" si="49">F898-H898</f>
        <v>0</v>
      </c>
      <c r="K898" s="59">
        <f t="shared" ref="K898:K914" si="50">K897+J897</f>
        <v>0</v>
      </c>
      <c r="L898" s="60"/>
      <c r="M898" s="41"/>
      <c r="N898" s="41"/>
      <c r="O898" s="41"/>
    </row>
    <row r="899" spans="1:15" s="7" customFormat="1" ht="18.75">
      <c r="A899" s="81"/>
      <c r="B899" s="109"/>
      <c r="C899" s="111" t="s">
        <v>139</v>
      </c>
      <c r="D899" s="103" t="s">
        <v>343</v>
      </c>
      <c r="E899" s="44"/>
      <c r="F899" s="149"/>
      <c r="G899" s="105"/>
      <c r="H899" s="36"/>
      <c r="I899" s="35"/>
      <c r="J899" s="110">
        <f t="shared" si="49"/>
        <v>0</v>
      </c>
      <c r="K899" s="59">
        <f t="shared" si="50"/>
        <v>0</v>
      </c>
      <c r="L899" s="60"/>
      <c r="M899" s="41"/>
      <c r="N899" s="41"/>
      <c r="O899" s="41"/>
    </row>
    <row r="900" spans="1:15" s="7" customFormat="1" ht="18.75">
      <c r="A900" s="81"/>
      <c r="B900" s="109"/>
      <c r="C900" s="62" t="s">
        <v>142</v>
      </c>
      <c r="D900" s="103" t="s">
        <v>343</v>
      </c>
      <c r="E900" s="44"/>
      <c r="F900" s="149">
        <v>114382017.06094801</v>
      </c>
      <c r="G900" s="105"/>
      <c r="H900" s="36"/>
      <c r="I900" s="35" t="s">
        <v>143</v>
      </c>
      <c r="J900" s="110">
        <f t="shared" si="49"/>
        <v>114382017.06094801</v>
      </c>
      <c r="K900" s="59">
        <f t="shared" si="50"/>
        <v>0</v>
      </c>
      <c r="L900" s="60"/>
      <c r="M900" s="41"/>
      <c r="N900" s="41"/>
      <c r="O900" s="41"/>
    </row>
    <row r="901" spans="1:15" s="7" customFormat="1" ht="18.75">
      <c r="A901" s="81"/>
      <c r="B901" s="109"/>
      <c r="C901" s="62" t="s">
        <v>145</v>
      </c>
      <c r="D901" s="103" t="s">
        <v>345</v>
      </c>
      <c r="E901" s="44"/>
      <c r="F901" s="149">
        <v>62712822.791933998</v>
      </c>
      <c r="G901" s="105" t="s">
        <v>526</v>
      </c>
      <c r="H901" s="36">
        <v>177094839.84999999</v>
      </c>
      <c r="I901" s="35">
        <v>43591</v>
      </c>
      <c r="J901" s="110">
        <f t="shared" si="49"/>
        <v>-114382017.058066</v>
      </c>
      <c r="K901" s="59">
        <f t="shared" si="50"/>
        <v>114382017.06094801</v>
      </c>
      <c r="L901" s="60"/>
      <c r="M901" s="41"/>
      <c r="N901" s="41"/>
      <c r="O901" s="41"/>
    </row>
    <row r="902" spans="1:15" s="7" customFormat="1" ht="18.75">
      <c r="A902" s="81"/>
      <c r="B902" s="109"/>
      <c r="C902" s="62" t="s">
        <v>148</v>
      </c>
      <c r="D902" s="103" t="s">
        <v>345</v>
      </c>
      <c r="E902" s="44"/>
      <c r="F902" s="149">
        <v>97941042.578274012</v>
      </c>
      <c r="G902" s="105" t="s">
        <v>1103</v>
      </c>
      <c r="H902" s="36">
        <v>97941042.579999998</v>
      </c>
      <c r="I902" s="35" t="s">
        <v>1104</v>
      </c>
      <c r="J902" s="110">
        <f t="shared" si="49"/>
        <v>-1.7259865999221802E-3</v>
      </c>
      <c r="K902" s="59">
        <f t="shared" si="50"/>
        <v>2.8820186853408813E-3</v>
      </c>
      <c r="L902" s="60">
        <v>92694356.590000004</v>
      </c>
      <c r="M902" s="41"/>
      <c r="N902" s="41"/>
      <c r="O902" s="41"/>
    </row>
    <row r="903" spans="1:15" s="7" customFormat="1" ht="18.75">
      <c r="A903" s="81"/>
      <c r="B903" s="109"/>
      <c r="C903" s="62" t="s">
        <v>151</v>
      </c>
      <c r="D903" s="103" t="s">
        <v>347</v>
      </c>
      <c r="E903" s="44"/>
      <c r="F903" s="149">
        <v>110371902.034527</v>
      </c>
      <c r="G903" s="105" t="s">
        <v>152</v>
      </c>
      <c r="H903" s="47">
        <v>110371902.04000001</v>
      </c>
      <c r="I903" s="76" t="s">
        <v>877</v>
      </c>
      <c r="J903" s="110">
        <f t="shared" si="49"/>
        <v>-5.4730027914047241E-3</v>
      </c>
      <c r="K903" s="59">
        <f t="shared" si="50"/>
        <v>1.1560320854187012E-3</v>
      </c>
      <c r="L903" s="60"/>
      <c r="M903" s="41"/>
      <c r="N903" s="41"/>
      <c r="O903" s="41"/>
    </row>
    <row r="904" spans="1:15" s="7" customFormat="1" ht="18.75">
      <c r="A904" s="81"/>
      <c r="B904" s="109"/>
      <c r="C904" s="62" t="s">
        <v>154</v>
      </c>
      <c r="D904" s="103" t="s">
        <v>350</v>
      </c>
      <c r="E904" s="44"/>
      <c r="F904" s="149">
        <v>78202332.848524496</v>
      </c>
      <c r="G904" s="105" t="s">
        <v>156</v>
      </c>
      <c r="H904" s="47">
        <v>78202332.849999994</v>
      </c>
      <c r="I904" s="76" t="s">
        <v>1105</v>
      </c>
      <c r="J904" s="110">
        <f t="shared" si="49"/>
        <v>-1.4754980802536011E-3</v>
      </c>
      <c r="K904" s="59">
        <f t="shared" si="50"/>
        <v>-4.3169707059860229E-3</v>
      </c>
      <c r="L904" s="60"/>
      <c r="M904" s="41"/>
      <c r="N904" s="41"/>
      <c r="O904" s="41"/>
    </row>
    <row r="905" spans="1:15" s="7" customFormat="1" ht="18.75">
      <c r="A905" s="81"/>
      <c r="B905" s="109"/>
      <c r="C905" s="62" t="s">
        <v>158</v>
      </c>
      <c r="D905" s="103" t="s">
        <v>1106</v>
      </c>
      <c r="E905" s="44"/>
      <c r="F905" s="149">
        <v>92694199.088358</v>
      </c>
      <c r="G905" s="105" t="s">
        <v>160</v>
      </c>
      <c r="H905" s="47">
        <v>92694199.088358</v>
      </c>
      <c r="I905" s="76" t="s">
        <v>369</v>
      </c>
      <c r="J905" s="110">
        <f t="shared" si="49"/>
        <v>0</v>
      </c>
      <c r="K905" s="59">
        <f t="shared" si="50"/>
        <v>-5.792468786239624E-3</v>
      </c>
      <c r="L905" s="60"/>
      <c r="M905" s="41"/>
      <c r="N905" s="41"/>
      <c r="O905" s="41"/>
    </row>
    <row r="906" spans="1:15" s="7" customFormat="1" ht="18.75">
      <c r="A906" s="81"/>
      <c r="B906" s="109"/>
      <c r="C906" s="62" t="s">
        <v>162</v>
      </c>
      <c r="D906" s="103" t="s">
        <v>1107</v>
      </c>
      <c r="E906" s="44"/>
      <c r="F906" s="149">
        <v>104531513.96154602</v>
      </c>
      <c r="G906" s="105" t="s">
        <v>164</v>
      </c>
      <c r="H906" s="47">
        <v>104531513.95999999</v>
      </c>
      <c r="I906" s="76" t="s">
        <v>1009</v>
      </c>
      <c r="J906" s="110">
        <f t="shared" si="49"/>
        <v>1.546025276184082E-3</v>
      </c>
      <c r="K906" s="59">
        <f t="shared" si="50"/>
        <v>-5.792468786239624E-3</v>
      </c>
      <c r="L906" s="60"/>
      <c r="M906" s="41"/>
      <c r="N906" s="41"/>
      <c r="O906" s="41"/>
    </row>
    <row r="907" spans="1:15" s="7" customFormat="1" ht="18.75">
      <c r="A907" s="81"/>
      <c r="B907" s="109"/>
      <c r="C907" s="62" t="s">
        <v>166</v>
      </c>
      <c r="D907" s="103" t="s">
        <v>1108</v>
      </c>
      <c r="E907" s="44"/>
      <c r="F907" s="149">
        <v>80485217.230540514</v>
      </c>
      <c r="G907" s="105" t="s">
        <v>168</v>
      </c>
      <c r="H907" s="203">
        <v>80485217.230000004</v>
      </c>
      <c r="I907" s="75">
        <v>44141</v>
      </c>
      <c r="J907" s="110">
        <f t="shared" si="49"/>
        <v>5.4050981998443604E-4</v>
      </c>
      <c r="K907" s="59">
        <f t="shared" si="50"/>
        <v>-4.246443510055542E-3</v>
      </c>
      <c r="L907" s="60"/>
      <c r="M907" s="41"/>
      <c r="N907" s="41"/>
      <c r="O907" s="41"/>
    </row>
    <row r="908" spans="1:15" s="7" customFormat="1" ht="18.75">
      <c r="A908" s="81"/>
      <c r="B908" s="109"/>
      <c r="C908" s="62" t="s">
        <v>170</v>
      </c>
      <c r="D908" s="103" t="s">
        <v>1109</v>
      </c>
      <c r="E908" s="44"/>
      <c r="F908" s="149">
        <v>95579052.627859503</v>
      </c>
      <c r="G908" s="105" t="s">
        <v>172</v>
      </c>
      <c r="H908" s="47">
        <v>95579052.627859503</v>
      </c>
      <c r="I908" s="76" t="s">
        <v>165</v>
      </c>
      <c r="J908" s="110">
        <f t="shared" si="49"/>
        <v>0</v>
      </c>
      <c r="K908" s="59">
        <f t="shared" si="50"/>
        <v>-3.705933690071106E-3</v>
      </c>
      <c r="L908" s="60"/>
      <c r="M908" s="41"/>
      <c r="N908" s="41"/>
      <c r="O908" s="41"/>
    </row>
    <row r="909" spans="1:15" s="7" customFormat="1" ht="18.75">
      <c r="A909" s="81"/>
      <c r="B909" s="109"/>
      <c r="C909" s="62" t="s">
        <v>174</v>
      </c>
      <c r="D909" s="103" t="s">
        <v>1110</v>
      </c>
      <c r="E909" s="44"/>
      <c r="F909" s="149">
        <v>74685018.974632502</v>
      </c>
      <c r="G909" s="105" t="s">
        <v>176</v>
      </c>
      <c r="H909" s="47">
        <v>74685018.969999999</v>
      </c>
      <c r="I909" s="76" t="s">
        <v>728</v>
      </c>
      <c r="J909" s="110">
        <f t="shared" si="49"/>
        <v>4.6325027942657471E-3</v>
      </c>
      <c r="K909" s="59">
        <f t="shared" si="50"/>
        <v>-3.705933690071106E-3</v>
      </c>
      <c r="L909" s="60"/>
      <c r="M909" s="41"/>
      <c r="N909" s="41"/>
      <c r="O909" s="41"/>
    </row>
    <row r="910" spans="1:15" s="7" customFormat="1" ht="18.75">
      <c r="A910" s="81"/>
      <c r="B910" s="109"/>
      <c r="C910" s="62" t="s">
        <v>178</v>
      </c>
      <c r="D910" s="103" t="s">
        <v>1111</v>
      </c>
      <c r="E910" s="44"/>
      <c r="F910" s="149">
        <v>84919146.968785509</v>
      </c>
      <c r="G910" s="105" t="s">
        <v>179</v>
      </c>
      <c r="H910" s="47">
        <v>84919146.968785509</v>
      </c>
      <c r="I910" s="76" t="s">
        <v>780</v>
      </c>
      <c r="J910" s="110">
        <f t="shared" si="49"/>
        <v>0</v>
      </c>
      <c r="K910" s="59">
        <f t="shared" si="50"/>
        <v>9.2656910419464111E-4</v>
      </c>
      <c r="L910" s="60"/>
      <c r="M910" s="41"/>
      <c r="N910" s="41"/>
      <c r="O910" s="41"/>
    </row>
    <row r="911" spans="1:15" s="7" customFormat="1" ht="18.75">
      <c r="A911" s="81"/>
      <c r="B911" s="109"/>
      <c r="C911" s="62" t="s">
        <v>181</v>
      </c>
      <c r="D911" s="103" t="s">
        <v>1111</v>
      </c>
      <c r="E911" s="44"/>
      <c r="F911" s="149">
        <v>90804572.318848491</v>
      </c>
      <c r="G911" s="105" t="s">
        <v>183</v>
      </c>
      <c r="H911" s="47">
        <v>90804572.319999993</v>
      </c>
      <c r="I911" s="76" t="s">
        <v>188</v>
      </c>
      <c r="J911" s="110">
        <f t="shared" si="49"/>
        <v>-1.1515021324157715E-3</v>
      </c>
      <c r="K911" s="59">
        <f t="shared" si="50"/>
        <v>9.2656910419464111E-4</v>
      </c>
      <c r="L911" s="60"/>
      <c r="M911" s="41"/>
      <c r="N911" s="41"/>
      <c r="O911" s="41"/>
    </row>
    <row r="912" spans="1:15" s="7" customFormat="1" ht="18.75">
      <c r="A912" s="81"/>
      <c r="B912" s="109"/>
      <c r="C912" s="62" t="s">
        <v>185</v>
      </c>
      <c r="D912" s="103" t="s">
        <v>1112</v>
      </c>
      <c r="E912" s="44"/>
      <c r="F912" s="149">
        <v>75517883.264365494</v>
      </c>
      <c r="G912" s="105" t="s">
        <v>730</v>
      </c>
      <c r="H912" s="47">
        <v>75517883.264365494</v>
      </c>
      <c r="I912" s="76" t="s">
        <v>900</v>
      </c>
      <c r="J912" s="110">
        <f t="shared" si="49"/>
        <v>0</v>
      </c>
      <c r="K912" s="59">
        <f t="shared" si="50"/>
        <v>-2.2493302822113037E-4</v>
      </c>
      <c r="L912" s="60"/>
      <c r="M912" s="41"/>
      <c r="N912" s="41"/>
      <c r="O912" s="41"/>
    </row>
    <row r="913" spans="1:15" s="7" customFormat="1" ht="18.75">
      <c r="A913" s="81"/>
      <c r="B913" s="109"/>
      <c r="C913" s="62" t="s">
        <v>189</v>
      </c>
      <c r="D913" s="103" t="s">
        <v>1113</v>
      </c>
      <c r="E913" s="44"/>
      <c r="F913" s="149">
        <v>67888756.473966748</v>
      </c>
      <c r="G913" s="105" t="s">
        <v>377</v>
      </c>
      <c r="H913" s="47">
        <v>67888756.469999999</v>
      </c>
      <c r="I913" s="76" t="s">
        <v>188</v>
      </c>
      <c r="J913" s="110">
        <f t="shared" si="49"/>
        <v>3.9667487144470215E-3</v>
      </c>
      <c r="K913" s="59">
        <v>0</v>
      </c>
      <c r="L913" s="60"/>
      <c r="M913" s="41"/>
      <c r="N913" s="41"/>
      <c r="O913" s="41"/>
    </row>
    <row r="914" spans="1:15" s="7" customFormat="1" ht="18.75">
      <c r="A914" s="81"/>
      <c r="B914" s="109"/>
      <c r="C914" s="62" t="s">
        <v>191</v>
      </c>
      <c r="D914" s="103" t="s">
        <v>1114</v>
      </c>
      <c r="E914" s="44">
        <v>43986</v>
      </c>
      <c r="F914" s="149">
        <v>82385886.218459249</v>
      </c>
      <c r="G914" s="105" t="s">
        <v>193</v>
      </c>
      <c r="H914" s="47">
        <v>82385886.218459249</v>
      </c>
      <c r="I914" s="76" t="s">
        <v>900</v>
      </c>
      <c r="J914" s="110">
        <f t="shared" si="49"/>
        <v>0</v>
      </c>
      <c r="K914" s="59">
        <f t="shared" si="50"/>
        <v>3.9667487144470215E-3</v>
      </c>
      <c r="L914" s="60"/>
      <c r="M914" s="41"/>
      <c r="N914" s="41"/>
      <c r="O914" s="41"/>
    </row>
    <row r="915" spans="1:15" s="7" customFormat="1" ht="18.75">
      <c r="A915" s="81"/>
      <c r="B915" s="109"/>
      <c r="C915" s="62" t="s">
        <v>195</v>
      </c>
      <c r="D915" s="103" t="s">
        <v>1115</v>
      </c>
      <c r="E915" s="44" t="s">
        <v>197</v>
      </c>
      <c r="F915" s="149">
        <v>9649873.1628284995</v>
      </c>
      <c r="G915" s="105" t="s">
        <v>334</v>
      </c>
      <c r="H915" s="47">
        <v>9649873.1600000001</v>
      </c>
      <c r="I915" s="76" t="s">
        <v>600</v>
      </c>
      <c r="J915" s="110">
        <f t="shared" si="49"/>
        <v>2.8284993022680283E-3</v>
      </c>
      <c r="K915" s="59">
        <v>0</v>
      </c>
      <c r="L915" s="60"/>
      <c r="M915" s="41"/>
      <c r="N915" s="41"/>
      <c r="O915" s="41"/>
    </row>
    <row r="916" spans="1:15" s="7" customFormat="1" ht="18.75">
      <c r="A916" s="81"/>
      <c r="B916" s="109"/>
      <c r="C916" s="62" t="s">
        <v>199</v>
      </c>
      <c r="D916" s="103" t="s">
        <v>1116</v>
      </c>
      <c r="E916" s="44">
        <v>44049</v>
      </c>
      <c r="F916" s="149">
        <v>9102350.5513500012</v>
      </c>
      <c r="G916" s="105" t="s">
        <v>734</v>
      </c>
      <c r="H916" s="47">
        <v>9102350.5513500012</v>
      </c>
      <c r="I916" s="44">
        <v>43870</v>
      </c>
      <c r="J916" s="110">
        <f t="shared" si="49"/>
        <v>0</v>
      </c>
      <c r="K916" s="59"/>
      <c r="L916" s="60"/>
      <c r="M916" s="41"/>
      <c r="N916" s="41"/>
      <c r="O916" s="41"/>
    </row>
    <row r="917" spans="1:15" s="7" customFormat="1" ht="18.75">
      <c r="A917" s="81"/>
      <c r="B917" s="109"/>
      <c r="C917" s="62" t="s">
        <v>201</v>
      </c>
      <c r="D917" s="103" t="s">
        <v>1117</v>
      </c>
      <c r="E917" s="44">
        <v>44081</v>
      </c>
      <c r="F917" s="149">
        <v>46192274.691990003</v>
      </c>
      <c r="G917" s="105" t="s">
        <v>290</v>
      </c>
      <c r="H917" s="47">
        <v>46192274.691990003</v>
      </c>
      <c r="I917" s="44">
        <v>43870</v>
      </c>
      <c r="J917" s="110">
        <f t="shared" si="49"/>
        <v>0</v>
      </c>
      <c r="K917" s="59">
        <f t="shared" ref="K917:K922" si="51">J916+K916</f>
        <v>0</v>
      </c>
      <c r="L917" s="60"/>
      <c r="M917" s="41"/>
      <c r="N917" s="41"/>
      <c r="O917" s="41"/>
    </row>
    <row r="918" spans="1:15" s="7" customFormat="1" ht="18.75">
      <c r="A918" s="81"/>
      <c r="B918" s="109"/>
      <c r="C918" s="62" t="s">
        <v>203</v>
      </c>
      <c r="D918" s="103" t="s">
        <v>1118</v>
      </c>
      <c r="E918" s="44">
        <v>44020</v>
      </c>
      <c r="F918" s="149">
        <v>58681721.341655992</v>
      </c>
      <c r="G918" s="105" t="s">
        <v>450</v>
      </c>
      <c r="H918" s="47">
        <v>58681721.340000004</v>
      </c>
      <c r="I918" s="105">
        <v>44319</v>
      </c>
      <c r="J918" s="110">
        <f t="shared" si="49"/>
        <v>1.6559883952140808E-3</v>
      </c>
      <c r="K918" s="59">
        <f t="shared" si="51"/>
        <v>0</v>
      </c>
      <c r="L918" s="60"/>
      <c r="M918" s="41"/>
      <c r="N918" s="41"/>
      <c r="O918" s="41"/>
    </row>
    <row r="919" spans="1:15" s="7" customFormat="1" ht="18.75">
      <c r="A919" s="81"/>
      <c r="B919" s="109"/>
      <c r="C919" s="62" t="s">
        <v>207</v>
      </c>
      <c r="D919" s="103" t="s">
        <v>1119</v>
      </c>
      <c r="E919" s="44" t="s">
        <v>292</v>
      </c>
      <c r="F919" s="149">
        <v>85351012.014417738</v>
      </c>
      <c r="G919" s="105" t="s">
        <v>861</v>
      </c>
      <c r="H919" s="47">
        <v>85351012.010000005</v>
      </c>
      <c r="I919" s="44">
        <v>43932</v>
      </c>
      <c r="J919" s="110">
        <f t="shared" si="49"/>
        <v>4.4177323579788208E-3</v>
      </c>
      <c r="K919" s="59">
        <f t="shared" si="51"/>
        <v>1.6559883952140808E-3</v>
      </c>
      <c r="L919" s="60"/>
      <c r="M919" s="41"/>
      <c r="N919" s="41"/>
      <c r="O919" s="41"/>
    </row>
    <row r="920" spans="1:15" s="7" customFormat="1" ht="18.75">
      <c r="A920" s="81"/>
      <c r="B920" s="109"/>
      <c r="C920" s="62" t="s">
        <v>212</v>
      </c>
      <c r="D920" s="103" t="s">
        <v>827</v>
      </c>
      <c r="E920" s="44">
        <v>44084</v>
      </c>
      <c r="F920" s="149">
        <v>103782380.08534499</v>
      </c>
      <c r="G920" s="105" t="s">
        <v>213</v>
      </c>
      <c r="H920" s="47">
        <f>51891190.05+51891190.04</f>
        <v>103782380.09</v>
      </c>
      <c r="I920" s="105">
        <v>44319</v>
      </c>
      <c r="J920" s="110">
        <f t="shared" si="49"/>
        <v>-4.6550184488296509E-3</v>
      </c>
      <c r="K920" s="59">
        <f t="shared" si="51"/>
        <v>6.0737207531929016E-3</v>
      </c>
      <c r="L920" s="60"/>
      <c r="M920" s="41"/>
      <c r="N920" s="41"/>
      <c r="O920" s="41"/>
    </row>
    <row r="921" spans="1:15" s="7" customFormat="1" ht="18.75">
      <c r="A921" s="81"/>
      <c r="B921" s="109"/>
      <c r="C921" s="62" t="s">
        <v>214</v>
      </c>
      <c r="D921" s="103" t="s">
        <v>829</v>
      </c>
      <c r="E921" s="44">
        <v>43962</v>
      </c>
      <c r="F921" s="149">
        <v>67882651.554266497</v>
      </c>
      <c r="G921" s="105" t="s">
        <v>216</v>
      </c>
      <c r="H921" s="47">
        <v>67882651.560000002</v>
      </c>
      <c r="I921" s="76" t="s">
        <v>351</v>
      </c>
      <c r="J921" s="110">
        <f>F921-H921</f>
        <v>-5.7335048913955688E-3</v>
      </c>
      <c r="K921" s="59">
        <f t="shared" si="51"/>
        <v>1.4187023043632507E-3</v>
      </c>
      <c r="L921" s="60"/>
      <c r="M921" s="41"/>
      <c r="N921" s="41"/>
      <c r="O921" s="41"/>
    </row>
    <row r="922" spans="1:15" s="7" customFormat="1" ht="18.75">
      <c r="A922" s="81"/>
      <c r="B922" s="109"/>
      <c r="C922" s="62" t="s">
        <v>218</v>
      </c>
      <c r="D922" s="103" t="s">
        <v>830</v>
      </c>
      <c r="E922" s="44">
        <v>44024</v>
      </c>
      <c r="F922" s="149">
        <v>83444482.338540748</v>
      </c>
      <c r="G922" s="105">
        <v>44531</v>
      </c>
      <c r="H922" s="47">
        <v>83444482.340000004</v>
      </c>
      <c r="I922" s="76" t="s">
        <v>82</v>
      </c>
      <c r="J922" s="110">
        <f>F922-H922</f>
        <v>-1.4592558145523071E-3</v>
      </c>
      <c r="K922" s="59">
        <f t="shared" si="51"/>
        <v>-4.3148025870323181E-3</v>
      </c>
      <c r="L922" s="60"/>
      <c r="M922" s="41"/>
      <c r="N922" s="41"/>
      <c r="O922" s="41"/>
    </row>
    <row r="923" spans="1:15" s="7" customFormat="1" ht="18.75">
      <c r="A923" s="81"/>
      <c r="B923" s="109"/>
      <c r="C923" s="62" t="s">
        <v>219</v>
      </c>
      <c r="D923" s="103" t="s">
        <v>831</v>
      </c>
      <c r="E923" s="44">
        <v>44409</v>
      </c>
      <c r="F923" s="149">
        <v>100893929.04198025</v>
      </c>
      <c r="G923" s="105">
        <v>44379</v>
      </c>
      <c r="H923" s="47"/>
      <c r="I923" s="76"/>
      <c r="J923" s="110">
        <f>F923-H923</f>
        <v>100893929.04198025</v>
      </c>
      <c r="K923" s="59">
        <f>J922+K922</f>
        <v>-5.7740584015846252E-3</v>
      </c>
      <c r="L923" s="60"/>
      <c r="M923" s="41"/>
      <c r="N923" s="41"/>
      <c r="O923" s="41"/>
    </row>
    <row r="924" spans="1:15" s="7" customFormat="1" ht="18.75">
      <c r="A924" s="81"/>
      <c r="B924" s="109"/>
      <c r="C924" s="62" t="s">
        <v>221</v>
      </c>
      <c r="D924" s="103" t="s">
        <v>61</v>
      </c>
      <c r="E924" s="44">
        <v>44441</v>
      </c>
      <c r="F924" s="149">
        <v>96522873.333059236</v>
      </c>
      <c r="G924" s="105">
        <v>44289</v>
      </c>
      <c r="H924" s="47"/>
      <c r="I924" s="76"/>
      <c r="J924" s="110">
        <f>F924-H924</f>
        <v>96522873.333059236</v>
      </c>
      <c r="K924" s="59">
        <f>J923+K923</f>
        <v>100893929.03620619</v>
      </c>
      <c r="L924" s="60"/>
      <c r="M924" s="41"/>
      <c r="N924" s="41"/>
      <c r="O924" s="41"/>
    </row>
    <row r="925" spans="1:15" s="7" customFormat="1" ht="18.75">
      <c r="A925" s="81"/>
      <c r="B925" s="109"/>
      <c r="C925" s="62" t="s">
        <v>222</v>
      </c>
      <c r="D925" s="103" t="s">
        <v>835</v>
      </c>
      <c r="E925" s="44">
        <v>44319</v>
      </c>
      <c r="F925" s="149">
        <v>103279184.9511345</v>
      </c>
      <c r="G925" s="105">
        <v>44320</v>
      </c>
      <c r="H925" s="47"/>
      <c r="I925" s="76"/>
      <c r="J925" s="110">
        <f>F925-H925</f>
        <v>103279184.9511345</v>
      </c>
      <c r="K925" s="59">
        <f>J924+K924</f>
        <v>197416802.36926544</v>
      </c>
      <c r="L925" s="60"/>
      <c r="M925" s="41"/>
      <c r="N925" s="41"/>
      <c r="O925" s="41"/>
    </row>
    <row r="926" spans="1:15" s="7" customFormat="1" ht="18.75">
      <c r="A926" s="81"/>
      <c r="B926" s="57" t="s">
        <v>1120</v>
      </c>
      <c r="C926" s="31"/>
      <c r="D926" s="32"/>
      <c r="E926" s="44"/>
      <c r="F926" s="34"/>
      <c r="G926" s="35"/>
      <c r="H926" s="36"/>
      <c r="I926" s="35"/>
      <c r="J926" s="110"/>
      <c r="K926" s="64">
        <f>J925+K925</f>
        <v>300695987.32039994</v>
      </c>
      <c r="L926" s="60"/>
      <c r="M926" s="41"/>
      <c r="N926" s="41"/>
      <c r="O926" s="41"/>
    </row>
    <row r="927" spans="1:15" s="7" customFormat="1" ht="18.75">
      <c r="A927" s="81"/>
      <c r="B927" s="114"/>
      <c r="C927" s="31"/>
      <c r="D927" s="45"/>
      <c r="E927" s="44"/>
      <c r="F927" s="34"/>
      <c r="G927" s="35"/>
      <c r="H927" s="36"/>
      <c r="I927" s="35"/>
      <c r="J927" s="110"/>
      <c r="K927" s="59"/>
      <c r="L927" s="60"/>
      <c r="M927" s="41"/>
      <c r="N927" s="41"/>
      <c r="O927" s="41"/>
    </row>
    <row r="928" spans="1:15" s="7" customFormat="1" ht="18.75">
      <c r="A928" s="56">
        <v>23</v>
      </c>
      <c r="B928" s="46" t="s">
        <v>62</v>
      </c>
      <c r="C928" s="42" t="s">
        <v>1121</v>
      </c>
      <c r="D928" s="45" t="s">
        <v>140</v>
      </c>
      <c r="E928" s="44"/>
      <c r="F928" s="34">
        <v>955752</v>
      </c>
      <c r="G928" s="35"/>
      <c r="H928" s="36"/>
      <c r="I928" s="164"/>
      <c r="J928" s="37">
        <f>F928-H928</f>
        <v>955752</v>
      </c>
      <c r="K928" s="37"/>
      <c r="L928" s="39"/>
      <c r="M928" s="40"/>
      <c r="N928" s="40"/>
      <c r="O928" s="41"/>
    </row>
    <row r="929" spans="1:15" s="7" customFormat="1" ht="18.75">
      <c r="A929" s="158"/>
      <c r="B929" s="127"/>
      <c r="C929" s="42" t="s">
        <v>1122</v>
      </c>
      <c r="D929" s="45" t="s">
        <v>120</v>
      </c>
      <c r="E929" s="44"/>
      <c r="F929" s="34">
        <v>1433628</v>
      </c>
      <c r="G929" s="35"/>
      <c r="H929" s="36">
        <v>2389380</v>
      </c>
      <c r="I929" s="35" t="s">
        <v>1123</v>
      </c>
      <c r="J929" s="37">
        <f t="shared" ref="J929:J960" si="52">F929-H929</f>
        <v>-955752</v>
      </c>
      <c r="K929" s="37">
        <f>J928+K928</f>
        <v>955752</v>
      </c>
      <c r="L929" s="39"/>
      <c r="M929" s="40"/>
      <c r="N929" s="40"/>
      <c r="O929" s="41"/>
    </row>
    <row r="930" spans="1:15" s="7" customFormat="1" ht="18.75">
      <c r="A930" s="158"/>
      <c r="B930" s="127"/>
      <c r="C930" s="31" t="s">
        <v>226</v>
      </c>
      <c r="D930" s="45" t="s">
        <v>146</v>
      </c>
      <c r="E930" s="44"/>
      <c r="F930" s="34">
        <v>1313269.81</v>
      </c>
      <c r="G930" s="35"/>
      <c r="H930" s="36">
        <v>425644.22</v>
      </c>
      <c r="I930" s="164"/>
      <c r="J930" s="37">
        <f t="shared" si="52"/>
        <v>887625.59000000008</v>
      </c>
      <c r="K930" s="37">
        <f t="shared" ref="K930:K962" si="53">J929+K929</f>
        <v>0</v>
      </c>
      <c r="L930" s="39"/>
      <c r="M930" s="40"/>
      <c r="N930" s="40"/>
      <c r="O930" s="41"/>
    </row>
    <row r="931" spans="1:15" s="7" customFormat="1" ht="18.75">
      <c r="A931" s="56"/>
      <c r="B931" s="46"/>
      <c r="C931" s="31" t="s">
        <v>228</v>
      </c>
      <c r="D931" s="45" t="s">
        <v>80</v>
      </c>
      <c r="E931" s="44"/>
      <c r="F931" s="34">
        <v>3749790.42</v>
      </c>
      <c r="G931" s="35"/>
      <c r="H931" s="36">
        <v>3749790.42</v>
      </c>
      <c r="I931" s="164"/>
      <c r="J931" s="37">
        <f t="shared" si="52"/>
        <v>0</v>
      </c>
      <c r="K931" s="37">
        <f t="shared" si="53"/>
        <v>887625.59000000008</v>
      </c>
      <c r="L931" s="39"/>
      <c r="M931" s="40"/>
      <c r="N931" s="40"/>
      <c r="O931" s="41"/>
    </row>
    <row r="932" spans="1:15" s="7" customFormat="1" ht="18.75">
      <c r="A932" s="56"/>
      <c r="B932" s="46"/>
      <c r="C932" s="31" t="s">
        <v>231</v>
      </c>
      <c r="D932" s="45" t="s">
        <v>124</v>
      </c>
      <c r="E932" s="44"/>
      <c r="F932" s="34">
        <v>7999150.335477001</v>
      </c>
      <c r="G932" s="35"/>
      <c r="H932" s="36">
        <v>7999150.335477001</v>
      </c>
      <c r="I932" s="164"/>
      <c r="J932" s="37">
        <f t="shared" si="52"/>
        <v>0</v>
      </c>
      <c r="K932" s="37">
        <f t="shared" si="53"/>
        <v>887625.59000000008</v>
      </c>
      <c r="L932" s="39"/>
      <c r="M932" s="40"/>
      <c r="N932" s="40"/>
      <c r="O932" s="41"/>
    </row>
    <row r="933" spans="1:15" s="7" customFormat="1" ht="18.75">
      <c r="A933" s="56"/>
      <c r="B933" s="46"/>
      <c r="C933" s="31" t="s">
        <v>234</v>
      </c>
      <c r="D933" s="45" t="s">
        <v>155</v>
      </c>
      <c r="E933" s="44"/>
      <c r="F933" s="34">
        <v>8727931.1799999997</v>
      </c>
      <c r="G933" s="35"/>
      <c r="H933" s="177">
        <v>8727931.1799999997</v>
      </c>
      <c r="I933" s="164"/>
      <c r="J933" s="37">
        <f t="shared" si="52"/>
        <v>0</v>
      </c>
      <c r="K933" s="37">
        <f t="shared" si="53"/>
        <v>887625.59000000008</v>
      </c>
      <c r="L933" s="39"/>
      <c r="M933" s="40"/>
      <c r="N933" s="40"/>
      <c r="O933" s="41"/>
    </row>
    <row r="934" spans="1:15" s="7" customFormat="1" ht="18.75">
      <c r="A934" s="56"/>
      <c r="B934" s="46"/>
      <c r="C934" s="31" t="s">
        <v>236</v>
      </c>
      <c r="D934" s="45" t="s">
        <v>159</v>
      </c>
      <c r="E934" s="44"/>
      <c r="F934" s="34">
        <v>6436548.1199565008</v>
      </c>
      <c r="G934" s="35"/>
      <c r="H934" s="36">
        <v>6436548.1200000001</v>
      </c>
      <c r="I934" s="164"/>
      <c r="J934" s="37">
        <f t="shared" si="52"/>
        <v>-4.3499283492565155E-5</v>
      </c>
      <c r="K934" s="37">
        <f t="shared" si="53"/>
        <v>887625.59000000008</v>
      </c>
      <c r="L934" s="39"/>
      <c r="M934" s="40"/>
      <c r="N934" s="40"/>
      <c r="O934" s="41"/>
    </row>
    <row r="935" spans="1:15" s="7" customFormat="1" ht="18.75">
      <c r="A935" s="56"/>
      <c r="B935" s="46"/>
      <c r="C935" s="31" t="s">
        <v>238</v>
      </c>
      <c r="D935" s="45" t="s">
        <v>163</v>
      </c>
      <c r="E935" s="44"/>
      <c r="F935" s="34">
        <v>4655313.3234300008</v>
      </c>
      <c r="G935" s="35"/>
      <c r="H935" s="36">
        <v>4655313.3234300008</v>
      </c>
      <c r="I935" s="164"/>
      <c r="J935" s="37">
        <f t="shared" si="52"/>
        <v>0</v>
      </c>
      <c r="K935" s="37">
        <f t="shared" si="53"/>
        <v>887625.5899565008</v>
      </c>
      <c r="L935" s="39"/>
      <c r="M935" s="40"/>
      <c r="N935" s="40"/>
      <c r="O935" s="41"/>
    </row>
    <row r="936" spans="1:15" s="7" customFormat="1" ht="18.75">
      <c r="A936" s="56"/>
      <c r="B936" s="46"/>
      <c r="C936" s="31" t="s">
        <v>240</v>
      </c>
      <c r="D936" s="45" t="s">
        <v>167</v>
      </c>
      <c r="E936" s="44"/>
      <c r="F936" s="34">
        <v>4950735.4685879983</v>
      </c>
      <c r="G936" s="35"/>
      <c r="H936" s="36">
        <v>4950735.47</v>
      </c>
      <c r="I936" s="164"/>
      <c r="J936" s="37">
        <f t="shared" si="52"/>
        <v>-1.4120014384388924E-3</v>
      </c>
      <c r="K936" s="37">
        <f t="shared" si="53"/>
        <v>887625.5899565008</v>
      </c>
      <c r="L936" s="39"/>
      <c r="M936" s="40"/>
      <c r="N936" s="40"/>
      <c r="O936" s="41"/>
    </row>
    <row r="937" spans="1:15" s="7" customFormat="1" ht="18.75">
      <c r="A937" s="56"/>
      <c r="B937" s="46"/>
      <c r="C937" s="31" t="s">
        <v>243</v>
      </c>
      <c r="D937" s="45" t="s">
        <v>171</v>
      </c>
      <c r="E937" s="44"/>
      <c r="F937" s="34">
        <v>2313341.7655949998</v>
      </c>
      <c r="G937" s="35"/>
      <c r="H937" s="36">
        <v>2313341.7655949998</v>
      </c>
      <c r="I937" s="164"/>
      <c r="J937" s="37">
        <f t="shared" si="52"/>
        <v>0</v>
      </c>
      <c r="K937" s="37">
        <f t="shared" si="53"/>
        <v>887625.58854449936</v>
      </c>
      <c r="L937" s="39"/>
      <c r="M937" s="40"/>
      <c r="N937" s="40"/>
      <c r="O937" s="41"/>
    </row>
    <row r="938" spans="1:15" s="7" customFormat="1" ht="18.75">
      <c r="A938" s="56"/>
      <c r="B938" s="46"/>
      <c r="C938" s="31" t="s">
        <v>246</v>
      </c>
      <c r="D938" s="45" t="s">
        <v>175</v>
      </c>
      <c r="E938" s="44"/>
      <c r="F938" s="34">
        <v>6351557.3808960002</v>
      </c>
      <c r="G938" s="35"/>
      <c r="H938" s="36">
        <v>6351557.3808960002</v>
      </c>
      <c r="I938" s="164"/>
      <c r="J938" s="37">
        <f t="shared" si="52"/>
        <v>0</v>
      </c>
      <c r="K938" s="37">
        <f t="shared" si="53"/>
        <v>887625.58854449936</v>
      </c>
      <c r="L938" s="39"/>
      <c r="M938" s="40"/>
      <c r="N938" s="40"/>
      <c r="O938" s="41"/>
    </row>
    <row r="939" spans="1:15" s="7" customFormat="1" ht="18.75">
      <c r="A939" s="56"/>
      <c r="B939" s="46"/>
      <c r="C939" s="31" t="s">
        <v>248</v>
      </c>
      <c r="D939" s="45" t="s">
        <v>111</v>
      </c>
      <c r="E939" s="44"/>
      <c r="F939" s="34">
        <v>10112327.325954001</v>
      </c>
      <c r="G939" s="35"/>
      <c r="H939" s="36">
        <v>10112327.35</v>
      </c>
      <c r="I939" s="164"/>
      <c r="J939" s="37">
        <f t="shared" si="52"/>
        <v>-2.4045998230576515E-2</v>
      </c>
      <c r="K939" s="37">
        <f t="shared" si="53"/>
        <v>887625.58854449936</v>
      </c>
      <c r="L939" s="39"/>
      <c r="M939" s="40"/>
      <c r="N939" s="40"/>
      <c r="O939" s="41"/>
    </row>
    <row r="940" spans="1:15" s="7" customFormat="1" ht="18.75">
      <c r="A940" s="56"/>
      <c r="B940" s="46"/>
      <c r="C940" s="31" t="s">
        <v>250</v>
      </c>
      <c r="D940" s="45" t="s">
        <v>182</v>
      </c>
      <c r="E940" s="44"/>
      <c r="F940" s="34">
        <v>7062489.6500000004</v>
      </c>
      <c r="G940" s="35"/>
      <c r="H940" s="36">
        <v>7062647.1500000004</v>
      </c>
      <c r="I940" s="164"/>
      <c r="J940" s="37">
        <f t="shared" si="52"/>
        <v>-157.5</v>
      </c>
      <c r="K940" s="37">
        <f t="shared" si="53"/>
        <v>887625.56449850113</v>
      </c>
      <c r="L940" s="39"/>
      <c r="M940" s="40"/>
      <c r="N940" s="40"/>
      <c r="O940" s="41"/>
    </row>
    <row r="941" spans="1:15" s="7" customFormat="1" ht="18.75">
      <c r="A941" s="56"/>
      <c r="B941" s="46"/>
      <c r="C941" s="31" t="s">
        <v>139</v>
      </c>
      <c r="D941" s="45" t="s">
        <v>186</v>
      </c>
      <c r="E941" s="44"/>
      <c r="F941" s="34">
        <v>6516959.2709550001</v>
      </c>
      <c r="G941" s="35"/>
      <c r="H941" s="36">
        <v>6516959.2699999996</v>
      </c>
      <c r="I941" s="164"/>
      <c r="J941" s="37">
        <f t="shared" si="52"/>
        <v>9.5500051975250244E-4</v>
      </c>
      <c r="K941" s="37">
        <f t="shared" si="53"/>
        <v>887468.06449850113</v>
      </c>
      <c r="L941" s="39"/>
      <c r="M941" s="40"/>
      <c r="N941" s="40"/>
      <c r="O941" s="41"/>
    </row>
    <row r="942" spans="1:15" s="7" customFormat="1" ht="18.75">
      <c r="A942" s="56"/>
      <c r="B942" s="46"/>
      <c r="C942" s="31" t="s">
        <v>254</v>
      </c>
      <c r="D942" s="45" t="s">
        <v>192</v>
      </c>
      <c r="E942" s="44"/>
      <c r="F942" s="34">
        <v>5755826.4874740001</v>
      </c>
      <c r="G942" s="35" t="s">
        <v>723</v>
      </c>
      <c r="H942" s="36">
        <v>5617282.6500000004</v>
      </c>
      <c r="I942" s="164" t="s">
        <v>256</v>
      </c>
      <c r="J942" s="37">
        <f t="shared" si="52"/>
        <v>138543.83747399971</v>
      </c>
      <c r="K942" s="37">
        <f t="shared" si="53"/>
        <v>887468.06545350165</v>
      </c>
      <c r="L942" s="39"/>
      <c r="M942" s="40"/>
      <c r="N942" s="40"/>
      <c r="O942" s="41"/>
    </row>
    <row r="943" spans="1:15" s="7" customFormat="1" ht="18.75">
      <c r="A943" s="56"/>
      <c r="B943" s="46"/>
      <c r="C943" s="31" t="s">
        <v>257</v>
      </c>
      <c r="D943" s="45" t="s">
        <v>196</v>
      </c>
      <c r="E943" s="44"/>
      <c r="F943" s="34">
        <v>4492292.54</v>
      </c>
      <c r="G943" s="35" t="s">
        <v>1124</v>
      </c>
      <c r="H943" s="36">
        <v>4492292.54</v>
      </c>
      <c r="I943" s="164" t="s">
        <v>365</v>
      </c>
      <c r="J943" s="37">
        <f t="shared" si="52"/>
        <v>0</v>
      </c>
      <c r="K943" s="37">
        <f t="shared" si="53"/>
        <v>1026011.9029275014</v>
      </c>
      <c r="L943" s="39"/>
      <c r="M943" s="40"/>
      <c r="N943" s="40"/>
      <c r="O943" s="41"/>
    </row>
    <row r="944" spans="1:15" s="7" customFormat="1" ht="18.75">
      <c r="A944" s="56"/>
      <c r="B944" s="46"/>
      <c r="C944" s="31" t="s">
        <v>259</v>
      </c>
      <c r="D944" s="45" t="s">
        <v>41</v>
      </c>
      <c r="E944" s="44"/>
      <c r="F944" s="34">
        <v>4399112.8762455005</v>
      </c>
      <c r="G944" s="35" t="s">
        <v>724</v>
      </c>
      <c r="H944" s="36">
        <v>4399112.88</v>
      </c>
      <c r="I944" s="134" t="s">
        <v>261</v>
      </c>
      <c r="J944" s="37">
        <f t="shared" si="52"/>
        <v>-3.7544993683695793E-3</v>
      </c>
      <c r="K944" s="37">
        <f t="shared" si="53"/>
        <v>1026011.9029275014</v>
      </c>
      <c r="L944" s="39"/>
      <c r="M944" s="40"/>
      <c r="N944" s="40"/>
      <c r="O944" s="41"/>
    </row>
    <row r="945" spans="1:15" s="7" customFormat="1" ht="18.75">
      <c r="A945" s="56"/>
      <c r="B945" s="46"/>
      <c r="C945" s="31" t="s">
        <v>262</v>
      </c>
      <c r="D945" s="45" t="s">
        <v>359</v>
      </c>
      <c r="E945" s="44"/>
      <c r="F945" s="34">
        <v>3923471.31</v>
      </c>
      <c r="G945" s="35" t="s">
        <v>152</v>
      </c>
      <c r="H945" s="36">
        <v>3923471.31</v>
      </c>
      <c r="I945" s="89" t="s">
        <v>725</v>
      </c>
      <c r="J945" s="37">
        <f t="shared" si="52"/>
        <v>0</v>
      </c>
      <c r="K945" s="37">
        <f t="shared" si="53"/>
        <v>1026011.899173002</v>
      </c>
      <c r="L945" s="39"/>
      <c r="M945" s="40"/>
      <c r="N945" s="40"/>
      <c r="O945" s="41"/>
    </row>
    <row r="946" spans="1:15" s="7" customFormat="1" ht="18.75">
      <c r="A946" s="56"/>
      <c r="B946" s="46"/>
      <c r="C946" s="31" t="s">
        <v>264</v>
      </c>
      <c r="D946" s="45" t="s">
        <v>202</v>
      </c>
      <c r="E946" s="44"/>
      <c r="F946" s="34">
        <v>3445609.7731440002</v>
      </c>
      <c r="G946" s="35" t="s">
        <v>156</v>
      </c>
      <c r="H946" s="36">
        <v>3445609.77</v>
      </c>
      <c r="I946" s="135" t="s">
        <v>527</v>
      </c>
      <c r="J946" s="37">
        <f t="shared" si="52"/>
        <v>3.1440001912415028E-3</v>
      </c>
      <c r="K946" s="37">
        <f t="shared" si="53"/>
        <v>1026011.899173002</v>
      </c>
      <c r="L946" s="39"/>
      <c r="M946" s="40"/>
      <c r="N946" s="40"/>
      <c r="O946" s="41"/>
    </row>
    <row r="947" spans="1:15" s="7" customFormat="1" ht="18.75">
      <c r="A947" s="56"/>
      <c r="B947" s="46"/>
      <c r="C947" s="31" t="s">
        <v>266</v>
      </c>
      <c r="D947" s="45" t="s">
        <v>204</v>
      </c>
      <c r="E947" s="44"/>
      <c r="F947" s="34">
        <v>2704380.8076599999</v>
      </c>
      <c r="G947" s="35" t="s">
        <v>160</v>
      </c>
      <c r="H947" s="48">
        <v>2704380.81</v>
      </c>
      <c r="I947" s="134" t="s">
        <v>531</v>
      </c>
      <c r="J947" s="37">
        <f t="shared" si="52"/>
        <v>-2.3400001227855682E-3</v>
      </c>
      <c r="K947" s="37">
        <f t="shared" si="53"/>
        <v>1026011.9023170022</v>
      </c>
      <c r="L947" s="39"/>
      <c r="M947" s="40"/>
      <c r="N947" s="40"/>
      <c r="O947" s="41"/>
    </row>
    <row r="948" spans="1:15" s="7" customFormat="1" ht="18.75">
      <c r="A948" s="56"/>
      <c r="B948" s="46"/>
      <c r="C948" s="31" t="s">
        <v>162</v>
      </c>
      <c r="D948" s="45" t="s">
        <v>208</v>
      </c>
      <c r="E948" s="44"/>
      <c r="F948" s="34">
        <v>3054555.3353490001</v>
      </c>
      <c r="G948" s="35" t="s">
        <v>164</v>
      </c>
      <c r="H948" s="47">
        <v>3054555.34</v>
      </c>
      <c r="I948" s="35" t="s">
        <v>1125</v>
      </c>
      <c r="J948" s="37">
        <f t="shared" si="52"/>
        <v>-4.6509997919201851E-3</v>
      </c>
      <c r="K948" s="37">
        <f t="shared" si="53"/>
        <v>1026011.8999770021</v>
      </c>
      <c r="L948" s="39"/>
      <c r="M948" s="40"/>
      <c r="N948" s="40"/>
      <c r="O948" s="41"/>
    </row>
    <row r="949" spans="1:15" s="7" customFormat="1" ht="18.75">
      <c r="A949" s="56"/>
      <c r="B949" s="46"/>
      <c r="C949" s="31" t="s">
        <v>166</v>
      </c>
      <c r="D949" s="45" t="s">
        <v>52</v>
      </c>
      <c r="E949" s="44"/>
      <c r="F949" s="34">
        <v>3646178.9596890002</v>
      </c>
      <c r="G949" s="35" t="s">
        <v>168</v>
      </c>
      <c r="H949" s="47">
        <f>2000000+1646178.96</f>
        <v>3646178.96</v>
      </c>
      <c r="I949" s="35" t="s">
        <v>581</v>
      </c>
      <c r="J949" s="37">
        <f t="shared" si="52"/>
        <v>-3.1099980697035789E-4</v>
      </c>
      <c r="K949" s="37">
        <f t="shared" si="53"/>
        <v>1026011.8953260023</v>
      </c>
      <c r="L949" s="39"/>
      <c r="M949" s="40"/>
      <c r="N949" s="40"/>
      <c r="O949" s="41"/>
    </row>
    <row r="950" spans="1:15" s="7" customFormat="1" ht="18.75">
      <c r="A950" s="56"/>
      <c r="B950" s="46"/>
      <c r="C950" s="31" t="s">
        <v>170</v>
      </c>
      <c r="D950" s="45" t="s">
        <v>215</v>
      </c>
      <c r="E950" s="44"/>
      <c r="F950" s="34">
        <v>2933153.2868714994</v>
      </c>
      <c r="G950" s="35" t="s">
        <v>172</v>
      </c>
      <c r="H950" s="47">
        <v>2933153.29</v>
      </c>
      <c r="I950" s="35" t="s">
        <v>1126</v>
      </c>
      <c r="J950" s="37">
        <f t="shared" si="52"/>
        <v>-3.1285006552934647E-3</v>
      </c>
      <c r="K950" s="37">
        <f t="shared" si="53"/>
        <v>1026011.8950150025</v>
      </c>
      <c r="L950" s="39"/>
      <c r="M950" s="40"/>
      <c r="N950" s="40"/>
      <c r="O950" s="41"/>
    </row>
    <row r="951" spans="1:15" s="7" customFormat="1" ht="18.75">
      <c r="A951" s="56"/>
      <c r="B951" s="46"/>
      <c r="C951" s="31" t="s">
        <v>174</v>
      </c>
      <c r="D951" s="45" t="s">
        <v>65</v>
      </c>
      <c r="E951" s="44"/>
      <c r="F951" s="34">
        <v>2519435.5043130005</v>
      </c>
      <c r="G951" s="35" t="s">
        <v>176</v>
      </c>
      <c r="H951" s="47">
        <v>2519435.5099999998</v>
      </c>
      <c r="I951" s="35" t="s">
        <v>276</v>
      </c>
      <c r="J951" s="37">
        <f t="shared" si="52"/>
        <v>-5.6869992986321449E-3</v>
      </c>
      <c r="K951" s="37">
        <f t="shared" si="53"/>
        <v>1026011.8918865018</v>
      </c>
      <c r="L951" s="39"/>
      <c r="M951" s="40"/>
      <c r="N951" s="40"/>
      <c r="O951" s="41"/>
    </row>
    <row r="952" spans="1:15" s="7" customFormat="1" ht="18.75">
      <c r="A952" s="56"/>
      <c r="B952" s="46"/>
      <c r="C952" s="31" t="s">
        <v>178</v>
      </c>
      <c r="D952" s="45" t="s">
        <v>71</v>
      </c>
      <c r="E952" s="44"/>
      <c r="F952" s="34">
        <v>3653980.5963464999</v>
      </c>
      <c r="G952" s="35" t="s">
        <v>179</v>
      </c>
      <c r="H952" s="47">
        <v>500000</v>
      </c>
      <c r="I952" s="35" t="s">
        <v>1127</v>
      </c>
      <c r="J952" s="37">
        <f t="shared" si="52"/>
        <v>3153980.5963464999</v>
      </c>
      <c r="K952" s="37">
        <f t="shared" si="53"/>
        <v>1026011.8861995025</v>
      </c>
      <c r="L952" s="39"/>
      <c r="M952" s="40"/>
      <c r="N952" s="40"/>
      <c r="O952" s="41"/>
    </row>
    <row r="953" spans="1:15" s="7" customFormat="1" ht="18.75">
      <c r="A953" s="56"/>
      <c r="B953" s="46"/>
      <c r="C953" s="31" t="s">
        <v>181</v>
      </c>
      <c r="D953" s="45" t="s">
        <v>26</v>
      </c>
      <c r="E953" s="44"/>
      <c r="F953" s="34">
        <v>2476033.1029350003</v>
      </c>
      <c r="G953" s="35" t="s">
        <v>183</v>
      </c>
      <c r="H953" s="47">
        <v>500000</v>
      </c>
      <c r="I953" s="35" t="s">
        <v>546</v>
      </c>
      <c r="J953" s="37">
        <f t="shared" si="52"/>
        <v>1976033.1029350003</v>
      </c>
      <c r="K953" s="37">
        <f t="shared" si="53"/>
        <v>4179992.4825460026</v>
      </c>
      <c r="L953" s="39"/>
      <c r="M953" s="40"/>
      <c r="N953" s="40"/>
      <c r="O953" s="41"/>
    </row>
    <row r="954" spans="1:15" s="7" customFormat="1" ht="18.75">
      <c r="A954" s="56"/>
      <c r="B954" s="46"/>
      <c r="C954" s="31" t="s">
        <v>185</v>
      </c>
      <c r="D954" s="45" t="s">
        <v>223</v>
      </c>
      <c r="E954" s="44"/>
      <c r="F954" s="34">
        <v>3436637.0874779997</v>
      </c>
      <c r="G954" s="35" t="s">
        <v>187</v>
      </c>
      <c r="H954" s="47">
        <v>500000</v>
      </c>
      <c r="I954" s="35" t="s">
        <v>293</v>
      </c>
      <c r="J954" s="37">
        <f t="shared" si="52"/>
        <v>2936637.0874779997</v>
      </c>
      <c r="K954" s="37">
        <f t="shared" si="53"/>
        <v>6156025.5854810029</v>
      </c>
      <c r="L954" s="39"/>
      <c r="M954" s="40"/>
      <c r="N954" s="40"/>
      <c r="O954" s="41"/>
    </row>
    <row r="955" spans="1:15" s="7" customFormat="1" ht="18.75">
      <c r="A955" s="56"/>
      <c r="B955" s="46"/>
      <c r="C955" s="31" t="s">
        <v>189</v>
      </c>
      <c r="D955" s="45" t="s">
        <v>367</v>
      </c>
      <c r="E955" s="44"/>
      <c r="F955" s="34">
        <v>2405350.8615255002</v>
      </c>
      <c r="G955" s="35" t="s">
        <v>377</v>
      </c>
      <c r="H955" s="47"/>
      <c r="I955" s="35"/>
      <c r="J955" s="37">
        <f t="shared" si="52"/>
        <v>2405350.8615255002</v>
      </c>
      <c r="K955" s="37">
        <f t="shared" si="53"/>
        <v>9092662.6729590036</v>
      </c>
      <c r="L955" s="39"/>
      <c r="M955" s="40"/>
      <c r="N955" s="40"/>
      <c r="O955" s="41"/>
    </row>
    <row r="956" spans="1:15" s="7" customFormat="1" ht="18.75">
      <c r="A956" s="56"/>
      <c r="B956" s="46"/>
      <c r="C956" s="31" t="s">
        <v>191</v>
      </c>
      <c r="D956" s="45" t="s">
        <v>368</v>
      </c>
      <c r="E956" s="44">
        <v>43986</v>
      </c>
      <c r="F956" s="34">
        <v>591784.03938149998</v>
      </c>
      <c r="G956" s="35" t="s">
        <v>193</v>
      </c>
      <c r="H956" s="47"/>
      <c r="I956" s="35"/>
      <c r="J956" s="37">
        <f t="shared" si="52"/>
        <v>591784.03938149998</v>
      </c>
      <c r="K956" s="37">
        <f t="shared" si="53"/>
        <v>11498013.534484504</v>
      </c>
      <c r="L956" s="39"/>
      <c r="M956" s="40"/>
      <c r="N956" s="40"/>
      <c r="O956" s="41"/>
    </row>
    <row r="957" spans="1:15" s="7" customFormat="1" ht="18.75">
      <c r="A957" s="56"/>
      <c r="B957" s="46"/>
      <c r="C957" s="31" t="s">
        <v>199</v>
      </c>
      <c r="D957" s="45" t="s">
        <v>370</v>
      </c>
      <c r="E957" s="44">
        <v>44049</v>
      </c>
      <c r="F957" s="34">
        <v>1195224.0263418001</v>
      </c>
      <c r="G957" s="35">
        <v>43897</v>
      </c>
      <c r="H957" s="47"/>
      <c r="I957" s="35"/>
      <c r="J957" s="37">
        <f t="shared" si="52"/>
        <v>1195224.0263418001</v>
      </c>
      <c r="K957" s="37">
        <f t="shared" si="53"/>
        <v>12089797.573866004</v>
      </c>
      <c r="L957" s="39"/>
      <c r="M957" s="40"/>
      <c r="N957" s="40"/>
      <c r="O957" s="41"/>
    </row>
    <row r="958" spans="1:15" s="7" customFormat="1" ht="18.75">
      <c r="A958" s="56"/>
      <c r="B958" s="46"/>
      <c r="C958" s="31" t="s">
        <v>201</v>
      </c>
      <c r="D958" s="45" t="s">
        <v>371</v>
      </c>
      <c r="E958" s="44">
        <v>44081</v>
      </c>
      <c r="F958" s="34">
        <v>1150572.1605</v>
      </c>
      <c r="G958" s="35" t="s">
        <v>290</v>
      </c>
      <c r="H958" s="47"/>
      <c r="I958" s="35"/>
      <c r="J958" s="37">
        <f t="shared" si="52"/>
        <v>1150572.1605</v>
      </c>
      <c r="K958" s="37">
        <f t="shared" si="53"/>
        <v>13285021.600207804</v>
      </c>
      <c r="L958" s="39"/>
      <c r="M958" s="40"/>
      <c r="N958" s="40"/>
      <c r="O958" s="41"/>
    </row>
    <row r="959" spans="1:15" s="7" customFormat="1" ht="18.75">
      <c r="A959" s="56"/>
      <c r="B959" s="46"/>
      <c r="C959" s="31" t="s">
        <v>207</v>
      </c>
      <c r="D959" s="45" t="s">
        <v>372</v>
      </c>
      <c r="E959" s="44" t="s">
        <v>209</v>
      </c>
      <c r="F959" s="34">
        <v>1192637.2263999998</v>
      </c>
      <c r="G959" s="35" t="s">
        <v>210</v>
      </c>
      <c r="H959" s="47"/>
      <c r="I959" s="35"/>
      <c r="J959" s="37">
        <f t="shared" si="52"/>
        <v>1192637.2263999998</v>
      </c>
      <c r="K959" s="37">
        <f t="shared" si="53"/>
        <v>14435593.760707803</v>
      </c>
      <c r="L959" s="39"/>
      <c r="M959" s="40"/>
      <c r="N959" s="40"/>
      <c r="O959" s="41"/>
    </row>
    <row r="960" spans="1:15" s="7" customFormat="1" ht="18.75">
      <c r="A960" s="56"/>
      <c r="B960" s="46"/>
      <c r="C960" s="31" t="s">
        <v>212</v>
      </c>
      <c r="D960" s="45" t="s">
        <v>373</v>
      </c>
      <c r="E960" s="44">
        <v>44084</v>
      </c>
      <c r="F960" s="34">
        <v>943940.52518024994</v>
      </c>
      <c r="G960" s="35" t="s">
        <v>213</v>
      </c>
      <c r="H960" s="47"/>
      <c r="I960" s="35"/>
      <c r="J960" s="37">
        <f t="shared" si="52"/>
        <v>943940.52518024994</v>
      </c>
      <c r="K960" s="37">
        <f t="shared" si="53"/>
        <v>15628230.987107802</v>
      </c>
      <c r="L960" s="39"/>
      <c r="M960" s="40"/>
      <c r="N960" s="40"/>
      <c r="O960" s="41"/>
    </row>
    <row r="961" spans="1:15" s="7" customFormat="1" ht="18.75">
      <c r="A961" s="56"/>
      <c r="B961" s="46"/>
      <c r="C961" s="31" t="s">
        <v>214</v>
      </c>
      <c r="D961" s="45" t="s">
        <v>92</v>
      </c>
      <c r="E961" s="44">
        <v>43962</v>
      </c>
      <c r="F961" s="34">
        <v>247852.94663424997</v>
      </c>
      <c r="G961" s="35" t="s">
        <v>216</v>
      </c>
      <c r="H961" s="47"/>
      <c r="I961" s="35"/>
      <c r="J961" s="37">
        <f>F961-H961</f>
        <v>247852.94663424997</v>
      </c>
      <c r="K961" s="37">
        <f t="shared" si="53"/>
        <v>16572171.512288053</v>
      </c>
      <c r="L961" s="39"/>
      <c r="M961" s="40"/>
      <c r="N961" s="40"/>
      <c r="O961" s="41"/>
    </row>
    <row r="962" spans="1:15" s="7" customFormat="1" ht="18.75">
      <c r="A962" s="56"/>
      <c r="B962" s="46"/>
      <c r="C962" s="31" t="s">
        <v>218</v>
      </c>
      <c r="D962" s="45" t="s">
        <v>63</v>
      </c>
      <c r="E962" s="44">
        <v>44024</v>
      </c>
      <c r="F962" s="34">
        <v>12387.6960865</v>
      </c>
      <c r="G962" s="35">
        <v>44531</v>
      </c>
      <c r="H962" s="47"/>
      <c r="I962" s="35"/>
      <c r="J962" s="37">
        <f>F962-H962</f>
        <v>12387.6960865</v>
      </c>
      <c r="K962" s="37">
        <f t="shared" si="53"/>
        <v>16820024.458922304</v>
      </c>
      <c r="L962" s="39"/>
      <c r="M962" s="40"/>
      <c r="N962" s="40"/>
      <c r="O962" s="41"/>
    </row>
    <row r="963" spans="1:15" s="7" customFormat="1" ht="18.75">
      <c r="A963" s="56"/>
      <c r="B963" s="46"/>
      <c r="C963" s="31"/>
      <c r="D963" s="45"/>
      <c r="E963" s="44"/>
      <c r="F963" s="34"/>
      <c r="G963" s="35"/>
      <c r="H963" s="47"/>
      <c r="I963" s="35"/>
      <c r="J963" s="37"/>
      <c r="K963" s="37"/>
      <c r="L963" s="39"/>
      <c r="M963" s="40"/>
      <c r="N963" s="40"/>
      <c r="O963" s="41"/>
    </row>
    <row r="964" spans="1:15" s="7" customFormat="1" ht="18.75">
      <c r="A964" s="56"/>
      <c r="B964" s="46" t="s">
        <v>1128</v>
      </c>
      <c r="C964" s="31"/>
      <c r="D964" s="45"/>
      <c r="E964" s="44"/>
      <c r="F964" s="34"/>
      <c r="G964" s="35"/>
      <c r="H964" s="36"/>
      <c r="I964" s="35"/>
      <c r="J964" s="37"/>
      <c r="K964" s="38">
        <f>J962+K962</f>
        <v>16832412.155008804</v>
      </c>
      <c r="L964" s="39"/>
      <c r="M964" s="40"/>
      <c r="N964" s="40"/>
      <c r="O964" s="41"/>
    </row>
    <row r="965" spans="1:15" s="7" customFormat="1" ht="18.75">
      <c r="A965" s="56"/>
      <c r="B965" s="46"/>
      <c r="C965" s="31"/>
      <c r="D965" s="45"/>
      <c r="E965" s="44"/>
      <c r="F965" s="34"/>
      <c r="G965" s="35"/>
      <c r="H965" s="36"/>
      <c r="I965" s="35"/>
      <c r="J965" s="37"/>
      <c r="K965" s="38"/>
      <c r="L965" s="39"/>
      <c r="M965" s="40"/>
      <c r="N965" s="40"/>
      <c r="O965" s="41"/>
    </row>
    <row r="966" spans="1:15" s="7" customFormat="1" ht="18.75">
      <c r="A966" s="56">
        <v>24</v>
      </c>
      <c r="B966" s="57" t="s">
        <v>1129</v>
      </c>
      <c r="C966" s="41" t="s">
        <v>409</v>
      </c>
      <c r="D966" s="32" t="s">
        <v>111</v>
      </c>
      <c r="E966" s="44"/>
      <c r="F966" s="34">
        <f>11012806.18-7520769.95</f>
        <v>3492036.2299999995</v>
      </c>
      <c r="G966" s="76" t="s">
        <v>1130</v>
      </c>
      <c r="H966" s="47">
        <v>3492036.2299999995</v>
      </c>
      <c r="I966" s="35" t="s">
        <v>1131</v>
      </c>
      <c r="J966" s="37">
        <f>F966-H966</f>
        <v>0</v>
      </c>
      <c r="K966" s="110">
        <v>0</v>
      </c>
      <c r="L966" s="60" t="s">
        <v>1132</v>
      </c>
      <c r="M966" s="41"/>
      <c r="N966" s="41"/>
      <c r="O966" s="41"/>
    </row>
    <row r="967" spans="1:15" s="7" customFormat="1" ht="18.75">
      <c r="A967" s="56"/>
      <c r="B967" s="57"/>
      <c r="C967" s="41" t="s">
        <v>411</v>
      </c>
      <c r="D967" s="32" t="s">
        <v>182</v>
      </c>
      <c r="E967" s="44"/>
      <c r="F967" s="34">
        <v>19250003.260000002</v>
      </c>
      <c r="G967" s="76" t="s">
        <v>1133</v>
      </c>
      <c r="H967" s="47">
        <v>19250003.260000002</v>
      </c>
      <c r="I967" s="35" t="s">
        <v>1131</v>
      </c>
      <c r="J967" s="37">
        <f>F967-H967</f>
        <v>0</v>
      </c>
      <c r="K967" s="110">
        <f>K966+J966</f>
        <v>0</v>
      </c>
      <c r="L967" s="60"/>
      <c r="M967" s="41"/>
      <c r="N967" s="41"/>
      <c r="O967" s="41"/>
    </row>
    <row r="968" spans="1:15" s="7" customFormat="1" ht="18.75">
      <c r="A968" s="56"/>
      <c r="B968" s="57"/>
      <c r="C968" s="41" t="s">
        <v>414</v>
      </c>
      <c r="D968" s="32" t="s">
        <v>186</v>
      </c>
      <c r="E968" s="44"/>
      <c r="F968" s="34">
        <v>19639886.129999999</v>
      </c>
      <c r="G968" s="76" t="s">
        <v>1134</v>
      </c>
      <c r="H968" s="47">
        <v>19639886.129999999</v>
      </c>
      <c r="I968" s="35" t="s">
        <v>1131</v>
      </c>
      <c r="J968" s="37">
        <f>F968-H968</f>
        <v>0</v>
      </c>
      <c r="K968" s="110">
        <f>K967+J967</f>
        <v>0</v>
      </c>
      <c r="L968" s="60"/>
      <c r="M968" s="41"/>
      <c r="N968" s="41"/>
      <c r="O968" s="41"/>
    </row>
    <row r="969" spans="1:15" s="7" customFormat="1" ht="18.75">
      <c r="A969" s="56"/>
      <c r="B969" s="57"/>
      <c r="C969" s="41" t="s">
        <v>1135</v>
      </c>
      <c r="D969" s="32"/>
      <c r="E969" s="44"/>
      <c r="F969" s="34">
        <v>15054138.470000001</v>
      </c>
      <c r="G969" s="76"/>
      <c r="H969" s="47">
        <v>15054138.470000001</v>
      </c>
      <c r="I969" s="35"/>
      <c r="J969" s="37">
        <f t="shared" ref="J969:J999" si="54">F969-H969</f>
        <v>0</v>
      </c>
      <c r="K969" s="110">
        <f t="shared" ref="K969:K987" si="55">K968+J968</f>
        <v>0</v>
      </c>
      <c r="L969" s="60"/>
      <c r="M969" s="41"/>
      <c r="N969" s="41"/>
      <c r="O969" s="41"/>
    </row>
    <row r="970" spans="1:15" s="7" customFormat="1" ht="18.75">
      <c r="A970" s="56"/>
      <c r="B970" s="57"/>
      <c r="C970" s="41" t="s">
        <v>1136</v>
      </c>
      <c r="D970" s="32"/>
      <c r="E970" s="44"/>
      <c r="F970" s="34">
        <v>15729728.460000001</v>
      </c>
      <c r="G970" s="76"/>
      <c r="H970" s="47">
        <v>15729728.460000001</v>
      </c>
      <c r="I970" s="35"/>
      <c r="J970" s="37">
        <f t="shared" si="54"/>
        <v>0</v>
      </c>
      <c r="K970" s="110">
        <f t="shared" si="55"/>
        <v>0</v>
      </c>
      <c r="L970" s="60"/>
      <c r="M970" s="41"/>
      <c r="N970" s="41"/>
      <c r="O970" s="41"/>
    </row>
    <row r="971" spans="1:15" s="7" customFormat="1" ht="18.75">
      <c r="A971" s="56"/>
      <c r="B971" s="57"/>
      <c r="C971" s="111" t="s">
        <v>250</v>
      </c>
      <c r="D971" s="103" t="s">
        <v>381</v>
      </c>
      <c r="E971" s="44"/>
      <c r="F971" s="149">
        <v>17039868.129999999</v>
      </c>
      <c r="G971" s="105" t="s">
        <v>1137</v>
      </c>
      <c r="H971" s="47">
        <v>17039868.129999999</v>
      </c>
      <c r="I971" s="35"/>
      <c r="J971" s="37">
        <f t="shared" si="54"/>
        <v>0</v>
      </c>
      <c r="K971" s="110">
        <f t="shared" si="55"/>
        <v>0</v>
      </c>
      <c r="L971" s="60">
        <v>9154267.2100000009</v>
      </c>
      <c r="M971" s="41"/>
      <c r="N971" s="41"/>
      <c r="O971" s="41"/>
    </row>
    <row r="972" spans="1:15" s="7" customFormat="1" ht="18.75">
      <c r="A972" s="56"/>
      <c r="B972" s="57"/>
      <c r="C972" s="111" t="s">
        <v>139</v>
      </c>
      <c r="D972" s="103" t="s">
        <v>383</v>
      </c>
      <c r="E972" s="44"/>
      <c r="F972" s="149">
        <v>15729967.380000001</v>
      </c>
      <c r="G972" s="105" t="s">
        <v>519</v>
      </c>
      <c r="H972" s="47">
        <v>15729967.380000001</v>
      </c>
      <c r="I972" s="35"/>
      <c r="J972" s="37">
        <f t="shared" si="54"/>
        <v>0</v>
      </c>
      <c r="K972" s="110">
        <f t="shared" si="55"/>
        <v>0</v>
      </c>
      <c r="L972" s="60"/>
      <c r="M972" s="41"/>
      <c r="N972" s="41"/>
      <c r="O972" s="41"/>
    </row>
    <row r="973" spans="1:15" s="7" customFormat="1" ht="18.75">
      <c r="A973" s="56"/>
      <c r="B973" s="57"/>
      <c r="C973" s="62" t="s">
        <v>142</v>
      </c>
      <c r="D973" s="103" t="s">
        <v>384</v>
      </c>
      <c r="E973" s="44"/>
      <c r="F973" s="149">
        <v>25576906.729499999</v>
      </c>
      <c r="G973" s="105" t="s">
        <v>1138</v>
      </c>
      <c r="H973" s="47">
        <f>24773768.16+25576906.72</f>
        <v>50350674.879999995</v>
      </c>
      <c r="I973" s="35" t="s">
        <v>143</v>
      </c>
      <c r="J973" s="37">
        <f t="shared" si="54"/>
        <v>-24773768.150499996</v>
      </c>
      <c r="K973" s="110">
        <f t="shared" si="55"/>
        <v>0</v>
      </c>
      <c r="L973" s="60"/>
      <c r="M973" s="41"/>
      <c r="N973" s="41"/>
      <c r="O973" s="41"/>
    </row>
    <row r="974" spans="1:15" s="7" customFormat="1" ht="18.75">
      <c r="A974" s="56"/>
      <c r="B974" s="57"/>
      <c r="C974" s="62" t="s">
        <v>145</v>
      </c>
      <c r="D974" s="103" t="s">
        <v>385</v>
      </c>
      <c r="E974" s="44"/>
      <c r="F974" s="149">
        <v>24773768.151299998</v>
      </c>
      <c r="G974" s="105" t="s">
        <v>1138</v>
      </c>
      <c r="H974" s="36">
        <v>0</v>
      </c>
      <c r="I974" s="35"/>
      <c r="J974" s="37">
        <f t="shared" si="54"/>
        <v>24773768.151299998</v>
      </c>
      <c r="K974" s="110">
        <f t="shared" si="55"/>
        <v>-24773768.150499996</v>
      </c>
      <c r="L974" s="60"/>
      <c r="M974" s="41"/>
      <c r="N974" s="41"/>
      <c r="O974" s="41"/>
    </row>
    <row r="975" spans="1:15" s="7" customFormat="1" ht="18.75">
      <c r="A975" s="56"/>
      <c r="B975" s="57"/>
      <c r="C975" s="62" t="s">
        <v>148</v>
      </c>
      <c r="D975" s="103" t="s">
        <v>386</v>
      </c>
      <c r="E975" s="44"/>
      <c r="F975" s="149">
        <v>26009268.558000002</v>
      </c>
      <c r="G975" s="105" t="s">
        <v>769</v>
      </c>
      <c r="H975" s="36">
        <v>26009268.558000002</v>
      </c>
      <c r="I975" s="35" t="s">
        <v>312</v>
      </c>
      <c r="J975" s="37">
        <f t="shared" si="54"/>
        <v>0</v>
      </c>
      <c r="K975" s="110">
        <f t="shared" si="55"/>
        <v>8.0000236630439758E-4</v>
      </c>
      <c r="L975" s="60"/>
      <c r="M975" s="41"/>
      <c r="N975" s="41"/>
      <c r="O975" s="41"/>
    </row>
    <row r="976" spans="1:15" s="7" customFormat="1" ht="18.75">
      <c r="A976" s="56"/>
      <c r="B976" s="57"/>
      <c r="C976" s="62" t="s">
        <v>151</v>
      </c>
      <c r="D976" s="103" t="s">
        <v>388</v>
      </c>
      <c r="E976" s="44"/>
      <c r="F976" s="149">
        <v>17557764.351750001</v>
      </c>
      <c r="G976" s="105" t="s">
        <v>152</v>
      </c>
      <c r="H976" s="36">
        <v>17557764.351750001</v>
      </c>
      <c r="I976" s="143" t="s">
        <v>979</v>
      </c>
      <c r="J976" s="37">
        <f t="shared" si="54"/>
        <v>0</v>
      </c>
      <c r="K976" s="110">
        <f t="shared" si="55"/>
        <v>8.0000236630439758E-4</v>
      </c>
      <c r="L976" s="60"/>
      <c r="M976" s="41"/>
      <c r="N976" s="41"/>
      <c r="O976" s="41"/>
    </row>
    <row r="977" spans="1:15" s="7" customFormat="1" ht="18.75">
      <c r="A977" s="56"/>
      <c r="B977" s="57"/>
      <c r="C977" s="62" t="s">
        <v>154</v>
      </c>
      <c r="D977" s="103" t="s">
        <v>39</v>
      </c>
      <c r="E977" s="44"/>
      <c r="F977" s="149">
        <v>16207534.44555</v>
      </c>
      <c r="G977" s="105" t="s">
        <v>156</v>
      </c>
      <c r="H977" s="36">
        <v>16207534.44555</v>
      </c>
      <c r="I977" s="43" t="s">
        <v>995</v>
      </c>
      <c r="J977" s="37">
        <f t="shared" si="54"/>
        <v>0</v>
      </c>
      <c r="K977" s="110">
        <f t="shared" si="55"/>
        <v>8.0000236630439758E-4</v>
      </c>
      <c r="L977" s="60"/>
      <c r="M977" s="41"/>
      <c r="N977" s="41"/>
      <c r="O977" s="41"/>
    </row>
    <row r="978" spans="1:15" s="7" customFormat="1" ht="18.75">
      <c r="A978" s="56"/>
      <c r="B978" s="57"/>
      <c r="C978" s="62" t="s">
        <v>158</v>
      </c>
      <c r="D978" s="103" t="s">
        <v>390</v>
      </c>
      <c r="E978" s="44"/>
      <c r="F978" s="149">
        <v>9154267.2028500009</v>
      </c>
      <c r="G978" s="105" t="s">
        <v>160</v>
      </c>
      <c r="H978" s="36">
        <v>9154267.2028500009</v>
      </c>
      <c r="I978" s="43" t="s">
        <v>1139</v>
      </c>
      <c r="J978" s="37">
        <f t="shared" si="54"/>
        <v>0</v>
      </c>
      <c r="K978" s="110">
        <f t="shared" si="55"/>
        <v>8.0000236630439758E-4</v>
      </c>
      <c r="L978" s="60"/>
      <c r="M978" s="41"/>
      <c r="N978" s="41"/>
      <c r="O978" s="41"/>
    </row>
    <row r="979" spans="1:15" s="7" customFormat="1" ht="18.75">
      <c r="A979" s="56"/>
      <c r="B979" s="57"/>
      <c r="C979" s="62" t="s">
        <v>162</v>
      </c>
      <c r="D979" s="103" t="s">
        <v>392</v>
      </c>
      <c r="E979" s="44"/>
      <c r="F979" s="149">
        <v>23865704.030700002</v>
      </c>
      <c r="G979" s="105" t="s">
        <v>164</v>
      </c>
      <c r="H979" s="36">
        <v>34069967.189999998</v>
      </c>
      <c r="I979" s="43" t="s">
        <v>581</v>
      </c>
      <c r="J979" s="37">
        <f t="shared" si="54"/>
        <v>-10204263.159299996</v>
      </c>
      <c r="K979" s="110">
        <f t="shared" si="55"/>
        <v>8.0000236630439758E-4</v>
      </c>
      <c r="L979" s="60"/>
      <c r="M979" s="41"/>
      <c r="N979" s="41"/>
      <c r="O979" s="41"/>
    </row>
    <row r="980" spans="1:15" s="7" customFormat="1" ht="18.75">
      <c r="A980" s="56"/>
      <c r="B980" s="57"/>
      <c r="C980" s="62" t="s">
        <v>166</v>
      </c>
      <c r="D980" s="103" t="s">
        <v>393</v>
      </c>
      <c r="E980" s="44"/>
      <c r="F980" s="149">
        <v>34069967.193150006</v>
      </c>
      <c r="G980" s="105" t="s">
        <v>168</v>
      </c>
      <c r="H980" s="36">
        <v>23865704.030000001</v>
      </c>
      <c r="I980" s="43" t="s">
        <v>272</v>
      </c>
      <c r="J980" s="37">
        <f t="shared" si="54"/>
        <v>10204263.163150005</v>
      </c>
      <c r="K980" s="110">
        <f t="shared" si="55"/>
        <v>-10204263.158499993</v>
      </c>
      <c r="L980" s="60"/>
      <c r="M980" s="41"/>
      <c r="N980" s="41"/>
      <c r="O980" s="41"/>
    </row>
    <row r="981" spans="1:15" s="7" customFormat="1" ht="18.75">
      <c r="A981" s="56"/>
      <c r="B981" s="57"/>
      <c r="C981" s="62" t="s">
        <v>170</v>
      </c>
      <c r="D981" s="103" t="s">
        <v>528</v>
      </c>
      <c r="E981" s="44"/>
      <c r="F981" s="149">
        <v>32992410.30855</v>
      </c>
      <c r="G981" s="105" t="s">
        <v>172</v>
      </c>
      <c r="H981" s="36">
        <v>32992410.30855</v>
      </c>
      <c r="I981" s="43" t="s">
        <v>165</v>
      </c>
      <c r="J981" s="37">
        <f t="shared" si="54"/>
        <v>0</v>
      </c>
      <c r="K981" s="110">
        <f t="shared" si="55"/>
        <v>4.6500116586685181E-3</v>
      </c>
      <c r="L981" s="60"/>
      <c r="M981" s="41"/>
      <c r="N981" s="41"/>
      <c r="O981" s="41"/>
    </row>
    <row r="982" spans="1:15" s="7" customFormat="1" ht="18.75">
      <c r="A982" s="56"/>
      <c r="B982" s="57"/>
      <c r="C982" s="62" t="s">
        <v>174</v>
      </c>
      <c r="D982" s="103" t="s">
        <v>35</v>
      </c>
      <c r="E982" s="44"/>
      <c r="F982" s="149">
        <v>32970059.904600002</v>
      </c>
      <c r="G982" s="105" t="s">
        <v>176</v>
      </c>
      <c r="H982" s="36">
        <v>32970059.904600002</v>
      </c>
      <c r="I982" s="43" t="s">
        <v>1126</v>
      </c>
      <c r="J982" s="37">
        <f t="shared" si="54"/>
        <v>0</v>
      </c>
      <c r="K982" s="110">
        <f t="shared" si="55"/>
        <v>4.6500116586685181E-3</v>
      </c>
      <c r="L982" s="60"/>
      <c r="M982" s="41"/>
      <c r="N982" s="41"/>
      <c r="O982" s="41"/>
    </row>
    <row r="983" spans="1:15" s="7" customFormat="1" ht="18.75">
      <c r="A983" s="56"/>
      <c r="B983" s="57"/>
      <c r="C983" s="62" t="s">
        <v>178</v>
      </c>
      <c r="D983" s="103" t="s">
        <v>530</v>
      </c>
      <c r="E983" s="44"/>
      <c r="F983" s="149">
        <v>27187528.159637995</v>
      </c>
      <c r="G983" s="105" t="s">
        <v>179</v>
      </c>
      <c r="H983" s="36">
        <v>27187528.159637995</v>
      </c>
      <c r="I983" s="43" t="s">
        <v>704</v>
      </c>
      <c r="J983" s="37">
        <f t="shared" si="54"/>
        <v>0</v>
      </c>
      <c r="K983" s="110">
        <f t="shared" si="55"/>
        <v>4.6500116586685181E-3</v>
      </c>
      <c r="L983" s="60"/>
      <c r="M983" s="41"/>
      <c r="N983" s="41"/>
      <c r="O983" s="41"/>
    </row>
    <row r="984" spans="1:15" s="7" customFormat="1" ht="18.75">
      <c r="A984" s="56"/>
      <c r="B984" s="57"/>
      <c r="C984" s="62" t="s">
        <v>181</v>
      </c>
      <c r="D984" s="103" t="s">
        <v>532</v>
      </c>
      <c r="E984" s="44"/>
      <c r="F984" s="149">
        <v>20008135.043400001</v>
      </c>
      <c r="G984" s="105" t="s">
        <v>183</v>
      </c>
      <c r="H984" s="36">
        <v>20008135.043400001</v>
      </c>
      <c r="I984" s="43" t="s">
        <v>705</v>
      </c>
      <c r="J984" s="37">
        <f t="shared" si="54"/>
        <v>0</v>
      </c>
      <c r="K984" s="110">
        <f t="shared" si="55"/>
        <v>4.6500116586685181E-3</v>
      </c>
      <c r="L984" s="60"/>
      <c r="M984" s="41"/>
      <c r="N984" s="41"/>
      <c r="O984" s="41"/>
    </row>
    <row r="985" spans="1:15" s="7" customFormat="1" ht="18.75">
      <c r="A985" s="56"/>
      <c r="B985" s="57"/>
      <c r="C985" s="62" t="s">
        <v>185</v>
      </c>
      <c r="D985" s="103" t="s">
        <v>534</v>
      </c>
      <c r="E985" s="44"/>
      <c r="F985" s="149">
        <v>24947828.658679496</v>
      </c>
      <c r="G985" s="105" t="s">
        <v>187</v>
      </c>
      <c r="H985" s="36">
        <v>24947828.66</v>
      </c>
      <c r="I985" s="43" t="s">
        <v>731</v>
      </c>
      <c r="J985" s="37">
        <f t="shared" si="54"/>
        <v>-1.3205036520957947E-3</v>
      </c>
      <c r="K985" s="110">
        <f t="shared" si="55"/>
        <v>4.6500116586685181E-3</v>
      </c>
      <c r="L985" s="60"/>
      <c r="M985" s="41"/>
      <c r="N985" s="41"/>
      <c r="O985" s="41"/>
    </row>
    <row r="986" spans="1:15" s="7" customFormat="1" ht="18.75">
      <c r="A986" s="56"/>
      <c r="B986" s="57"/>
      <c r="C986" s="62" t="s">
        <v>189</v>
      </c>
      <c r="D986" s="103" t="s">
        <v>535</v>
      </c>
      <c r="E986" s="44"/>
      <c r="F986" s="149">
        <v>28282520.143767748</v>
      </c>
      <c r="G986" s="105" t="s">
        <v>377</v>
      </c>
      <c r="H986" s="36">
        <v>28282520.140000001</v>
      </c>
      <c r="I986" s="43" t="s">
        <v>331</v>
      </c>
      <c r="J986" s="37">
        <f t="shared" si="54"/>
        <v>3.7677474319934845E-3</v>
      </c>
      <c r="K986" s="110">
        <v>0</v>
      </c>
      <c r="L986" s="60"/>
      <c r="M986" s="41"/>
      <c r="N986" s="41"/>
      <c r="O986" s="41"/>
    </row>
    <row r="987" spans="1:15" s="7" customFormat="1" ht="18.75">
      <c r="A987" s="56"/>
      <c r="B987" s="57"/>
      <c r="C987" s="62" t="s">
        <v>191</v>
      </c>
      <c r="D987" s="103" t="s">
        <v>536</v>
      </c>
      <c r="E987" s="44">
        <v>43986</v>
      </c>
      <c r="F987" s="149">
        <v>30928869.563781001</v>
      </c>
      <c r="G987" s="105" t="s">
        <v>193</v>
      </c>
      <c r="H987" s="36">
        <v>30928869.559999999</v>
      </c>
      <c r="I987" s="43" t="s">
        <v>1140</v>
      </c>
      <c r="J987" s="37">
        <f t="shared" si="54"/>
        <v>3.781002014875412E-3</v>
      </c>
      <c r="K987" s="110">
        <f t="shared" si="55"/>
        <v>3.7677474319934845E-3</v>
      </c>
      <c r="L987" s="60"/>
      <c r="M987" s="41"/>
      <c r="N987" s="41"/>
      <c r="O987" s="41"/>
    </row>
    <row r="988" spans="1:15" s="7" customFormat="1" ht="18.75">
      <c r="A988" s="56"/>
      <c r="B988" s="57"/>
      <c r="C988" s="62" t="s">
        <v>195</v>
      </c>
      <c r="D988" s="103" t="s">
        <v>538</v>
      </c>
      <c r="E988" s="44" t="s">
        <v>197</v>
      </c>
      <c r="F988" s="149">
        <v>3879692.7180532501</v>
      </c>
      <c r="G988" s="105" t="s">
        <v>198</v>
      </c>
      <c r="H988" s="36">
        <v>3879692.72</v>
      </c>
      <c r="I988" s="43" t="s">
        <v>1141</v>
      </c>
      <c r="J988" s="37">
        <f t="shared" si="54"/>
        <v>-1.946750096976757E-3</v>
      </c>
      <c r="K988" s="110">
        <v>0</v>
      </c>
      <c r="L988" s="60"/>
      <c r="M988" s="41"/>
      <c r="N988" s="41"/>
      <c r="O988" s="41"/>
    </row>
    <row r="989" spans="1:15" s="7" customFormat="1" ht="18.75">
      <c r="A989" s="56"/>
      <c r="B989" s="57"/>
      <c r="C989" s="62" t="s">
        <v>199</v>
      </c>
      <c r="D989" s="103" t="s">
        <v>43</v>
      </c>
      <c r="E989" s="44">
        <v>44049</v>
      </c>
      <c r="F989" s="149">
        <v>2163294.2977800001</v>
      </c>
      <c r="G989" s="105">
        <v>43897</v>
      </c>
      <c r="H989" s="36">
        <v>2163294.2999999998</v>
      </c>
      <c r="I989" s="43" t="s">
        <v>855</v>
      </c>
      <c r="J989" s="37">
        <f t="shared" si="54"/>
        <v>-2.2199996747076511E-3</v>
      </c>
      <c r="K989" s="110"/>
      <c r="L989" s="60"/>
      <c r="M989" s="41"/>
      <c r="N989" s="41"/>
      <c r="O989" s="41"/>
    </row>
    <row r="990" spans="1:15" s="7" customFormat="1" ht="18.75">
      <c r="A990" s="56"/>
      <c r="B990" s="57"/>
      <c r="C990" s="62" t="s">
        <v>201</v>
      </c>
      <c r="D990" s="103" t="s">
        <v>540</v>
      </c>
      <c r="E990" s="44">
        <v>44081</v>
      </c>
      <c r="F990" s="149">
        <v>10955210.440229999</v>
      </c>
      <c r="G990" s="105">
        <v>44020</v>
      </c>
      <c r="H990" s="36">
        <v>10955210.439999999</v>
      </c>
      <c r="I990" s="44">
        <v>43899</v>
      </c>
      <c r="J990" s="37">
        <f t="shared" si="54"/>
        <v>2.2999942302703857E-4</v>
      </c>
      <c r="K990" s="110">
        <f t="shared" ref="K990:K1000" si="56">J989+K989</f>
        <v>-2.2199996747076511E-3</v>
      </c>
      <c r="L990" s="60"/>
      <c r="M990" s="41"/>
      <c r="N990" s="41"/>
      <c r="O990" s="41"/>
    </row>
    <row r="991" spans="1:15" s="7" customFormat="1" ht="18.75">
      <c r="A991" s="56"/>
      <c r="B991" s="57"/>
      <c r="C991" s="62" t="s">
        <v>203</v>
      </c>
      <c r="D991" s="103" t="s">
        <v>542</v>
      </c>
      <c r="E991" s="44">
        <v>43990</v>
      </c>
      <c r="F991" s="149">
        <v>16038253.848863998</v>
      </c>
      <c r="G991" s="105" t="s">
        <v>290</v>
      </c>
      <c r="H991" s="36">
        <v>16038253.85</v>
      </c>
      <c r="I991" s="44">
        <v>44083</v>
      </c>
      <c r="J991" s="37">
        <f t="shared" si="54"/>
        <v>-1.1360011994838715E-3</v>
      </c>
      <c r="K991" s="110">
        <f t="shared" si="56"/>
        <v>-1.9900002516806126E-3</v>
      </c>
      <c r="L991" s="60"/>
      <c r="M991" s="41"/>
      <c r="N991" s="41"/>
      <c r="O991" s="41"/>
    </row>
    <row r="992" spans="1:15" s="7" customFormat="1" ht="18.75">
      <c r="A992" s="56"/>
      <c r="B992" s="57"/>
      <c r="C992" s="62" t="s">
        <v>207</v>
      </c>
      <c r="D992" s="103" t="s">
        <v>543</v>
      </c>
      <c r="E992" s="44" t="s">
        <v>292</v>
      </c>
      <c r="F992" s="149">
        <v>17908418.44303</v>
      </c>
      <c r="G992" s="105" t="s">
        <v>293</v>
      </c>
      <c r="H992" s="36">
        <v>17908418.440000001</v>
      </c>
      <c r="I992" s="43" t="s">
        <v>1142</v>
      </c>
      <c r="J992" s="37">
        <f t="shared" si="54"/>
        <v>3.029998391866684E-3</v>
      </c>
      <c r="K992" s="110">
        <f t="shared" si="56"/>
        <v>-3.126001451164484E-3</v>
      </c>
      <c r="L992" s="60"/>
      <c r="M992" s="41"/>
      <c r="N992" s="41"/>
      <c r="O992" s="41"/>
    </row>
    <row r="993" spans="1:15" s="7" customFormat="1" ht="18.75">
      <c r="A993" s="56"/>
      <c r="B993" s="57"/>
      <c r="C993" s="62" t="s">
        <v>212</v>
      </c>
      <c r="D993" s="103" t="s">
        <v>544</v>
      </c>
      <c r="E993" s="44">
        <v>44084</v>
      </c>
      <c r="F993" s="149">
        <v>23621193.026931249</v>
      </c>
      <c r="G993" s="105" t="s">
        <v>213</v>
      </c>
      <c r="H993" s="36">
        <v>23621193.030000001</v>
      </c>
      <c r="I993" s="43" t="s">
        <v>1143</v>
      </c>
      <c r="J993" s="37">
        <f t="shared" si="54"/>
        <v>-3.0687525868415833E-3</v>
      </c>
      <c r="K993" s="110">
        <f t="shared" si="56"/>
        <v>-9.6003059297800064E-5</v>
      </c>
      <c r="L993" s="60"/>
      <c r="M993" s="41"/>
      <c r="N993" s="41"/>
      <c r="O993" s="41"/>
    </row>
    <row r="994" spans="1:15" s="7" customFormat="1" ht="18.75">
      <c r="A994" s="56"/>
      <c r="B994" s="57"/>
      <c r="C994" s="62" t="s">
        <v>214</v>
      </c>
      <c r="D994" s="103" t="s">
        <v>545</v>
      </c>
      <c r="E994" s="44">
        <v>43962</v>
      </c>
      <c r="F994" s="149">
        <v>15852967.197120998</v>
      </c>
      <c r="G994" s="105" t="s">
        <v>216</v>
      </c>
      <c r="H994" s="36">
        <v>15852967.199999999</v>
      </c>
      <c r="I994" s="43" t="s">
        <v>603</v>
      </c>
      <c r="J994" s="37">
        <f t="shared" si="54"/>
        <v>-2.8790012001991272E-3</v>
      </c>
      <c r="K994" s="110">
        <f t="shared" si="56"/>
        <v>-3.1647556461393833E-3</v>
      </c>
      <c r="L994" s="60"/>
      <c r="M994" s="41"/>
      <c r="N994" s="41"/>
      <c r="O994" s="41"/>
    </row>
    <row r="995" spans="1:15" s="7" customFormat="1" ht="18.75">
      <c r="A995" s="56"/>
      <c r="B995" s="57"/>
      <c r="C995" s="62" t="s">
        <v>218</v>
      </c>
      <c r="D995" s="103" t="s">
        <v>1144</v>
      </c>
      <c r="E995" s="44">
        <v>44147</v>
      </c>
      <c r="F995" s="149">
        <v>19021294.56341375</v>
      </c>
      <c r="G995" s="105" t="s">
        <v>922</v>
      </c>
      <c r="H995" s="36">
        <v>19021294.559999999</v>
      </c>
      <c r="I995" s="43" t="s">
        <v>294</v>
      </c>
      <c r="J995" s="37">
        <f t="shared" si="54"/>
        <v>3.4137517213821411E-3</v>
      </c>
      <c r="K995" s="110">
        <f t="shared" si="56"/>
        <v>-6.0437568463385105E-3</v>
      </c>
      <c r="L995" s="60"/>
      <c r="M995" s="41"/>
      <c r="N995" s="41"/>
      <c r="O995" s="41"/>
    </row>
    <row r="996" spans="1:15" s="7" customFormat="1" ht="18.75">
      <c r="A996" s="56"/>
      <c r="B996" s="57"/>
      <c r="C996" s="62" t="s">
        <v>219</v>
      </c>
      <c r="D996" s="103" t="s">
        <v>548</v>
      </c>
      <c r="E996" s="44">
        <v>44409</v>
      </c>
      <c r="F996" s="149">
        <v>18114277.550111752</v>
      </c>
      <c r="G996" s="105" t="s">
        <v>220</v>
      </c>
      <c r="H996" s="36">
        <v>18114277.550000001</v>
      </c>
      <c r="I996" s="43" t="s">
        <v>890</v>
      </c>
      <c r="J996" s="37">
        <f t="shared" si="54"/>
        <v>1.117512583732605E-4</v>
      </c>
      <c r="K996" s="110">
        <f t="shared" si="56"/>
        <v>-2.6300051249563694E-3</v>
      </c>
      <c r="L996" s="60"/>
      <c r="M996" s="41"/>
      <c r="N996" s="41"/>
      <c r="O996" s="41"/>
    </row>
    <row r="997" spans="1:15" s="7" customFormat="1" ht="18.75">
      <c r="A997" s="56"/>
      <c r="B997" s="57"/>
      <c r="C997" s="62" t="s">
        <v>221</v>
      </c>
      <c r="D997" s="103" t="s">
        <v>550</v>
      </c>
      <c r="E997" s="44">
        <v>44410</v>
      </c>
      <c r="F997" s="149">
        <v>20827100.571354002</v>
      </c>
      <c r="G997" s="105">
        <v>44289</v>
      </c>
      <c r="H997" s="36">
        <v>20827100.57</v>
      </c>
      <c r="I997" s="44">
        <v>44532</v>
      </c>
      <c r="J997" s="37">
        <f t="shared" si="54"/>
        <v>1.3540014624595642E-3</v>
      </c>
      <c r="K997" s="110">
        <f t="shared" si="56"/>
        <v>-2.5182538665831089E-3</v>
      </c>
      <c r="L997" s="60"/>
      <c r="M997" s="41"/>
      <c r="N997" s="41"/>
      <c r="O997" s="41"/>
    </row>
    <row r="998" spans="1:15" s="7" customFormat="1" ht="18.75">
      <c r="A998" s="56"/>
      <c r="B998" s="57"/>
      <c r="C998" s="62" t="s">
        <v>222</v>
      </c>
      <c r="D998" s="103" t="s">
        <v>113</v>
      </c>
      <c r="E998" s="44">
        <v>44472</v>
      </c>
      <c r="F998" s="149">
        <v>18487763.399085749</v>
      </c>
      <c r="G998" s="105" t="s">
        <v>391</v>
      </c>
      <c r="H998" s="36">
        <v>18487763.399999999</v>
      </c>
      <c r="I998" s="44" t="s">
        <v>48</v>
      </c>
      <c r="J998" s="37">
        <f t="shared" si="54"/>
        <v>-9.1424956917762756E-4</v>
      </c>
      <c r="K998" s="110">
        <f t="shared" si="56"/>
        <v>-1.1642524041235447E-3</v>
      </c>
      <c r="L998" s="60"/>
      <c r="M998" s="41"/>
      <c r="N998" s="41"/>
      <c r="O998" s="41"/>
    </row>
    <row r="999" spans="1:15" s="7" customFormat="1" ht="18.75">
      <c r="A999" s="56"/>
      <c r="B999" s="57"/>
      <c r="C999" s="62" t="s">
        <v>349</v>
      </c>
      <c r="D999" s="103" t="s">
        <v>229</v>
      </c>
      <c r="E999" s="44">
        <v>44381</v>
      </c>
      <c r="F999" s="149">
        <v>24687087.805784248</v>
      </c>
      <c r="G999" s="105" t="s">
        <v>351</v>
      </c>
      <c r="H999" s="36">
        <v>24687087.800000001</v>
      </c>
      <c r="I999" s="44" t="s">
        <v>1145</v>
      </c>
      <c r="J999" s="37">
        <f t="shared" si="54"/>
        <v>5.7842470705509186E-3</v>
      </c>
      <c r="K999" s="110">
        <f t="shared" si="56"/>
        <v>-2.0785019733011723E-3</v>
      </c>
      <c r="L999" s="60"/>
      <c r="M999" s="41"/>
      <c r="N999" s="41"/>
      <c r="O999" s="41"/>
    </row>
    <row r="1000" spans="1:15" s="7" customFormat="1" ht="18.75">
      <c r="A1000" s="56"/>
      <c r="B1000" s="109" t="s">
        <v>1146</v>
      </c>
      <c r="C1000" s="31"/>
      <c r="D1000" s="32"/>
      <c r="E1000" s="44"/>
      <c r="F1000" s="34"/>
      <c r="G1000" s="35"/>
      <c r="H1000" s="54"/>
      <c r="I1000" s="35"/>
      <c r="J1000" s="37"/>
      <c r="K1000" s="116">
        <f t="shared" si="56"/>
        <v>3.7057450972497463E-3</v>
      </c>
      <c r="L1000" s="60"/>
      <c r="M1000" s="41"/>
      <c r="N1000" s="41"/>
      <c r="O1000" s="41"/>
    </row>
    <row r="1001" spans="1:15" s="7" customFormat="1" ht="18.75">
      <c r="A1001" s="56"/>
      <c r="B1001" s="109"/>
      <c r="C1001" s="31"/>
      <c r="D1001" s="32"/>
      <c r="E1001" s="44"/>
      <c r="F1001" s="34"/>
      <c r="G1001" s="35"/>
      <c r="H1001" s="54"/>
      <c r="I1001" s="35"/>
      <c r="J1001" s="37"/>
      <c r="K1001" s="116"/>
      <c r="L1001" s="60"/>
      <c r="M1001" s="41"/>
      <c r="N1001" s="41"/>
      <c r="O1001" s="41"/>
    </row>
    <row r="1002" spans="1:15" s="7" customFormat="1" ht="18.75">
      <c r="A1002" s="56">
        <v>25</v>
      </c>
      <c r="B1002" s="30" t="s">
        <v>64</v>
      </c>
      <c r="C1002" s="42"/>
      <c r="D1002" s="32"/>
      <c r="E1002" s="44"/>
      <c r="F1002" s="34">
        <v>0</v>
      </c>
      <c r="G1002" s="35"/>
      <c r="H1002" s="36"/>
      <c r="I1002" s="35"/>
      <c r="J1002" s="37">
        <f t="shared" ref="J1002:J1022" si="57">F1002-H1002</f>
        <v>0</v>
      </c>
      <c r="K1002" s="38"/>
      <c r="L1002" s="39"/>
      <c r="M1002" s="40"/>
      <c r="N1002" s="40"/>
      <c r="O1002" s="41"/>
    </row>
    <row r="1003" spans="1:15" s="7" customFormat="1" ht="18.75">
      <c r="A1003" s="56"/>
      <c r="B1003" s="30"/>
      <c r="C1003" s="42" t="s">
        <v>145</v>
      </c>
      <c r="D1003" s="32" t="s">
        <v>140</v>
      </c>
      <c r="E1003" s="44"/>
      <c r="F1003" s="34">
        <v>12731175.380913571</v>
      </c>
      <c r="G1003" s="35" t="s">
        <v>652</v>
      </c>
      <c r="H1003" s="36">
        <v>12731175.380000001</v>
      </c>
      <c r="I1003" s="35" t="s">
        <v>1147</v>
      </c>
      <c r="J1003" s="37">
        <f t="shared" si="57"/>
        <v>9.1356970369815826E-4</v>
      </c>
      <c r="K1003" s="37">
        <f>J1002+K1002</f>
        <v>0</v>
      </c>
      <c r="L1003" s="39"/>
      <c r="M1003" s="40"/>
      <c r="N1003" s="40"/>
      <c r="O1003" s="41"/>
    </row>
    <row r="1004" spans="1:15" s="7" customFormat="1" ht="18.75">
      <c r="A1004" s="56"/>
      <c r="B1004" s="30"/>
      <c r="C1004" s="42" t="s">
        <v>148</v>
      </c>
      <c r="D1004" s="32" t="s">
        <v>120</v>
      </c>
      <c r="E1004" s="44"/>
      <c r="F1004" s="34">
        <v>22719297.513977189</v>
      </c>
      <c r="G1004" s="35" t="s">
        <v>899</v>
      </c>
      <c r="H1004" s="36">
        <v>22719297.510000002</v>
      </c>
      <c r="I1004" s="35">
        <v>43593</v>
      </c>
      <c r="J1004" s="37">
        <f t="shared" si="57"/>
        <v>3.9771869778633118E-3</v>
      </c>
      <c r="K1004" s="37">
        <f>J1003+K1003</f>
        <v>9.1356970369815826E-4</v>
      </c>
      <c r="L1004" s="39"/>
      <c r="M1004" s="40"/>
      <c r="N1004" s="40"/>
      <c r="O1004" s="41"/>
    </row>
    <row r="1005" spans="1:15" s="7" customFormat="1" ht="18.75">
      <c r="A1005" s="56"/>
      <c r="B1005" s="30"/>
      <c r="C1005" s="42" t="s">
        <v>151</v>
      </c>
      <c r="D1005" s="32" t="s">
        <v>146</v>
      </c>
      <c r="E1005" s="44"/>
      <c r="F1005" s="34">
        <v>22875350.8935</v>
      </c>
      <c r="G1005" s="35" t="s">
        <v>152</v>
      </c>
      <c r="H1005" s="36">
        <v>22875350.890000001</v>
      </c>
      <c r="I1005" s="35" t="s">
        <v>877</v>
      </c>
      <c r="J1005" s="37">
        <f t="shared" si="57"/>
        <v>3.4999996423721313E-3</v>
      </c>
      <c r="K1005" s="37">
        <v>9.1356970369815826E-4</v>
      </c>
      <c r="L1005" s="39"/>
      <c r="M1005" s="40"/>
      <c r="N1005" s="40"/>
      <c r="O1005" s="41"/>
    </row>
    <row r="1006" spans="1:15" s="7" customFormat="1" ht="18.75">
      <c r="A1006" s="56"/>
      <c r="B1006" s="30"/>
      <c r="C1006" s="42" t="s">
        <v>154</v>
      </c>
      <c r="D1006" s="32" t="s">
        <v>80</v>
      </c>
      <c r="E1006" s="44"/>
      <c r="F1006" s="34">
        <v>24137770.251473237</v>
      </c>
      <c r="G1006" s="35" t="s">
        <v>156</v>
      </c>
      <c r="H1006" s="36">
        <v>24137770.25</v>
      </c>
      <c r="I1006" s="35" t="s">
        <v>156</v>
      </c>
      <c r="J1006" s="37">
        <f t="shared" si="57"/>
        <v>1.4732368290424347E-3</v>
      </c>
      <c r="K1006" s="37">
        <v>9.1356970369815826E-4</v>
      </c>
      <c r="L1006" s="148"/>
      <c r="M1006" s="40"/>
      <c r="N1006" s="40"/>
      <c r="O1006" s="41"/>
    </row>
    <row r="1007" spans="1:15" s="7" customFormat="1" ht="18.75">
      <c r="A1007" s="56"/>
      <c r="B1007" s="30"/>
      <c r="C1007" s="42" t="s">
        <v>158</v>
      </c>
      <c r="D1007" s="32" t="s">
        <v>124</v>
      </c>
      <c r="E1007" s="44"/>
      <c r="F1007" s="34">
        <v>22349792.915842459</v>
      </c>
      <c r="G1007" s="35" t="s">
        <v>160</v>
      </c>
      <c r="H1007" s="36">
        <v>22349792.915842459</v>
      </c>
      <c r="I1007" s="35" t="s">
        <v>153</v>
      </c>
      <c r="J1007" s="37">
        <f t="shared" si="57"/>
        <v>0</v>
      </c>
      <c r="K1007" s="37">
        <v>9.1356970369815826E-4</v>
      </c>
      <c r="L1007" s="39"/>
      <c r="M1007" s="40"/>
      <c r="N1007" s="40"/>
      <c r="O1007" s="41"/>
    </row>
    <row r="1008" spans="1:15" s="7" customFormat="1" ht="18.75">
      <c r="A1008" s="56"/>
      <c r="B1008" s="30"/>
      <c r="C1008" s="42" t="s">
        <v>162</v>
      </c>
      <c r="D1008" s="32" t="s">
        <v>155</v>
      </c>
      <c r="E1008" s="44"/>
      <c r="F1008" s="34">
        <v>24381598.826072879</v>
      </c>
      <c r="G1008" s="35" t="s">
        <v>164</v>
      </c>
      <c r="H1008" s="36">
        <v>24381598.826072879</v>
      </c>
      <c r="I1008" s="35" t="s">
        <v>269</v>
      </c>
      <c r="J1008" s="37">
        <f t="shared" si="57"/>
        <v>0</v>
      </c>
      <c r="K1008" s="37">
        <v>9.1356970369815826E-4</v>
      </c>
      <c r="L1008" s="39"/>
      <c r="M1008" s="40"/>
      <c r="N1008" s="40"/>
      <c r="O1008" s="41"/>
    </row>
    <row r="1009" spans="1:15" s="7" customFormat="1" ht="18.75">
      <c r="A1009" s="56"/>
      <c r="B1009" s="30"/>
      <c r="C1009" s="42" t="s">
        <v>166</v>
      </c>
      <c r="D1009" s="32" t="s">
        <v>159</v>
      </c>
      <c r="E1009" s="44"/>
      <c r="F1009" s="34">
        <v>23469164.843977757</v>
      </c>
      <c r="G1009" s="35" t="s">
        <v>168</v>
      </c>
      <c r="H1009" s="36">
        <v>23469164.843977757</v>
      </c>
      <c r="I1009" s="35" t="s">
        <v>1097</v>
      </c>
      <c r="J1009" s="37">
        <f t="shared" si="57"/>
        <v>0</v>
      </c>
      <c r="K1009" s="37">
        <v>9.1356970369815826E-4</v>
      </c>
      <c r="L1009" s="39"/>
      <c r="M1009" s="40"/>
      <c r="N1009" s="40"/>
      <c r="O1009" s="41"/>
    </row>
    <row r="1010" spans="1:15" s="7" customFormat="1" ht="18.75">
      <c r="A1010" s="56"/>
      <c r="B1010" s="30"/>
      <c r="C1010" s="42" t="s">
        <v>170</v>
      </c>
      <c r="D1010" s="32" t="s">
        <v>163</v>
      </c>
      <c r="E1010" s="44"/>
      <c r="F1010" s="34">
        <v>25264453.641274054</v>
      </c>
      <c r="G1010" s="35" t="s">
        <v>172</v>
      </c>
      <c r="H1010" s="36">
        <v>25264453.641274054</v>
      </c>
      <c r="I1010" s="35" t="s">
        <v>1014</v>
      </c>
      <c r="J1010" s="37">
        <f t="shared" si="57"/>
        <v>0</v>
      </c>
      <c r="K1010" s="37">
        <v>9.1356970369815826E-4</v>
      </c>
      <c r="L1010" s="39"/>
      <c r="M1010" s="40"/>
      <c r="N1010" s="40"/>
      <c r="O1010" s="41"/>
    </row>
    <row r="1011" spans="1:15" s="7" customFormat="1" ht="18.75">
      <c r="A1011" s="56"/>
      <c r="B1011" s="30"/>
      <c r="C1011" s="42" t="s">
        <v>174</v>
      </c>
      <c r="D1011" s="32" t="s">
        <v>167</v>
      </c>
      <c r="E1011" s="44"/>
      <c r="F1011" s="34">
        <v>25100374.595797617</v>
      </c>
      <c r="G1011" s="35" t="s">
        <v>176</v>
      </c>
      <c r="H1011" s="36">
        <v>25100374.595797617</v>
      </c>
      <c r="I1011" s="35" t="s">
        <v>896</v>
      </c>
      <c r="J1011" s="37">
        <f t="shared" si="57"/>
        <v>0</v>
      </c>
      <c r="K1011" s="37">
        <v>9.1356970369815826E-4</v>
      </c>
      <c r="L1011" s="39"/>
      <c r="M1011" s="40"/>
      <c r="N1011" s="40"/>
      <c r="O1011" s="41"/>
    </row>
    <row r="1012" spans="1:15" s="7" customFormat="1" ht="21" customHeight="1">
      <c r="A1012" s="56"/>
      <c r="B1012" s="30"/>
      <c r="C1012" s="42" t="s">
        <v>178</v>
      </c>
      <c r="D1012" s="32" t="s">
        <v>171</v>
      </c>
      <c r="E1012" s="44"/>
      <c r="F1012" s="34">
        <v>22532308.669761978</v>
      </c>
      <c r="G1012" s="35" t="s">
        <v>179</v>
      </c>
      <c r="H1012" s="36">
        <v>22532308.670000002</v>
      </c>
      <c r="I1012" s="35" t="s">
        <v>1148</v>
      </c>
      <c r="J1012" s="37">
        <f t="shared" si="57"/>
        <v>-2.3802369832992554E-4</v>
      </c>
      <c r="K1012" s="37">
        <v>9.1356970369815826E-4</v>
      </c>
      <c r="L1012" s="39"/>
      <c r="M1012" s="40"/>
      <c r="N1012" s="40"/>
      <c r="O1012" s="41"/>
    </row>
    <row r="1013" spans="1:15" s="7" customFormat="1" ht="18.75">
      <c r="A1013" s="56"/>
      <c r="B1013" s="30"/>
      <c r="C1013" s="42" t="s">
        <v>181</v>
      </c>
      <c r="D1013" s="32" t="s">
        <v>175</v>
      </c>
      <c r="E1013" s="44"/>
      <c r="F1013" s="34">
        <v>24380904.813529532</v>
      </c>
      <c r="G1013" s="35" t="s">
        <v>183</v>
      </c>
      <c r="H1013" s="36">
        <v>24380904.813529532</v>
      </c>
      <c r="I1013" s="35" t="s">
        <v>729</v>
      </c>
      <c r="J1013" s="37">
        <f t="shared" si="57"/>
        <v>0</v>
      </c>
      <c r="K1013" s="37">
        <v>9.1356970369815826E-4</v>
      </c>
      <c r="L1013" s="39"/>
      <c r="M1013" s="40"/>
      <c r="N1013" s="40"/>
      <c r="O1013" s="41"/>
    </row>
    <row r="1014" spans="1:15" s="7" customFormat="1" ht="18.75">
      <c r="A1014" s="56"/>
      <c r="B1014" s="30"/>
      <c r="C1014" s="42" t="s">
        <v>185</v>
      </c>
      <c r="D1014" s="32" t="s">
        <v>111</v>
      </c>
      <c r="E1014" s="44"/>
      <c r="F1014" s="34">
        <v>26846432.145426702</v>
      </c>
      <c r="G1014" s="35" t="s">
        <v>187</v>
      </c>
      <c r="H1014" s="36">
        <v>26846432.145426702</v>
      </c>
      <c r="I1014" s="35" t="s">
        <v>1149</v>
      </c>
      <c r="J1014" s="37">
        <f t="shared" si="57"/>
        <v>0</v>
      </c>
      <c r="K1014" s="37">
        <f>J1013+K1013</f>
        <v>9.1356970369815826E-4</v>
      </c>
      <c r="L1014" s="39"/>
      <c r="M1014" s="40"/>
      <c r="N1014" s="40"/>
      <c r="O1014" s="41"/>
    </row>
    <row r="1015" spans="1:15" s="7" customFormat="1" ht="18.75">
      <c r="A1015" s="56"/>
      <c r="B1015" s="30"/>
      <c r="C1015" s="42" t="s">
        <v>189</v>
      </c>
      <c r="D1015" s="32" t="s">
        <v>182</v>
      </c>
      <c r="E1015" s="44"/>
      <c r="F1015" s="34">
        <v>27702799.591830876</v>
      </c>
      <c r="G1015" s="35" t="s">
        <v>282</v>
      </c>
      <c r="H1015" s="36">
        <v>27702799.59</v>
      </c>
      <c r="I1015" s="35">
        <v>43926</v>
      </c>
      <c r="J1015" s="37">
        <f t="shared" si="57"/>
        <v>1.8308758735656738E-3</v>
      </c>
      <c r="K1015" s="37">
        <f>J1014+K1014</f>
        <v>9.1356970369815826E-4</v>
      </c>
      <c r="L1015" s="39"/>
      <c r="M1015" s="40"/>
      <c r="N1015" s="40"/>
      <c r="O1015" s="41"/>
    </row>
    <row r="1016" spans="1:15" s="7" customFormat="1" ht="18.75">
      <c r="A1016" s="56"/>
      <c r="B1016" s="30"/>
      <c r="C1016" s="42" t="s">
        <v>191</v>
      </c>
      <c r="D1016" s="32" t="s">
        <v>186</v>
      </c>
      <c r="E1016" s="44">
        <v>43986</v>
      </c>
      <c r="F1016" s="34">
        <v>31689183.806368828</v>
      </c>
      <c r="G1016" s="35" t="s">
        <v>193</v>
      </c>
      <c r="H1016" s="36">
        <f>21000000+10689183.81</f>
        <v>31689183.810000002</v>
      </c>
      <c r="I1016" s="35" t="s">
        <v>784</v>
      </c>
      <c r="J1016" s="37">
        <f t="shared" si="57"/>
        <v>-3.6311745643615723E-3</v>
      </c>
      <c r="K1016" s="37">
        <f t="shared" ref="K1016:K1028" si="58">J1015+K1015</f>
        <v>2.7444455772638321E-3</v>
      </c>
      <c r="L1016" s="39"/>
      <c r="M1016" s="40"/>
      <c r="N1016" s="40"/>
      <c r="O1016" s="41"/>
    </row>
    <row r="1017" spans="1:15" s="7" customFormat="1" ht="18.75">
      <c r="A1017" s="56"/>
      <c r="B1017" s="30"/>
      <c r="C1017" s="42" t="s">
        <v>195</v>
      </c>
      <c r="D1017" s="32" t="s">
        <v>192</v>
      </c>
      <c r="E1017" s="44" t="s">
        <v>197</v>
      </c>
      <c r="F1017" s="34">
        <v>9293699.719658602</v>
      </c>
      <c r="G1017" s="35" t="s">
        <v>198</v>
      </c>
      <c r="H1017" s="36">
        <v>10689183.810000001</v>
      </c>
      <c r="I1017" s="44">
        <v>43837</v>
      </c>
      <c r="J1017" s="37">
        <f t="shared" si="57"/>
        <v>-1395484.0903413985</v>
      </c>
      <c r="K1017" s="37">
        <f t="shared" si="58"/>
        <v>-8.8672898709774017E-4</v>
      </c>
      <c r="L1017" s="39"/>
      <c r="M1017" s="40"/>
      <c r="N1017" s="40"/>
      <c r="O1017" s="41"/>
    </row>
    <row r="1018" spans="1:15" s="7" customFormat="1" ht="18.75">
      <c r="A1018" s="56"/>
      <c r="B1018" s="30"/>
      <c r="C1018" s="42" t="s">
        <v>199</v>
      </c>
      <c r="D1018" s="32" t="s">
        <v>196</v>
      </c>
      <c r="E1018" s="44">
        <v>44049</v>
      </c>
      <c r="F1018" s="34">
        <v>18966622.386347998</v>
      </c>
      <c r="G1018" s="35">
        <v>43897</v>
      </c>
      <c r="H1018" s="36">
        <v>1966622.39</v>
      </c>
      <c r="I1018" s="35" t="s">
        <v>339</v>
      </c>
      <c r="J1018" s="37">
        <f t="shared" si="57"/>
        <v>16999999.996347997</v>
      </c>
      <c r="K1018" s="37">
        <f t="shared" si="58"/>
        <v>-1395484.0912281275</v>
      </c>
      <c r="L1018" s="39"/>
      <c r="M1018" s="40"/>
      <c r="N1018" s="40"/>
      <c r="O1018" s="41"/>
    </row>
    <row r="1019" spans="1:15" s="7" customFormat="1" ht="18.75">
      <c r="A1019" s="56"/>
      <c r="B1019" s="30"/>
      <c r="C1019" s="42" t="s">
        <v>201</v>
      </c>
      <c r="D1019" s="32" t="s">
        <v>41</v>
      </c>
      <c r="E1019" s="44">
        <v>44081</v>
      </c>
      <c r="F1019" s="34">
        <v>11666797.421052901</v>
      </c>
      <c r="G1019" s="35">
        <v>44020</v>
      </c>
      <c r="H1019" s="36"/>
      <c r="I1019" s="35"/>
      <c r="J1019" s="37">
        <f t="shared" si="57"/>
        <v>11666797.421052901</v>
      </c>
      <c r="K1019" s="37">
        <f t="shared" si="58"/>
        <v>15604515.90511987</v>
      </c>
      <c r="L1019" s="39"/>
      <c r="M1019" s="40"/>
      <c r="N1019" s="40"/>
      <c r="O1019" s="41"/>
    </row>
    <row r="1020" spans="1:15" s="7" customFormat="1" ht="18.75">
      <c r="A1020" s="56"/>
      <c r="B1020" s="30"/>
      <c r="C1020" s="42" t="s">
        <v>203</v>
      </c>
      <c r="D1020" s="32" t="s">
        <v>359</v>
      </c>
      <c r="E1020" s="44">
        <v>43990</v>
      </c>
      <c r="F1020" s="34">
        <v>14889928.308501039</v>
      </c>
      <c r="G1020" s="35" t="s">
        <v>290</v>
      </c>
      <c r="H1020" s="36">
        <v>2889928.31</v>
      </c>
      <c r="I1020" s="35" t="s">
        <v>1150</v>
      </c>
      <c r="J1020" s="37">
        <f t="shared" si="57"/>
        <v>11999999.998501038</v>
      </c>
      <c r="K1020" s="37">
        <f t="shared" si="58"/>
        <v>27271313.326172769</v>
      </c>
      <c r="L1020" s="39"/>
      <c r="M1020" s="40"/>
      <c r="N1020" s="40"/>
      <c r="O1020" s="41"/>
    </row>
    <row r="1021" spans="1:15" s="7" customFormat="1" ht="18.75">
      <c r="A1021" s="56"/>
      <c r="B1021" s="30"/>
      <c r="C1021" s="42" t="s">
        <v>207</v>
      </c>
      <c r="D1021" s="32" t="s">
        <v>202</v>
      </c>
      <c r="E1021" s="44" t="s">
        <v>209</v>
      </c>
      <c r="F1021" s="34">
        <v>26573025.743991699</v>
      </c>
      <c r="G1021" s="35" t="s">
        <v>210</v>
      </c>
      <c r="H1021" s="36"/>
      <c r="I1021" s="35"/>
      <c r="J1021" s="37">
        <f t="shared" si="57"/>
        <v>26573025.743991699</v>
      </c>
      <c r="K1021" s="37">
        <f t="shared" si="58"/>
        <v>39271313.324673809</v>
      </c>
      <c r="L1021" s="39"/>
      <c r="M1021" s="40"/>
      <c r="N1021" s="40"/>
      <c r="O1021" s="41"/>
    </row>
    <row r="1022" spans="1:15" s="7" customFormat="1" ht="18.75">
      <c r="A1022" s="56"/>
      <c r="B1022" s="30"/>
      <c r="C1022" s="42" t="s">
        <v>212</v>
      </c>
      <c r="D1022" s="32" t="s">
        <v>204</v>
      </c>
      <c r="E1022" s="44">
        <v>44084</v>
      </c>
      <c r="F1022" s="34">
        <v>14494234.570974721</v>
      </c>
      <c r="G1022" s="35" t="s">
        <v>213</v>
      </c>
      <c r="H1022" s="36">
        <v>14494234.57</v>
      </c>
      <c r="I1022" s="35">
        <v>44055</v>
      </c>
      <c r="J1022" s="37">
        <f t="shared" si="57"/>
        <v>9.7472034394741058E-4</v>
      </c>
      <c r="K1022" s="37">
        <f t="shared" si="58"/>
        <v>65844339.068665504</v>
      </c>
      <c r="L1022" s="39"/>
      <c r="M1022" s="40"/>
      <c r="N1022" s="40"/>
      <c r="O1022" s="41"/>
    </row>
    <row r="1023" spans="1:15" s="7" customFormat="1" ht="18.75">
      <c r="A1023" s="56"/>
      <c r="B1023" s="30"/>
      <c r="C1023" s="42" t="s">
        <v>214</v>
      </c>
      <c r="D1023" s="32" t="s">
        <v>208</v>
      </c>
      <c r="E1023" s="44">
        <v>43962</v>
      </c>
      <c r="F1023" s="34">
        <v>28142487.821388356</v>
      </c>
      <c r="G1023" s="35" t="s">
        <v>216</v>
      </c>
      <c r="H1023" s="36">
        <v>28142487.82</v>
      </c>
      <c r="I1023" s="35">
        <v>44055</v>
      </c>
      <c r="J1023" s="37">
        <f>F1023-H1023</f>
        <v>1.38835608959198E-3</v>
      </c>
      <c r="K1023" s="37">
        <f t="shared" si="58"/>
        <v>65844339.069640227</v>
      </c>
      <c r="L1023" s="39"/>
      <c r="M1023" s="40"/>
      <c r="N1023" s="40"/>
      <c r="O1023" s="41"/>
    </row>
    <row r="1024" spans="1:15" s="7" customFormat="1" ht="18.75">
      <c r="A1024" s="56"/>
      <c r="B1024" s="30"/>
      <c r="C1024" s="42" t="s">
        <v>218</v>
      </c>
      <c r="D1024" s="32" t="s">
        <v>52</v>
      </c>
      <c r="E1024" s="44">
        <v>44024</v>
      </c>
      <c r="F1024" s="34">
        <v>34313819.038870193</v>
      </c>
      <c r="G1024" s="35">
        <v>44531</v>
      </c>
      <c r="H1024" s="36"/>
      <c r="I1024" s="35"/>
      <c r="J1024" s="37">
        <f>F1024-H1024</f>
        <v>34313819.038870193</v>
      </c>
      <c r="K1024" s="37">
        <f t="shared" si="58"/>
        <v>65844339.071028583</v>
      </c>
      <c r="L1024" s="39"/>
      <c r="M1024" s="40"/>
      <c r="N1024" s="40"/>
      <c r="O1024" s="41"/>
    </row>
    <row r="1025" spans="1:17" s="7" customFormat="1" ht="18.75">
      <c r="A1025" s="56"/>
      <c r="B1025" s="30"/>
      <c r="C1025" s="42" t="s">
        <v>219</v>
      </c>
      <c r="D1025" s="32" t="s">
        <v>215</v>
      </c>
      <c r="E1025" s="44">
        <v>44409</v>
      </c>
      <c r="F1025" s="34">
        <v>28732058.782525085</v>
      </c>
      <c r="G1025" s="35" t="s">
        <v>220</v>
      </c>
      <c r="H1025" s="36">
        <f>10000000+10000000+8732058.78</f>
        <v>28732058.780000001</v>
      </c>
      <c r="I1025" s="35">
        <v>44229</v>
      </c>
      <c r="J1025" s="37">
        <f>F1025-H1025</f>
        <v>2.5250837206840515E-3</v>
      </c>
      <c r="K1025" s="37">
        <f t="shared" si="58"/>
        <v>100158158.10989878</v>
      </c>
      <c r="L1025" s="39"/>
      <c r="M1025" s="40"/>
      <c r="N1025" s="40"/>
      <c r="O1025" s="41"/>
    </row>
    <row r="1026" spans="1:17" s="7" customFormat="1" ht="18.75">
      <c r="A1026" s="56"/>
      <c r="B1026" s="30"/>
      <c r="C1026" s="42" t="s">
        <v>221</v>
      </c>
      <c r="D1026" s="32" t="s">
        <v>65</v>
      </c>
      <c r="E1026" s="44">
        <v>44441</v>
      </c>
      <c r="F1026" s="34">
        <v>34410804.112245329</v>
      </c>
      <c r="G1026" s="35">
        <v>44289</v>
      </c>
      <c r="H1026" s="36"/>
      <c r="I1026" s="35"/>
      <c r="J1026" s="37">
        <f>F1026-H1026</f>
        <v>34410804.112245329</v>
      </c>
      <c r="K1026" s="37">
        <f t="shared" si="58"/>
        <v>100158158.11242387</v>
      </c>
      <c r="L1026" s="39"/>
      <c r="M1026" s="40"/>
      <c r="N1026" s="40"/>
      <c r="O1026" s="41"/>
    </row>
    <row r="1027" spans="1:17" s="7" customFormat="1" ht="18.75">
      <c r="A1027" s="56"/>
      <c r="B1027" s="30"/>
      <c r="C1027" s="42" t="s">
        <v>222</v>
      </c>
      <c r="D1027" s="32" t="s">
        <v>71</v>
      </c>
      <c r="E1027" s="44">
        <v>44411</v>
      </c>
      <c r="F1027" s="34">
        <v>29075403.856590629</v>
      </c>
      <c r="G1027" s="35" t="s">
        <v>85</v>
      </c>
      <c r="H1027" s="36"/>
      <c r="I1027" s="35"/>
      <c r="J1027" s="37">
        <f>F1027-H1027</f>
        <v>29075403.856590629</v>
      </c>
      <c r="K1027" s="37">
        <f t="shared" si="58"/>
        <v>134568962.22466919</v>
      </c>
      <c r="L1027" s="39"/>
      <c r="M1027" s="40"/>
      <c r="N1027" s="40"/>
      <c r="O1027" s="41"/>
    </row>
    <row r="1028" spans="1:17" s="7" customFormat="1" ht="18.75">
      <c r="A1028" s="56"/>
      <c r="B1028" s="30" t="s">
        <v>1151</v>
      </c>
      <c r="C1028" s="31"/>
      <c r="D1028" s="32"/>
      <c r="E1028" s="44"/>
      <c r="F1028" s="34"/>
      <c r="G1028" s="35"/>
      <c r="H1028" s="36"/>
      <c r="I1028" s="35"/>
      <c r="J1028" s="37"/>
      <c r="K1028" s="38">
        <f t="shared" si="58"/>
        <v>163644366.08125982</v>
      </c>
      <c r="L1028" s="39"/>
      <c r="M1028" s="40"/>
      <c r="N1028" s="40"/>
      <c r="O1028" s="41"/>
    </row>
    <row r="1029" spans="1:17" s="7" customFormat="1" ht="18.75">
      <c r="A1029" s="56"/>
      <c r="B1029" s="30"/>
      <c r="C1029" s="31"/>
      <c r="D1029" s="32"/>
      <c r="E1029" s="44"/>
      <c r="F1029" s="34"/>
      <c r="G1029" s="35"/>
      <c r="H1029" s="36"/>
      <c r="I1029" s="35"/>
      <c r="J1029" s="37"/>
      <c r="K1029" s="38"/>
      <c r="L1029" s="39"/>
      <c r="M1029" s="40"/>
      <c r="N1029" s="40"/>
      <c r="O1029" s="41"/>
    </row>
    <row r="1030" spans="1:17" s="7" customFormat="1" ht="18.75">
      <c r="A1030" s="56">
        <v>26</v>
      </c>
      <c r="B1030" s="65" t="s">
        <v>66</v>
      </c>
      <c r="C1030" s="66" t="s">
        <v>1152</v>
      </c>
      <c r="D1030" s="32"/>
      <c r="E1030" s="44"/>
      <c r="F1030" s="83"/>
      <c r="G1030" s="70"/>
      <c r="H1030" s="204">
        <v>22701739.199999999</v>
      </c>
      <c r="I1030" s="205" t="s">
        <v>1153</v>
      </c>
      <c r="J1030" s="37">
        <f t="shared" ref="J1030:J1062" si="59">F1030-H1030</f>
        <v>-22701739.199999999</v>
      </c>
      <c r="K1030" s="110"/>
      <c r="L1030" s="71" t="s">
        <v>1154</v>
      </c>
      <c r="M1030" s="40"/>
      <c r="N1030" s="40"/>
      <c r="O1030" s="41"/>
      <c r="P1030" s="113"/>
      <c r="Q1030" s="206"/>
    </row>
    <row r="1031" spans="1:17" s="7" customFormat="1" ht="18.75">
      <c r="A1031" s="56"/>
      <c r="B1031" s="65"/>
      <c r="C1031" s="29" t="s">
        <v>614</v>
      </c>
      <c r="D1031" s="32" t="s">
        <v>52</v>
      </c>
      <c r="E1031" s="44"/>
      <c r="F1031" s="118">
        <v>18450047.719999999</v>
      </c>
      <c r="G1031" s="119" t="s">
        <v>1155</v>
      </c>
      <c r="H1031" s="204"/>
      <c r="I1031" s="205"/>
      <c r="J1031" s="164">
        <f t="shared" si="59"/>
        <v>18450047.719999999</v>
      </c>
      <c r="K1031" s="110">
        <f>K1030+J1030</f>
        <v>-22701739.199999999</v>
      </c>
      <c r="L1031" s="71" t="s">
        <v>1156</v>
      </c>
      <c r="M1031" s="40"/>
      <c r="N1031" s="40"/>
      <c r="O1031" s="41"/>
      <c r="P1031" s="113"/>
      <c r="Q1031" s="206"/>
    </row>
    <row r="1032" spans="1:17" s="7" customFormat="1" ht="18.75">
      <c r="A1032" s="56"/>
      <c r="B1032" s="65"/>
      <c r="C1032" s="29" t="s">
        <v>1157</v>
      </c>
      <c r="D1032" s="32"/>
      <c r="E1032" s="44"/>
      <c r="F1032" s="118">
        <v>1660552.74</v>
      </c>
      <c r="G1032" s="119"/>
      <c r="H1032" s="204">
        <v>1660552.74</v>
      </c>
      <c r="I1032" s="205"/>
      <c r="J1032" s="164">
        <f t="shared" si="59"/>
        <v>0</v>
      </c>
      <c r="K1032" s="110">
        <f>K1031+J1031</f>
        <v>-4251691.4800000004</v>
      </c>
      <c r="L1032" s="71"/>
      <c r="M1032" s="40"/>
      <c r="N1032" s="40"/>
      <c r="O1032" s="41"/>
      <c r="P1032" s="113"/>
      <c r="Q1032" s="206"/>
    </row>
    <row r="1033" spans="1:17" s="7" customFormat="1" ht="18.75">
      <c r="A1033" s="56"/>
      <c r="B1033" s="109"/>
      <c r="C1033" s="29" t="s">
        <v>506</v>
      </c>
      <c r="D1033" s="32" t="s">
        <v>671</v>
      </c>
      <c r="E1033" s="44"/>
      <c r="F1033" s="95">
        <v>10145422.65</v>
      </c>
      <c r="G1033" s="98">
        <v>43383</v>
      </c>
      <c r="H1033" s="204">
        <v>10170897.279999999</v>
      </c>
      <c r="I1033" s="205" t="s">
        <v>749</v>
      </c>
      <c r="J1033" s="164">
        <f t="shared" si="59"/>
        <v>-25474.629999998957</v>
      </c>
      <c r="K1033" s="110">
        <f>K1032+J1032</f>
        <v>-4251691.4800000004</v>
      </c>
      <c r="L1033" s="71"/>
      <c r="M1033" s="40"/>
      <c r="N1033" s="40"/>
      <c r="O1033" s="41"/>
      <c r="P1033" s="113"/>
      <c r="Q1033" s="206"/>
    </row>
    <row r="1034" spans="1:17" s="7" customFormat="1" ht="18.75">
      <c r="A1034" s="56"/>
      <c r="B1034" s="109"/>
      <c r="C1034" s="111" t="s">
        <v>250</v>
      </c>
      <c r="D1034" s="166" t="s">
        <v>386</v>
      </c>
      <c r="E1034" s="44"/>
      <c r="F1034" s="149">
        <v>4187316.55</v>
      </c>
      <c r="G1034" s="105" t="s">
        <v>525</v>
      </c>
      <c r="H1034" s="204">
        <v>4187316.55</v>
      </c>
      <c r="I1034" s="205" t="s">
        <v>1158</v>
      </c>
      <c r="J1034" s="164">
        <f t="shared" si="59"/>
        <v>0</v>
      </c>
      <c r="K1034" s="110">
        <f t="shared" ref="K1034:K1063" si="60">K1033+J1033</f>
        <v>-4277166.1099999994</v>
      </c>
      <c r="L1034" s="71"/>
      <c r="M1034" s="40"/>
      <c r="N1034" s="40"/>
      <c r="O1034" s="41"/>
      <c r="P1034" s="113"/>
      <c r="Q1034" s="206"/>
    </row>
    <row r="1035" spans="1:17" s="7" customFormat="1" ht="18.75">
      <c r="A1035" s="56"/>
      <c r="B1035" s="109"/>
      <c r="C1035" s="111" t="s">
        <v>139</v>
      </c>
      <c r="D1035" s="166" t="s">
        <v>388</v>
      </c>
      <c r="E1035" s="44"/>
      <c r="F1035" s="149">
        <v>15783509.84</v>
      </c>
      <c r="G1035" s="105" t="s">
        <v>526</v>
      </c>
      <c r="H1035" s="204">
        <v>15783509.84</v>
      </c>
      <c r="I1035" s="205"/>
      <c r="J1035" s="164">
        <f t="shared" si="59"/>
        <v>0</v>
      </c>
      <c r="K1035" s="110">
        <f t="shared" si="60"/>
        <v>-4277166.1099999994</v>
      </c>
      <c r="L1035" s="71"/>
      <c r="M1035" s="40"/>
      <c r="N1035" s="40"/>
      <c r="O1035" s="41"/>
      <c r="P1035" s="113"/>
      <c r="Q1035" s="206"/>
    </row>
    <row r="1036" spans="1:17" s="7" customFormat="1" ht="18.75">
      <c r="A1036" s="56"/>
      <c r="B1036" s="109"/>
      <c r="C1036" s="62" t="s">
        <v>142</v>
      </c>
      <c r="D1036" s="166" t="s">
        <v>39</v>
      </c>
      <c r="E1036" s="44"/>
      <c r="F1036" s="149">
        <v>17271152.226842221</v>
      </c>
      <c r="G1036" s="105" t="s">
        <v>652</v>
      </c>
      <c r="H1036" s="204">
        <v>17271152.23</v>
      </c>
      <c r="I1036" s="205" t="s">
        <v>256</v>
      </c>
      <c r="J1036" s="164">
        <f t="shared" si="59"/>
        <v>-3.1577795743942261E-3</v>
      </c>
      <c r="K1036" s="110">
        <f t="shared" si="60"/>
        <v>-4277166.1099999994</v>
      </c>
      <c r="L1036" s="71"/>
      <c r="M1036" s="40"/>
      <c r="N1036" s="40"/>
      <c r="O1036" s="41"/>
      <c r="P1036" s="113"/>
      <c r="Q1036" s="206"/>
    </row>
    <row r="1037" spans="1:17" s="7" customFormat="1" ht="18.75">
      <c r="A1037" s="56"/>
      <c r="B1037" s="109"/>
      <c r="C1037" s="62" t="s">
        <v>145</v>
      </c>
      <c r="D1037" s="166" t="s">
        <v>390</v>
      </c>
      <c r="E1037" s="44"/>
      <c r="F1037" s="149">
        <v>16327936.548193408</v>
      </c>
      <c r="G1037" s="105" t="s">
        <v>652</v>
      </c>
      <c r="H1037" s="204">
        <v>16327936.550000001</v>
      </c>
      <c r="I1037" s="205" t="s">
        <v>1147</v>
      </c>
      <c r="J1037" s="164">
        <f t="shared" si="59"/>
        <v>-1.8065925687551498E-3</v>
      </c>
      <c r="K1037" s="110">
        <f t="shared" si="60"/>
        <v>-4277166.113157779</v>
      </c>
      <c r="L1037" s="71"/>
      <c r="M1037" s="40"/>
      <c r="N1037" s="40"/>
      <c r="O1037" s="41"/>
      <c r="P1037" s="113"/>
      <c r="Q1037" s="206"/>
    </row>
    <row r="1038" spans="1:17" s="7" customFormat="1" ht="18.75">
      <c r="A1038" s="56"/>
      <c r="B1038" s="29"/>
      <c r="C1038" s="62" t="s">
        <v>148</v>
      </c>
      <c r="D1038" s="166" t="s">
        <v>392</v>
      </c>
      <c r="E1038" s="44"/>
      <c r="F1038" s="149">
        <v>14549838.110044787</v>
      </c>
      <c r="G1038" s="105" t="s">
        <v>769</v>
      </c>
      <c r="H1038" s="204">
        <v>14549838.109999999</v>
      </c>
      <c r="I1038" s="205" t="s">
        <v>1159</v>
      </c>
      <c r="J1038" s="164">
        <f t="shared" si="59"/>
        <v>4.4787302613258362E-5</v>
      </c>
      <c r="K1038" s="110">
        <f t="shared" si="60"/>
        <v>-4277166.1149643715</v>
      </c>
      <c r="L1038" s="71"/>
      <c r="M1038" s="40"/>
      <c r="N1038" s="40"/>
      <c r="O1038" s="41"/>
      <c r="P1038" s="113"/>
      <c r="Q1038" s="206"/>
    </row>
    <row r="1039" spans="1:17" s="7" customFormat="1" ht="18.75">
      <c r="A1039" s="56"/>
      <c r="B1039" s="109"/>
      <c r="C1039" s="62" t="s">
        <v>151</v>
      </c>
      <c r="D1039" s="166" t="s">
        <v>393</v>
      </c>
      <c r="E1039" s="44"/>
      <c r="F1039" s="149">
        <v>18717504.327988461</v>
      </c>
      <c r="G1039" s="105" t="s">
        <v>152</v>
      </c>
      <c r="H1039" s="204">
        <v>18717504.329999998</v>
      </c>
      <c r="I1039" s="205" t="s">
        <v>979</v>
      </c>
      <c r="J1039" s="164">
        <f t="shared" si="59"/>
        <v>-2.0115375518798828E-3</v>
      </c>
      <c r="K1039" s="110">
        <f t="shared" si="60"/>
        <v>-4277166.1149195842</v>
      </c>
      <c r="L1039" s="71"/>
      <c r="M1039" s="40"/>
      <c r="N1039" s="40"/>
      <c r="O1039" s="41"/>
      <c r="P1039" s="113"/>
      <c r="Q1039" s="206"/>
    </row>
    <row r="1040" spans="1:17" s="7" customFormat="1" ht="18.75">
      <c r="A1040" s="56"/>
      <c r="B1040" s="109"/>
      <c r="C1040" s="62" t="s">
        <v>154</v>
      </c>
      <c r="D1040" s="166" t="s">
        <v>528</v>
      </c>
      <c r="E1040" s="44"/>
      <c r="F1040" s="149">
        <v>16731394.332175657</v>
      </c>
      <c r="G1040" s="105" t="s">
        <v>156</v>
      </c>
      <c r="H1040" s="204">
        <v>16731394.33</v>
      </c>
      <c r="I1040" s="205" t="s">
        <v>150</v>
      </c>
      <c r="J1040" s="164">
        <f t="shared" si="59"/>
        <v>2.1756570786237717E-3</v>
      </c>
      <c r="K1040" s="110">
        <f t="shared" si="60"/>
        <v>-4277166.1169311218</v>
      </c>
      <c r="L1040" s="71"/>
      <c r="M1040" s="40"/>
      <c r="N1040" s="40"/>
      <c r="O1040" s="41"/>
      <c r="P1040" s="113"/>
      <c r="Q1040" s="206"/>
    </row>
    <row r="1041" spans="1:17" s="7" customFormat="1" ht="18.75">
      <c r="A1041" s="56"/>
      <c r="B1041" s="109"/>
      <c r="C1041" s="62" t="s">
        <v>158</v>
      </c>
      <c r="D1041" s="166" t="s">
        <v>35</v>
      </c>
      <c r="E1041" s="44"/>
      <c r="F1041" s="149">
        <v>16617849.902456857</v>
      </c>
      <c r="G1041" s="105" t="s">
        <v>160</v>
      </c>
      <c r="H1041" s="204">
        <v>16617849.91</v>
      </c>
      <c r="I1041" s="205" t="s">
        <v>1160</v>
      </c>
      <c r="J1041" s="164">
        <f t="shared" si="59"/>
        <v>-7.5431428849697113E-3</v>
      </c>
      <c r="K1041" s="110">
        <f t="shared" si="60"/>
        <v>-4277166.1147554647</v>
      </c>
      <c r="L1041" s="71"/>
      <c r="M1041" s="40"/>
      <c r="N1041" s="40"/>
      <c r="O1041" s="41"/>
      <c r="P1041" s="113"/>
      <c r="Q1041" s="206"/>
    </row>
    <row r="1042" spans="1:17" s="7" customFormat="1" ht="18.75">
      <c r="A1042" s="56"/>
      <c r="B1042" s="134"/>
      <c r="C1042" s="62" t="s">
        <v>162</v>
      </c>
      <c r="D1042" s="166" t="s">
        <v>530</v>
      </c>
      <c r="E1042" s="44"/>
      <c r="F1042" s="149">
        <v>20942184.513839778</v>
      </c>
      <c r="G1042" s="105" t="s">
        <v>164</v>
      </c>
      <c r="H1042" s="204">
        <v>20942184.510000002</v>
      </c>
      <c r="I1042" s="205" t="s">
        <v>318</v>
      </c>
      <c r="J1042" s="164">
        <f t="shared" si="59"/>
        <v>3.8397759199142456E-3</v>
      </c>
      <c r="K1042" s="110">
        <f t="shared" si="60"/>
        <v>-4277166.1222986076</v>
      </c>
      <c r="L1042" s="71"/>
      <c r="M1042" s="40"/>
      <c r="N1042" s="40"/>
      <c r="O1042" s="41"/>
      <c r="P1042" s="113"/>
      <c r="Q1042" s="206"/>
    </row>
    <row r="1043" spans="1:17" s="7" customFormat="1" ht="18.75">
      <c r="A1043" s="56"/>
      <c r="B1043" s="109"/>
      <c r="C1043" s="62" t="s">
        <v>1161</v>
      </c>
      <c r="D1043" s="166" t="s">
        <v>532</v>
      </c>
      <c r="E1043" s="44"/>
      <c r="F1043" s="149">
        <v>18111887.09</v>
      </c>
      <c r="G1043" s="75" t="s">
        <v>168</v>
      </c>
      <c r="H1043" s="204">
        <v>18338318.140000001</v>
      </c>
      <c r="I1043" s="205" t="s">
        <v>322</v>
      </c>
      <c r="J1043" s="164">
        <f t="shared" si="59"/>
        <v>-226431.05000000075</v>
      </c>
      <c r="K1043" s="110">
        <f t="shared" si="60"/>
        <v>-4277166.1184588317</v>
      </c>
      <c r="L1043" s="71"/>
      <c r="M1043" s="40"/>
      <c r="N1043" s="40"/>
      <c r="O1043" s="41"/>
      <c r="P1043" s="113"/>
      <c r="Q1043" s="206"/>
    </row>
    <row r="1044" spans="1:17" s="7" customFormat="1" ht="18.75">
      <c r="A1044" s="56"/>
      <c r="B1044" s="109"/>
      <c r="C1044" s="62" t="s">
        <v>170</v>
      </c>
      <c r="D1044" s="166" t="s">
        <v>534</v>
      </c>
      <c r="E1044" s="44"/>
      <c r="F1044" s="149">
        <v>16253106.42</v>
      </c>
      <c r="G1044" s="75" t="s">
        <v>172</v>
      </c>
      <c r="H1044" s="204">
        <v>16246389.91</v>
      </c>
      <c r="I1044" s="205" t="s">
        <v>324</v>
      </c>
      <c r="J1044" s="164">
        <f t="shared" si="59"/>
        <v>6716.5099999997765</v>
      </c>
      <c r="K1044" s="110">
        <f t="shared" si="60"/>
        <v>-4503597.1684588324</v>
      </c>
      <c r="L1044" s="71"/>
      <c r="M1044" s="40"/>
      <c r="N1044" s="40"/>
      <c r="O1044" s="41"/>
      <c r="P1044" s="113"/>
      <c r="Q1044" s="206"/>
    </row>
    <row r="1045" spans="1:17" s="7" customFormat="1" ht="18.75">
      <c r="A1045" s="56"/>
      <c r="B1045" s="109"/>
      <c r="C1045" s="62" t="s">
        <v>174</v>
      </c>
      <c r="D1045" s="166" t="s">
        <v>535</v>
      </c>
      <c r="E1045" s="44"/>
      <c r="F1045" s="149">
        <v>14260486.688885745</v>
      </c>
      <c r="G1045" s="75">
        <v>43477</v>
      </c>
      <c r="H1045" s="204">
        <v>14254349.41</v>
      </c>
      <c r="I1045" s="205" t="s">
        <v>520</v>
      </c>
      <c r="J1045" s="164">
        <f t="shared" si="59"/>
        <v>6137.2788857445121</v>
      </c>
      <c r="K1045" s="110">
        <f t="shared" si="60"/>
        <v>-4496880.6584588327</v>
      </c>
      <c r="L1045" s="71"/>
      <c r="M1045" s="40"/>
      <c r="N1045" s="40"/>
      <c r="O1045" s="41"/>
      <c r="P1045" s="113"/>
      <c r="Q1045" s="206"/>
    </row>
    <row r="1046" spans="1:17" s="7" customFormat="1" ht="16.5" customHeight="1">
      <c r="A1046" s="56"/>
      <c r="B1046" s="109"/>
      <c r="C1046" s="62" t="s">
        <v>178</v>
      </c>
      <c r="D1046" s="166" t="s">
        <v>536</v>
      </c>
      <c r="E1046" s="44"/>
      <c r="F1046" s="149">
        <v>21830515.722689308</v>
      </c>
      <c r="G1046" s="75" t="s">
        <v>179</v>
      </c>
      <c r="H1046" s="204">
        <v>21616938.489999998</v>
      </c>
      <c r="I1046" s="205" t="s">
        <v>658</v>
      </c>
      <c r="J1046" s="164">
        <f t="shared" si="59"/>
        <v>213577.23268930987</v>
      </c>
      <c r="K1046" s="110">
        <f t="shared" si="60"/>
        <v>-4490743.3795730881</v>
      </c>
      <c r="L1046" s="71"/>
      <c r="M1046" s="40"/>
      <c r="N1046" s="40"/>
      <c r="O1046" s="41"/>
      <c r="P1046" s="113"/>
      <c r="Q1046" s="206"/>
    </row>
    <row r="1047" spans="1:17" s="7" customFormat="1" ht="18.75">
      <c r="A1047" s="56"/>
      <c r="B1047" s="109"/>
      <c r="C1047" s="62" t="s">
        <v>181</v>
      </c>
      <c r="D1047" s="166" t="s">
        <v>538</v>
      </c>
      <c r="E1047" s="44"/>
      <c r="F1047" s="149">
        <v>22042787.969576113</v>
      </c>
      <c r="G1047" s="75" t="s">
        <v>183</v>
      </c>
      <c r="H1047" s="204">
        <v>22042787.969999999</v>
      </c>
      <c r="I1047" s="205" t="s">
        <v>1162</v>
      </c>
      <c r="J1047" s="164">
        <f t="shared" si="59"/>
        <v>-4.2388588190078735E-4</v>
      </c>
      <c r="K1047" s="110">
        <f t="shared" si="60"/>
        <v>-4277166.1468837783</v>
      </c>
      <c r="L1047" s="71"/>
      <c r="M1047" s="40"/>
      <c r="N1047" s="40"/>
      <c r="O1047" s="41"/>
      <c r="P1047" s="113"/>
      <c r="Q1047" s="206"/>
    </row>
    <row r="1048" spans="1:17" s="7" customFormat="1" ht="18.75">
      <c r="A1048" s="56"/>
      <c r="B1048" s="109"/>
      <c r="C1048" s="62" t="s">
        <v>185</v>
      </c>
      <c r="D1048" s="166" t="s">
        <v>43</v>
      </c>
      <c r="E1048" s="44"/>
      <c r="F1048" s="149">
        <v>27418407.255348269</v>
      </c>
      <c r="G1048" s="75" t="s">
        <v>187</v>
      </c>
      <c r="H1048" s="204">
        <v>27418407.255348269</v>
      </c>
      <c r="I1048" s="205" t="s">
        <v>1163</v>
      </c>
      <c r="J1048" s="164">
        <f t="shared" si="59"/>
        <v>0</v>
      </c>
      <c r="K1048" s="110">
        <f t="shared" si="60"/>
        <v>-4277166.1473076642</v>
      </c>
      <c r="L1048" s="71"/>
      <c r="M1048" s="40"/>
      <c r="N1048" s="40"/>
      <c r="O1048" s="41"/>
      <c r="P1048" s="113"/>
      <c r="Q1048" s="206"/>
    </row>
    <row r="1049" spans="1:17" s="7" customFormat="1" ht="18.75">
      <c r="A1049" s="56"/>
      <c r="B1049" s="109"/>
      <c r="C1049" s="62" t="s">
        <v>189</v>
      </c>
      <c r="D1049" s="166" t="s">
        <v>540</v>
      </c>
      <c r="E1049" s="44"/>
      <c r="F1049" s="149">
        <v>22686157.958534807</v>
      </c>
      <c r="G1049" s="75" t="s">
        <v>377</v>
      </c>
      <c r="H1049" s="204">
        <v>22686157.960000001</v>
      </c>
      <c r="I1049" s="205" t="s">
        <v>331</v>
      </c>
      <c r="J1049" s="164">
        <f t="shared" si="59"/>
        <v>-1.4651939272880554E-3</v>
      </c>
      <c r="K1049" s="110">
        <f t="shared" si="60"/>
        <v>-4277166.1473076642</v>
      </c>
      <c r="L1049" s="71"/>
      <c r="M1049" s="40"/>
      <c r="N1049" s="40"/>
      <c r="O1049" s="41"/>
      <c r="P1049" s="113"/>
      <c r="Q1049" s="206"/>
    </row>
    <row r="1050" spans="1:17" s="7" customFormat="1" ht="18.75">
      <c r="A1050" s="56"/>
      <c r="B1050" s="109"/>
      <c r="C1050" s="62" t="s">
        <v>191</v>
      </c>
      <c r="D1050" s="166" t="s">
        <v>542</v>
      </c>
      <c r="E1050" s="44">
        <v>43986</v>
      </c>
      <c r="F1050" s="149">
        <v>26265946.534867983</v>
      </c>
      <c r="G1050" s="75" t="s">
        <v>193</v>
      </c>
      <c r="H1050" s="204">
        <v>26265946.530000001</v>
      </c>
      <c r="I1050" s="207">
        <v>44048</v>
      </c>
      <c r="J1050" s="164">
        <f t="shared" si="59"/>
        <v>4.8679821193218231E-3</v>
      </c>
      <c r="K1050" s="110">
        <f t="shared" si="60"/>
        <v>-4277166.1487728581</v>
      </c>
      <c r="L1050" s="71"/>
      <c r="M1050" s="40"/>
      <c r="N1050" s="40"/>
      <c r="O1050" s="41"/>
      <c r="P1050" s="113"/>
      <c r="Q1050" s="206"/>
    </row>
    <row r="1051" spans="1:17" s="7" customFormat="1" ht="18.75">
      <c r="A1051" s="56"/>
      <c r="B1051" s="109"/>
      <c r="C1051" s="62" t="s">
        <v>195</v>
      </c>
      <c r="D1051" s="166" t="s">
        <v>543</v>
      </c>
      <c r="E1051" s="44" t="s">
        <v>197</v>
      </c>
      <c r="F1051" s="149">
        <v>20956423.072426956</v>
      </c>
      <c r="G1051" s="75" t="s">
        <v>198</v>
      </c>
      <c r="H1051" s="204">
        <v>20956423.07</v>
      </c>
      <c r="I1051" s="207">
        <v>43867</v>
      </c>
      <c r="J1051" s="164">
        <f t="shared" si="59"/>
        <v>2.4269558489322662E-3</v>
      </c>
      <c r="K1051" s="110">
        <f t="shared" si="60"/>
        <v>-4277166.143904876</v>
      </c>
      <c r="L1051" s="71"/>
      <c r="M1051" s="40"/>
      <c r="N1051" s="40"/>
      <c r="O1051" s="41"/>
      <c r="P1051" s="113"/>
      <c r="Q1051" s="206"/>
    </row>
    <row r="1052" spans="1:17" s="7" customFormat="1" ht="18.75">
      <c r="A1052" s="56"/>
      <c r="B1052" s="109"/>
      <c r="C1052" s="62" t="s">
        <v>199</v>
      </c>
      <c r="D1052" s="166" t="s">
        <v>544</v>
      </c>
      <c r="E1052" s="44">
        <v>44049</v>
      </c>
      <c r="F1052" s="149">
        <v>10260631.732316701</v>
      </c>
      <c r="G1052" s="75">
        <v>43897</v>
      </c>
      <c r="H1052" s="204">
        <v>10260631.73</v>
      </c>
      <c r="I1052" s="207" t="s">
        <v>1101</v>
      </c>
      <c r="J1052" s="164">
        <f t="shared" si="59"/>
        <v>2.3167002946138382E-3</v>
      </c>
      <c r="K1052" s="110">
        <f t="shared" si="60"/>
        <v>-4277166.1414779201</v>
      </c>
      <c r="L1052" s="71"/>
      <c r="M1052" s="40"/>
      <c r="N1052" s="40"/>
      <c r="O1052" s="41"/>
      <c r="P1052" s="113"/>
      <c r="Q1052" s="206"/>
    </row>
    <row r="1053" spans="1:17" s="7" customFormat="1" ht="18.75">
      <c r="A1053" s="56"/>
      <c r="B1053" s="109"/>
      <c r="C1053" s="62" t="s">
        <v>201</v>
      </c>
      <c r="D1053" s="166" t="s">
        <v>545</v>
      </c>
      <c r="E1053" s="44">
        <v>44050</v>
      </c>
      <c r="F1053" s="149">
        <v>13165521.5266071</v>
      </c>
      <c r="G1053" s="75">
        <v>43929</v>
      </c>
      <c r="H1053" s="204">
        <v>13165521.529999999</v>
      </c>
      <c r="I1053" s="207" t="s">
        <v>855</v>
      </c>
      <c r="J1053" s="164">
        <f t="shared" si="59"/>
        <v>-3.3928994089365005E-3</v>
      </c>
      <c r="K1053" s="110">
        <f t="shared" si="60"/>
        <v>-4277166.1391612198</v>
      </c>
      <c r="L1053" s="71"/>
      <c r="M1053" s="40"/>
      <c r="N1053" s="40"/>
      <c r="O1053" s="41"/>
      <c r="P1053" s="113"/>
      <c r="Q1053" s="206"/>
    </row>
    <row r="1054" spans="1:17" s="7" customFormat="1" ht="18.75">
      <c r="A1054" s="56"/>
      <c r="B1054" s="109"/>
      <c r="C1054" s="62" t="s">
        <v>203</v>
      </c>
      <c r="D1054" s="166" t="s">
        <v>38</v>
      </c>
      <c r="E1054" s="44">
        <v>44020</v>
      </c>
      <c r="F1054" s="149">
        <v>18653446.744790878</v>
      </c>
      <c r="G1054" s="75" t="s">
        <v>450</v>
      </c>
      <c r="H1054" s="204">
        <v>18653446.739999998</v>
      </c>
      <c r="I1054" s="207" t="s">
        <v>1164</v>
      </c>
      <c r="J1054" s="164">
        <f t="shared" si="59"/>
        <v>4.7908797860145569E-3</v>
      </c>
      <c r="K1054" s="110">
        <f t="shared" si="60"/>
        <v>-4277166.1425541192</v>
      </c>
      <c r="L1054" s="71"/>
      <c r="M1054" s="40"/>
      <c r="N1054" s="40"/>
      <c r="O1054" s="41"/>
      <c r="P1054" s="113"/>
      <c r="Q1054" s="206"/>
    </row>
    <row r="1055" spans="1:17" s="7" customFormat="1" ht="18.75">
      <c r="A1055" s="56"/>
      <c r="B1055" s="109"/>
      <c r="C1055" s="62" t="s">
        <v>207</v>
      </c>
      <c r="D1055" s="166" t="s">
        <v>548</v>
      </c>
      <c r="E1055" s="44" t="s">
        <v>209</v>
      </c>
      <c r="F1055" s="149">
        <v>13904420.593214197</v>
      </c>
      <c r="G1055" s="75" t="s">
        <v>210</v>
      </c>
      <c r="H1055" s="204">
        <v>13904420.59</v>
      </c>
      <c r="I1055" s="207" t="s">
        <v>1165</v>
      </c>
      <c r="J1055" s="164">
        <f t="shared" si="59"/>
        <v>3.2141972333192825E-3</v>
      </c>
      <c r="K1055" s="110">
        <f t="shared" si="60"/>
        <v>-4277166.1377632394</v>
      </c>
      <c r="L1055" s="71"/>
      <c r="M1055" s="40"/>
      <c r="N1055" s="40"/>
      <c r="O1055" s="41"/>
      <c r="P1055" s="113"/>
      <c r="Q1055" s="206"/>
    </row>
    <row r="1056" spans="1:17" s="7" customFormat="1" ht="18.75">
      <c r="A1056" s="56"/>
      <c r="B1056" s="109"/>
      <c r="C1056" s="62" t="s">
        <v>212</v>
      </c>
      <c r="D1056" s="166" t="s">
        <v>550</v>
      </c>
      <c r="E1056" s="44">
        <v>44084</v>
      </c>
      <c r="F1056" s="149">
        <v>12617117.879084889</v>
      </c>
      <c r="G1056" s="75" t="s">
        <v>213</v>
      </c>
      <c r="H1056" s="204">
        <v>12617117.880000001</v>
      </c>
      <c r="I1056" s="207" t="s">
        <v>1166</v>
      </c>
      <c r="J1056" s="164">
        <f t="shared" si="59"/>
        <v>-9.151119738817215E-4</v>
      </c>
      <c r="K1056" s="110">
        <f t="shared" si="60"/>
        <v>-4277166.1345490422</v>
      </c>
      <c r="L1056" s="71"/>
      <c r="M1056" s="40"/>
      <c r="N1056" s="40"/>
      <c r="O1056" s="41"/>
      <c r="P1056" s="113"/>
      <c r="Q1056" s="206"/>
    </row>
    <row r="1057" spans="1:17" s="7" customFormat="1" ht="18.75">
      <c r="A1057" s="56"/>
      <c r="B1057" s="109"/>
      <c r="C1057" s="62" t="s">
        <v>214</v>
      </c>
      <c r="D1057" s="166" t="s">
        <v>113</v>
      </c>
      <c r="E1057" s="44">
        <v>43962</v>
      </c>
      <c r="F1057" s="149">
        <v>11318257.179449966</v>
      </c>
      <c r="G1057" s="75" t="s">
        <v>216</v>
      </c>
      <c r="H1057" s="204">
        <v>11318257.18</v>
      </c>
      <c r="I1057" s="207">
        <v>44176</v>
      </c>
      <c r="J1057" s="164">
        <f t="shared" si="59"/>
        <v>-5.5003352463245392E-4</v>
      </c>
      <c r="K1057" s="110">
        <f t="shared" si="60"/>
        <v>-4277166.1354641542</v>
      </c>
      <c r="L1057" s="71"/>
      <c r="M1057" s="40"/>
      <c r="N1057" s="40"/>
      <c r="O1057" s="41"/>
      <c r="P1057" s="113"/>
      <c r="Q1057" s="206"/>
    </row>
    <row r="1058" spans="1:17" s="7" customFormat="1" ht="18.75">
      <c r="A1058" s="56"/>
      <c r="B1058" s="109"/>
      <c r="C1058" s="62" t="s">
        <v>218</v>
      </c>
      <c r="D1058" s="166" t="s">
        <v>229</v>
      </c>
      <c r="E1058" s="44">
        <v>44024</v>
      </c>
      <c r="F1058" s="149">
        <v>9911323.3506285474</v>
      </c>
      <c r="G1058" s="75">
        <v>44531</v>
      </c>
      <c r="H1058" s="204">
        <v>9911323.3506285474</v>
      </c>
      <c r="I1058" s="207" t="s">
        <v>1167</v>
      </c>
      <c r="J1058" s="164">
        <f t="shared" si="59"/>
        <v>0</v>
      </c>
      <c r="K1058" s="110">
        <f t="shared" si="60"/>
        <v>-4277166.1360141877</v>
      </c>
      <c r="L1058" s="71"/>
      <c r="M1058" s="40"/>
      <c r="N1058" s="40"/>
      <c r="O1058" s="41"/>
      <c r="P1058" s="113"/>
      <c r="Q1058" s="206"/>
    </row>
    <row r="1059" spans="1:17" s="7" customFormat="1" ht="18.75">
      <c r="A1059" s="56"/>
      <c r="B1059" s="109"/>
      <c r="C1059" s="62" t="s">
        <v>219</v>
      </c>
      <c r="D1059" s="166" t="s">
        <v>232</v>
      </c>
      <c r="E1059" s="44">
        <v>44409</v>
      </c>
      <c r="F1059" s="149">
        <v>12067829.769844301</v>
      </c>
      <c r="G1059" s="75" t="s">
        <v>220</v>
      </c>
      <c r="H1059" s="204">
        <v>12067829.77</v>
      </c>
      <c r="I1059" s="207" t="s">
        <v>1072</v>
      </c>
      <c r="J1059" s="164">
        <f t="shared" si="59"/>
        <v>-1.556985080242157E-4</v>
      </c>
      <c r="K1059" s="110">
        <f t="shared" si="60"/>
        <v>-4277166.1360141877</v>
      </c>
      <c r="L1059" s="71"/>
      <c r="M1059" s="40"/>
      <c r="N1059" s="40"/>
      <c r="O1059" s="41"/>
      <c r="P1059" s="113"/>
      <c r="Q1059" s="206"/>
    </row>
    <row r="1060" spans="1:17" s="7" customFormat="1" ht="18.75">
      <c r="A1060" s="56"/>
      <c r="B1060" s="109"/>
      <c r="C1060" s="62" t="s">
        <v>221</v>
      </c>
      <c r="D1060" s="166" t="s">
        <v>235</v>
      </c>
      <c r="E1060" s="44">
        <v>44441</v>
      </c>
      <c r="F1060" s="149">
        <v>9123110.6764522716</v>
      </c>
      <c r="G1060" s="75">
        <v>44289</v>
      </c>
      <c r="H1060" s="204">
        <v>9123110.6764522716</v>
      </c>
      <c r="I1060" s="207" t="s">
        <v>47</v>
      </c>
      <c r="J1060" s="164">
        <f t="shared" si="59"/>
        <v>0</v>
      </c>
      <c r="K1060" s="110">
        <f t="shared" si="60"/>
        <v>-4277166.1361698862</v>
      </c>
      <c r="L1060" s="71"/>
      <c r="M1060" s="40"/>
      <c r="N1060" s="40"/>
      <c r="O1060" s="41"/>
      <c r="P1060" s="113"/>
      <c r="Q1060" s="206"/>
    </row>
    <row r="1061" spans="1:17" s="7" customFormat="1" ht="18.75">
      <c r="A1061" s="56"/>
      <c r="B1061" s="109"/>
      <c r="C1061" s="62" t="s">
        <v>222</v>
      </c>
      <c r="D1061" s="166" t="s">
        <v>237</v>
      </c>
      <c r="E1061" s="44">
        <v>44472</v>
      </c>
      <c r="F1061" s="149">
        <v>8319612.8126016669</v>
      </c>
      <c r="G1061" s="75" t="s">
        <v>391</v>
      </c>
      <c r="H1061" s="204">
        <v>8319612.8099999996</v>
      </c>
      <c r="I1061" s="207" t="s">
        <v>48</v>
      </c>
      <c r="J1061" s="164">
        <f t="shared" si="59"/>
        <v>2.6016673073172569E-3</v>
      </c>
      <c r="K1061" s="110">
        <f t="shared" si="60"/>
        <v>-4277166.1361698862</v>
      </c>
      <c r="L1061" s="71"/>
      <c r="M1061" s="40"/>
      <c r="N1061" s="40"/>
      <c r="O1061" s="41"/>
      <c r="P1061" s="113"/>
      <c r="Q1061" s="206"/>
    </row>
    <row r="1062" spans="1:17" s="7" customFormat="1" ht="18.75">
      <c r="A1062" s="56"/>
      <c r="B1062" s="109"/>
      <c r="C1062" s="62" t="s">
        <v>349</v>
      </c>
      <c r="D1062" s="166" t="s">
        <v>33</v>
      </c>
      <c r="E1062" s="44">
        <v>44534</v>
      </c>
      <c r="F1062" s="149">
        <v>13081766.61204567</v>
      </c>
      <c r="G1062" s="75" t="s">
        <v>1081</v>
      </c>
      <c r="H1062" s="204">
        <v>13081766.609999999</v>
      </c>
      <c r="I1062" s="207" t="s">
        <v>1168</v>
      </c>
      <c r="J1062" s="164">
        <f t="shared" si="59"/>
        <v>2.0456705242395401E-3</v>
      </c>
      <c r="K1062" s="110">
        <f t="shared" si="60"/>
        <v>-4277166.1335682189</v>
      </c>
      <c r="L1062" s="71"/>
      <c r="M1062" s="40"/>
      <c r="N1062" s="40"/>
      <c r="O1062" s="41"/>
      <c r="P1062" s="113"/>
      <c r="Q1062" s="206"/>
    </row>
    <row r="1063" spans="1:17" s="7" customFormat="1" ht="18.75">
      <c r="A1063" s="56"/>
      <c r="B1063" s="65" t="s">
        <v>1169</v>
      </c>
      <c r="C1063" s="41"/>
      <c r="D1063" s="32"/>
      <c r="E1063" s="44"/>
      <c r="F1063" s="34"/>
      <c r="G1063" s="76"/>
      <c r="H1063" s="47"/>
      <c r="I1063" s="205"/>
      <c r="J1063" s="164"/>
      <c r="K1063" s="116">
        <f t="shared" si="60"/>
        <v>-4277166.1315225484</v>
      </c>
      <c r="L1063" s="71"/>
      <c r="M1063" s="40"/>
      <c r="N1063" s="40"/>
      <c r="O1063" s="41" t="s">
        <v>243</v>
      </c>
      <c r="P1063" s="113" t="s">
        <v>1053</v>
      </c>
      <c r="Q1063" s="206">
        <v>15462036.310857568</v>
      </c>
    </row>
    <row r="1064" spans="1:17" s="7" customFormat="1" ht="18.75">
      <c r="A1064" s="56"/>
      <c r="B1064" s="85"/>
      <c r="C1064" s="41"/>
      <c r="D1064" s="32"/>
      <c r="E1064" s="44"/>
      <c r="F1064" s="86"/>
      <c r="G1064" s="76"/>
      <c r="H1064" s="208"/>
      <c r="I1064" s="205"/>
      <c r="J1064" s="209"/>
      <c r="K1064" s="116"/>
      <c r="L1064" s="71"/>
      <c r="M1064" s="40"/>
      <c r="N1064" s="40"/>
      <c r="O1064" s="41"/>
    </row>
    <row r="1065" spans="1:17" s="7" customFormat="1" ht="18.75">
      <c r="A1065" s="56">
        <v>27</v>
      </c>
      <c r="B1065" s="210" t="s">
        <v>67</v>
      </c>
      <c r="C1065" s="66" t="s">
        <v>1152</v>
      </c>
      <c r="D1065" s="32"/>
      <c r="E1065" s="44"/>
      <c r="F1065" s="83"/>
      <c r="G1065" s="70"/>
      <c r="H1065" s="204">
        <v>3670033.32</v>
      </c>
      <c r="I1065" s="205" t="s">
        <v>1170</v>
      </c>
      <c r="J1065" s="37">
        <f>F1065-H1065</f>
        <v>-3670033.32</v>
      </c>
      <c r="K1065" s="41">
        <v>0</v>
      </c>
      <c r="L1065" s="71" t="s">
        <v>1154</v>
      </c>
      <c r="M1065" s="40"/>
      <c r="N1065" s="40"/>
      <c r="O1065" s="41"/>
    </row>
    <row r="1066" spans="1:17" s="7" customFormat="1" ht="18.75">
      <c r="A1066" s="56"/>
      <c r="B1066" s="65"/>
      <c r="C1066" s="66" t="s">
        <v>1171</v>
      </c>
      <c r="D1066" s="32" t="s">
        <v>140</v>
      </c>
      <c r="E1066" s="44"/>
      <c r="F1066" s="211">
        <v>5968217.1699999999</v>
      </c>
      <c r="G1066" s="207" t="s">
        <v>1172</v>
      </c>
      <c r="H1066" s="47">
        <v>5968217.1699999999</v>
      </c>
      <c r="I1066" s="205" t="s">
        <v>1173</v>
      </c>
      <c r="J1066" s="37">
        <f t="shared" ref="J1066:J1091" si="61">F1066-H1066</f>
        <v>0</v>
      </c>
      <c r="K1066" s="110">
        <f>J1065+K1065</f>
        <v>-3670033.32</v>
      </c>
      <c r="L1066" s="71"/>
      <c r="M1066" s="40"/>
      <c r="N1066" s="40"/>
      <c r="O1066" s="41"/>
    </row>
    <row r="1067" spans="1:17" s="7" customFormat="1" ht="18.75">
      <c r="A1067" s="56"/>
      <c r="B1067" s="65"/>
      <c r="C1067" s="212" t="s">
        <v>1174</v>
      </c>
      <c r="D1067" s="32" t="s">
        <v>120</v>
      </c>
      <c r="E1067" s="44"/>
      <c r="F1067" s="213">
        <v>3821251.43</v>
      </c>
      <c r="G1067" s="96"/>
      <c r="H1067" s="47"/>
      <c r="I1067" s="205"/>
      <c r="J1067" s="37">
        <f t="shared" si="61"/>
        <v>3821251.43</v>
      </c>
      <c r="K1067" s="110">
        <f t="shared" ref="K1067:K1090" si="62">J1066+K1066</f>
        <v>-3670033.32</v>
      </c>
      <c r="L1067" s="71"/>
      <c r="M1067" s="40"/>
      <c r="N1067" s="40"/>
      <c r="O1067" s="41"/>
    </row>
    <row r="1068" spans="1:17" s="7" customFormat="1" ht="18.75">
      <c r="A1068" s="56"/>
      <c r="B1068" s="65"/>
      <c r="C1068" s="212" t="s">
        <v>1175</v>
      </c>
      <c r="D1068" s="32" t="s">
        <v>146</v>
      </c>
      <c r="E1068" s="44"/>
      <c r="F1068" s="213">
        <v>1170425.26</v>
      </c>
      <c r="G1068" s="96"/>
      <c r="H1068" s="47">
        <v>4991676.68</v>
      </c>
      <c r="I1068" s="205" t="s">
        <v>1176</v>
      </c>
      <c r="J1068" s="37">
        <f t="shared" si="61"/>
        <v>-3821251.42</v>
      </c>
      <c r="K1068" s="110">
        <f t="shared" si="62"/>
        <v>151218.11000000034</v>
      </c>
      <c r="L1068" s="71"/>
      <c r="M1068" s="40"/>
      <c r="N1068" s="40"/>
      <c r="O1068" s="41"/>
    </row>
    <row r="1069" spans="1:17" s="7" customFormat="1" ht="18.75">
      <c r="A1069" s="56"/>
      <c r="B1069" s="65"/>
      <c r="C1069" s="111" t="s">
        <v>1177</v>
      </c>
      <c r="D1069" s="103" t="s">
        <v>80</v>
      </c>
      <c r="E1069" s="44"/>
      <c r="F1069" s="214">
        <v>5335917.7</v>
      </c>
      <c r="G1069" s="105"/>
      <c r="H1069" s="47">
        <v>5335917.7</v>
      </c>
      <c r="I1069" s="205" t="s">
        <v>477</v>
      </c>
      <c r="J1069" s="37">
        <f t="shared" si="61"/>
        <v>0</v>
      </c>
      <c r="K1069" s="110">
        <f t="shared" si="62"/>
        <v>-3670033.3099999996</v>
      </c>
      <c r="L1069" s="71"/>
      <c r="M1069" s="40"/>
      <c r="N1069" s="40"/>
      <c r="O1069" s="41"/>
    </row>
    <row r="1070" spans="1:17" s="7" customFormat="1" ht="18.75">
      <c r="A1070" s="56"/>
      <c r="B1070" s="65"/>
      <c r="C1070" s="111" t="s">
        <v>1178</v>
      </c>
      <c r="D1070" s="103" t="s">
        <v>124</v>
      </c>
      <c r="E1070" s="44"/>
      <c r="F1070" s="214">
        <v>1655047.99</v>
      </c>
      <c r="G1070" s="105"/>
      <c r="H1070" s="47">
        <v>1655047.99</v>
      </c>
      <c r="I1070" s="205" t="s">
        <v>1179</v>
      </c>
      <c r="J1070" s="37">
        <f t="shared" si="61"/>
        <v>0</v>
      </c>
      <c r="K1070" s="110">
        <f t="shared" si="62"/>
        <v>-3670033.3099999996</v>
      </c>
      <c r="L1070" s="71"/>
      <c r="M1070" s="40"/>
      <c r="N1070" s="40"/>
      <c r="O1070" s="41"/>
    </row>
    <row r="1071" spans="1:17" s="7" customFormat="1" ht="18.75">
      <c r="A1071" s="56"/>
      <c r="B1071" s="65"/>
      <c r="C1071" s="111" t="s">
        <v>401</v>
      </c>
      <c r="D1071" s="103" t="s">
        <v>155</v>
      </c>
      <c r="E1071" s="44"/>
      <c r="F1071" s="214">
        <v>2552427.91</v>
      </c>
      <c r="G1071" s="105" t="s">
        <v>1180</v>
      </c>
      <c r="H1071" s="47"/>
      <c r="I1071" s="205"/>
      <c r="J1071" s="37">
        <f t="shared" si="61"/>
        <v>2552427.91</v>
      </c>
      <c r="K1071" s="110">
        <f t="shared" si="62"/>
        <v>-3670033.3099999996</v>
      </c>
      <c r="L1071" s="71"/>
      <c r="M1071" s="40"/>
      <c r="N1071" s="40"/>
      <c r="O1071" s="41"/>
    </row>
    <row r="1072" spans="1:17" s="7" customFormat="1" ht="18.75">
      <c r="A1072" s="56"/>
      <c r="B1072" s="65"/>
      <c r="C1072" s="111" t="s">
        <v>1181</v>
      </c>
      <c r="D1072" s="103" t="s">
        <v>159</v>
      </c>
      <c r="E1072" s="44"/>
      <c r="F1072" s="214">
        <v>6025886.4199999999</v>
      </c>
      <c r="G1072" s="105"/>
      <c r="H1072" s="47">
        <v>6025886.4199999999</v>
      </c>
      <c r="I1072" s="205" t="s">
        <v>1182</v>
      </c>
      <c r="J1072" s="37">
        <f t="shared" si="61"/>
        <v>0</v>
      </c>
      <c r="K1072" s="110">
        <f t="shared" si="62"/>
        <v>-1117605.3999999994</v>
      </c>
      <c r="L1072" s="71"/>
      <c r="M1072" s="40"/>
      <c r="N1072" s="40"/>
      <c r="O1072" s="41"/>
    </row>
    <row r="1073" spans="1:15" s="7" customFormat="1" ht="18.75">
      <c r="A1073" s="56"/>
      <c r="B1073" s="65"/>
      <c r="C1073" s="111" t="s">
        <v>1183</v>
      </c>
      <c r="D1073" s="103" t="s">
        <v>163</v>
      </c>
      <c r="E1073" s="44"/>
      <c r="F1073" s="214">
        <v>2947738.28</v>
      </c>
      <c r="G1073" s="105"/>
      <c r="H1073" s="47">
        <v>2947738.28</v>
      </c>
      <c r="I1073" s="205" t="s">
        <v>1131</v>
      </c>
      <c r="J1073" s="37">
        <f t="shared" si="61"/>
        <v>0</v>
      </c>
      <c r="K1073" s="110">
        <f t="shared" si="62"/>
        <v>-1117605.3999999994</v>
      </c>
      <c r="L1073" s="71"/>
      <c r="M1073" s="40"/>
      <c r="N1073" s="40"/>
      <c r="O1073" s="41"/>
    </row>
    <row r="1074" spans="1:15" s="7" customFormat="1" ht="18.75">
      <c r="A1074" s="56"/>
      <c r="B1074" s="65"/>
      <c r="C1074" s="111" t="s">
        <v>1184</v>
      </c>
      <c r="D1074" s="103" t="s">
        <v>167</v>
      </c>
      <c r="E1074" s="44"/>
      <c r="F1074" s="214">
        <v>8645531.4499999993</v>
      </c>
      <c r="G1074" s="105"/>
      <c r="H1074" s="47">
        <v>8645531.4499999993</v>
      </c>
      <c r="I1074" s="205" t="s">
        <v>1185</v>
      </c>
      <c r="J1074" s="37">
        <f t="shared" si="61"/>
        <v>0</v>
      </c>
      <c r="K1074" s="110">
        <f t="shared" si="62"/>
        <v>-1117605.3999999994</v>
      </c>
      <c r="L1074" s="71"/>
      <c r="M1074" s="40"/>
      <c r="N1074" s="40"/>
      <c r="O1074" s="41"/>
    </row>
    <row r="1075" spans="1:15" s="7" customFormat="1" ht="18.75">
      <c r="A1075" s="56"/>
      <c r="B1075" s="65"/>
      <c r="C1075" s="111" t="s">
        <v>1186</v>
      </c>
      <c r="D1075" s="103" t="s">
        <v>111</v>
      </c>
      <c r="E1075" s="44"/>
      <c r="F1075" s="214">
        <v>7374400.3799999999</v>
      </c>
      <c r="G1075" s="105"/>
      <c r="H1075" s="47">
        <v>7374400.3799999999</v>
      </c>
      <c r="I1075" s="205" t="s">
        <v>1187</v>
      </c>
      <c r="J1075" s="37">
        <f t="shared" si="61"/>
        <v>0</v>
      </c>
      <c r="K1075" s="110">
        <f t="shared" si="62"/>
        <v>-1117605.3999999994</v>
      </c>
      <c r="L1075" s="71"/>
      <c r="M1075" s="40"/>
      <c r="N1075" s="40"/>
      <c r="O1075" s="41"/>
    </row>
    <row r="1076" spans="1:15" s="7" customFormat="1" ht="18.75">
      <c r="A1076" s="56"/>
      <c r="B1076" s="65"/>
      <c r="C1076" s="111" t="s">
        <v>1188</v>
      </c>
      <c r="D1076" s="103" t="s">
        <v>192</v>
      </c>
      <c r="E1076" s="44"/>
      <c r="F1076" s="214">
        <v>26306.63</v>
      </c>
      <c r="G1076" s="105"/>
      <c r="H1076" s="47">
        <v>26306.63</v>
      </c>
      <c r="I1076" s="205" t="s">
        <v>1189</v>
      </c>
      <c r="J1076" s="37">
        <f t="shared" si="61"/>
        <v>0</v>
      </c>
      <c r="K1076" s="110">
        <f t="shared" si="62"/>
        <v>-1117605.3999999994</v>
      </c>
      <c r="L1076" s="71"/>
      <c r="M1076" s="40"/>
      <c r="N1076" s="40"/>
      <c r="O1076" s="41"/>
    </row>
    <row r="1077" spans="1:15" s="7" customFormat="1" ht="18.75">
      <c r="A1077" s="56"/>
      <c r="B1077" s="65"/>
      <c r="C1077" s="111" t="s">
        <v>1190</v>
      </c>
      <c r="D1077" s="103" t="s">
        <v>41</v>
      </c>
      <c r="E1077" s="44"/>
      <c r="F1077" s="214">
        <v>5687505.1699999999</v>
      </c>
      <c r="G1077" s="105"/>
      <c r="H1077" s="47">
        <v>5687505.1699999999</v>
      </c>
      <c r="I1077" s="205" t="s">
        <v>1191</v>
      </c>
      <c r="J1077" s="37">
        <f t="shared" si="61"/>
        <v>0</v>
      </c>
      <c r="K1077" s="110">
        <f t="shared" si="62"/>
        <v>-1117605.3999999994</v>
      </c>
      <c r="L1077" s="71"/>
      <c r="M1077" s="40"/>
      <c r="N1077" s="40"/>
      <c r="O1077" s="41"/>
    </row>
    <row r="1078" spans="1:15" s="7" customFormat="1" ht="18.75">
      <c r="A1078" s="56"/>
      <c r="B1078" s="65"/>
      <c r="C1078" s="111" t="s">
        <v>1192</v>
      </c>
      <c r="D1078" s="103" t="s">
        <v>359</v>
      </c>
      <c r="E1078" s="44"/>
      <c r="F1078" s="214">
        <v>7504379.2300000004</v>
      </c>
      <c r="G1078" s="105"/>
      <c r="H1078" s="47">
        <v>7504379.2300000004</v>
      </c>
      <c r="I1078" s="205" t="s">
        <v>1193</v>
      </c>
      <c r="J1078" s="37">
        <f t="shared" si="61"/>
        <v>0</v>
      </c>
      <c r="K1078" s="110">
        <f t="shared" si="62"/>
        <v>-1117605.3999999994</v>
      </c>
      <c r="L1078" s="71"/>
      <c r="M1078" s="40"/>
      <c r="N1078" s="40"/>
      <c r="O1078" s="41"/>
    </row>
    <row r="1079" spans="1:15" s="7" customFormat="1" ht="18.75">
      <c r="A1079" s="56"/>
      <c r="B1079" s="65"/>
      <c r="C1079" s="111" t="s">
        <v>1194</v>
      </c>
      <c r="D1079" s="103" t="s">
        <v>202</v>
      </c>
      <c r="E1079" s="44"/>
      <c r="F1079" s="214">
        <v>1641921.89</v>
      </c>
      <c r="G1079" s="105"/>
      <c r="H1079" s="47">
        <v>1641921.89</v>
      </c>
      <c r="I1079" s="205" t="s">
        <v>801</v>
      </c>
      <c r="J1079" s="37">
        <f t="shared" si="61"/>
        <v>0</v>
      </c>
      <c r="K1079" s="110">
        <f t="shared" si="62"/>
        <v>-1117605.3999999994</v>
      </c>
      <c r="L1079" s="71"/>
      <c r="M1079" s="40"/>
      <c r="N1079" s="40"/>
      <c r="O1079" s="41"/>
    </row>
    <row r="1080" spans="1:15" s="7" customFormat="1" ht="18.75">
      <c r="A1080" s="56"/>
      <c r="B1080" s="65"/>
      <c r="C1080" s="111" t="s">
        <v>1195</v>
      </c>
      <c r="D1080" s="103" t="s">
        <v>204</v>
      </c>
      <c r="E1080" s="44"/>
      <c r="F1080" s="214">
        <v>6284983.3899999997</v>
      </c>
      <c r="G1080" s="105"/>
      <c r="H1080" s="47">
        <v>6284983.3899999997</v>
      </c>
      <c r="I1080" s="205" t="s">
        <v>230</v>
      </c>
      <c r="J1080" s="37">
        <f t="shared" si="61"/>
        <v>0</v>
      </c>
      <c r="K1080" s="110">
        <f t="shared" si="62"/>
        <v>-1117605.3999999994</v>
      </c>
      <c r="L1080" s="71"/>
      <c r="M1080" s="40"/>
      <c r="N1080" s="40"/>
      <c r="O1080" s="41"/>
    </row>
    <row r="1081" spans="1:15" s="7" customFormat="1" ht="18.75">
      <c r="A1081" s="56"/>
      <c r="B1081" s="65"/>
      <c r="C1081" s="111" t="s">
        <v>243</v>
      </c>
      <c r="D1081" s="103" t="s">
        <v>1196</v>
      </c>
      <c r="E1081" s="44"/>
      <c r="F1081" s="214">
        <v>5042722.7503379993</v>
      </c>
      <c r="G1081" s="105"/>
      <c r="H1081" s="47"/>
      <c r="I1081" s="205"/>
      <c r="J1081" s="37">
        <f t="shared" si="61"/>
        <v>5042722.7503379993</v>
      </c>
      <c r="K1081" s="110">
        <f t="shared" si="62"/>
        <v>-1117605.3999999994</v>
      </c>
      <c r="L1081" s="71"/>
      <c r="M1081" s="40"/>
      <c r="N1081" s="40"/>
      <c r="O1081" s="41"/>
    </row>
    <row r="1082" spans="1:15" s="7" customFormat="1" ht="18.75">
      <c r="A1082" s="56"/>
      <c r="B1082" s="65"/>
      <c r="C1082" s="111" t="s">
        <v>250</v>
      </c>
      <c r="D1082" s="103" t="s">
        <v>52</v>
      </c>
      <c r="E1082" s="44"/>
      <c r="F1082" s="214">
        <v>4753963.6399999997</v>
      </c>
      <c r="G1082" s="105" t="s">
        <v>1137</v>
      </c>
      <c r="H1082" s="47">
        <v>9796686.3900000006</v>
      </c>
      <c r="I1082" s="205" t="s">
        <v>878</v>
      </c>
      <c r="J1082" s="37">
        <f t="shared" si="61"/>
        <v>-5042722.7500000009</v>
      </c>
      <c r="K1082" s="110">
        <f t="shared" si="62"/>
        <v>3925117.3503379999</v>
      </c>
      <c r="L1082" s="71"/>
      <c r="M1082" s="40"/>
      <c r="N1082" s="40"/>
      <c r="O1082" s="41"/>
    </row>
    <row r="1083" spans="1:15" s="7" customFormat="1" ht="18.75">
      <c r="A1083" s="56"/>
      <c r="B1083" s="65"/>
      <c r="C1083" s="111" t="s">
        <v>151</v>
      </c>
      <c r="D1083" s="103" t="s">
        <v>215</v>
      </c>
      <c r="E1083" s="44"/>
      <c r="F1083" s="214">
        <v>1472562.66</v>
      </c>
      <c r="G1083" s="105"/>
      <c r="H1083" s="47"/>
      <c r="I1083" s="205"/>
      <c r="J1083" s="37">
        <f t="shared" si="61"/>
        <v>1472562.66</v>
      </c>
      <c r="K1083" s="110">
        <f t="shared" si="62"/>
        <v>-1117605.3996620011</v>
      </c>
      <c r="L1083" s="71"/>
      <c r="M1083" s="40"/>
      <c r="N1083" s="40"/>
      <c r="O1083" s="41"/>
    </row>
    <row r="1084" spans="1:15" s="7" customFormat="1" ht="18.75">
      <c r="A1084" s="56"/>
      <c r="B1084" s="65"/>
      <c r="C1084" s="111" t="s">
        <v>154</v>
      </c>
      <c r="D1084" s="103" t="s">
        <v>65</v>
      </c>
      <c r="E1084" s="44"/>
      <c r="F1084" s="214">
        <v>5605706.1695460007</v>
      </c>
      <c r="G1084" s="105" t="s">
        <v>1197</v>
      </c>
      <c r="H1084" s="47"/>
      <c r="I1084" s="205"/>
      <c r="J1084" s="37">
        <f t="shared" si="61"/>
        <v>5605706.1695460007</v>
      </c>
      <c r="K1084" s="110">
        <f t="shared" si="62"/>
        <v>354957.26033799886</v>
      </c>
      <c r="L1084" s="71"/>
      <c r="M1084" s="40"/>
      <c r="N1084" s="40"/>
      <c r="O1084" s="41"/>
    </row>
    <row r="1085" spans="1:15" s="7" customFormat="1" ht="18.75">
      <c r="A1085" s="56"/>
      <c r="B1085" s="65"/>
      <c r="C1085" s="111" t="s">
        <v>158</v>
      </c>
      <c r="D1085" s="103" t="s">
        <v>71</v>
      </c>
      <c r="E1085" s="44"/>
      <c r="F1085" s="214">
        <v>1844418.5760945</v>
      </c>
      <c r="G1085" s="105" t="s">
        <v>160</v>
      </c>
      <c r="H1085" s="47">
        <v>11475115.32</v>
      </c>
      <c r="I1085" s="205" t="s">
        <v>1009</v>
      </c>
      <c r="J1085" s="37">
        <f t="shared" si="61"/>
        <v>-9630696.7439054996</v>
      </c>
      <c r="K1085" s="110">
        <f t="shared" si="62"/>
        <v>5960663.4298839998</v>
      </c>
      <c r="L1085" s="71"/>
      <c r="M1085" s="40"/>
      <c r="N1085" s="40"/>
      <c r="O1085" s="41"/>
    </row>
    <row r="1086" spans="1:15" s="7" customFormat="1" ht="18.75">
      <c r="A1086" s="56"/>
      <c r="B1086" s="65"/>
      <c r="C1086" s="111"/>
      <c r="D1086" s="103"/>
      <c r="E1086" s="44"/>
      <c r="F1086" s="214"/>
      <c r="G1086" s="105"/>
      <c r="H1086" s="47">
        <v>2298184.85</v>
      </c>
      <c r="I1086" s="205" t="s">
        <v>581</v>
      </c>
      <c r="J1086" s="37">
        <f t="shared" si="61"/>
        <v>-2298184.85</v>
      </c>
      <c r="K1086" s="110">
        <f t="shared" si="62"/>
        <v>-3670033.3140214998</v>
      </c>
      <c r="L1086" s="71"/>
      <c r="M1086" s="40"/>
      <c r="N1086" s="40"/>
      <c r="O1086" s="41"/>
    </row>
    <row r="1087" spans="1:15" s="7" customFormat="1" ht="18.75">
      <c r="A1087" s="56"/>
      <c r="B1087" s="65"/>
      <c r="C1087" s="111" t="s">
        <v>174</v>
      </c>
      <c r="D1087" s="103" t="s">
        <v>26</v>
      </c>
      <c r="E1087" s="44"/>
      <c r="F1087" s="214">
        <v>7310270.8877834994</v>
      </c>
      <c r="G1087" s="105" t="s">
        <v>176</v>
      </c>
      <c r="H1087" s="47">
        <v>7310270.8899999997</v>
      </c>
      <c r="I1087" s="205" t="s">
        <v>843</v>
      </c>
      <c r="J1087" s="37">
        <f t="shared" si="61"/>
        <v>-2.2165002301335335E-3</v>
      </c>
      <c r="K1087" s="110">
        <f t="shared" si="62"/>
        <v>-5968218.1640214995</v>
      </c>
      <c r="L1087" s="71"/>
      <c r="M1087" s="40"/>
      <c r="N1087" s="40"/>
      <c r="O1087" s="41"/>
    </row>
    <row r="1088" spans="1:15" s="7" customFormat="1" ht="18.75">
      <c r="A1088" s="56"/>
      <c r="B1088" s="65"/>
      <c r="C1088" s="111" t="s">
        <v>178</v>
      </c>
      <c r="D1088" s="103" t="s">
        <v>223</v>
      </c>
      <c r="E1088" s="44"/>
      <c r="F1088" s="214">
        <v>8221196.8705544993</v>
      </c>
      <c r="G1088" s="105" t="s">
        <v>179</v>
      </c>
      <c r="H1088" s="47">
        <v>8221196.8705544993</v>
      </c>
      <c r="I1088" s="205" t="s">
        <v>539</v>
      </c>
      <c r="J1088" s="37">
        <f t="shared" si="61"/>
        <v>0</v>
      </c>
      <c r="K1088" s="110">
        <f t="shared" si="62"/>
        <v>-5968218.1662379997</v>
      </c>
      <c r="L1088" s="71"/>
      <c r="M1088" s="40"/>
      <c r="N1088" s="40"/>
      <c r="O1088" s="41"/>
    </row>
    <row r="1089" spans="1:15" s="7" customFormat="1" ht="18.75" customHeight="1">
      <c r="A1089" s="56"/>
      <c r="B1089" s="65"/>
      <c r="C1089" s="111" t="s">
        <v>181</v>
      </c>
      <c r="D1089" s="103" t="s">
        <v>367</v>
      </c>
      <c r="E1089" s="44"/>
      <c r="F1089" s="214">
        <v>832658.53188000002</v>
      </c>
      <c r="G1089" s="105" t="s">
        <v>183</v>
      </c>
      <c r="H1089" s="47">
        <v>832658.53188000002</v>
      </c>
      <c r="I1089" s="205" t="s">
        <v>705</v>
      </c>
      <c r="J1089" s="37">
        <f t="shared" si="61"/>
        <v>0</v>
      </c>
      <c r="K1089" s="110">
        <f t="shared" si="62"/>
        <v>-5968218.1662379997</v>
      </c>
      <c r="L1089" s="71"/>
      <c r="M1089" s="40"/>
      <c r="N1089" s="40"/>
      <c r="O1089" s="41"/>
    </row>
    <row r="1090" spans="1:15" s="7" customFormat="1" ht="18.75">
      <c r="A1090" s="56"/>
      <c r="B1090" s="65"/>
      <c r="C1090" s="111"/>
      <c r="D1090" s="103"/>
      <c r="E1090" s="44"/>
      <c r="F1090" s="214"/>
      <c r="G1090" s="105"/>
      <c r="H1090" s="47">
        <v>2570111</v>
      </c>
      <c r="I1090" s="205" t="s">
        <v>280</v>
      </c>
      <c r="J1090" s="37">
        <f t="shared" si="61"/>
        <v>-2570111</v>
      </c>
      <c r="K1090" s="110">
        <f t="shared" si="62"/>
        <v>-5968218.1662379997</v>
      </c>
      <c r="L1090" s="71"/>
      <c r="M1090" s="40"/>
      <c r="N1090" s="40"/>
      <c r="O1090" s="41"/>
    </row>
    <row r="1091" spans="1:15" s="7" customFormat="1" ht="18.75">
      <c r="A1091" s="56"/>
      <c r="B1091" s="65"/>
      <c r="C1091" s="111" t="s">
        <v>212</v>
      </c>
      <c r="D1091" s="103" t="s">
        <v>370</v>
      </c>
      <c r="E1091" s="44">
        <v>44084</v>
      </c>
      <c r="F1091" s="214">
        <v>10084332.092720499</v>
      </c>
      <c r="G1091" s="105" t="s">
        <v>213</v>
      </c>
      <c r="H1091" s="47">
        <v>10084332.09</v>
      </c>
      <c r="I1091" s="44">
        <v>44085</v>
      </c>
      <c r="J1091" s="37">
        <f t="shared" si="61"/>
        <v>2.7204994112253189E-3</v>
      </c>
      <c r="K1091" s="110">
        <f>J1090+K1090</f>
        <v>-8538329.1662379988</v>
      </c>
      <c r="L1091" s="71"/>
      <c r="M1091" s="40"/>
      <c r="N1091" s="40"/>
      <c r="O1091" s="41"/>
    </row>
    <row r="1092" spans="1:15" s="7" customFormat="1" ht="18.75">
      <c r="A1092" s="56"/>
      <c r="B1092" s="65"/>
      <c r="C1092" s="111" t="s">
        <v>214</v>
      </c>
      <c r="D1092" s="103" t="s">
        <v>371</v>
      </c>
      <c r="E1092" s="44">
        <v>43962</v>
      </c>
      <c r="F1092" s="214">
        <v>10033513.150729749</v>
      </c>
      <c r="G1092" s="105" t="s">
        <v>216</v>
      </c>
      <c r="H1092" s="47">
        <v>10033513.150729749</v>
      </c>
      <c r="I1092" s="44">
        <v>43842</v>
      </c>
      <c r="J1092" s="37">
        <f>F1092-H1092</f>
        <v>0</v>
      </c>
      <c r="K1092" s="110">
        <f>J1091+K1091</f>
        <v>-8538329.1635174993</v>
      </c>
      <c r="L1092" s="71"/>
      <c r="M1092" s="40"/>
      <c r="N1092" s="40"/>
      <c r="O1092" s="41"/>
    </row>
    <row r="1093" spans="1:15" s="7" customFormat="1" ht="18.75">
      <c r="A1093" s="56"/>
      <c r="B1093" s="65"/>
      <c r="C1093" s="111" t="s">
        <v>218</v>
      </c>
      <c r="D1093" s="103" t="s">
        <v>372</v>
      </c>
      <c r="E1093" s="44">
        <v>44024</v>
      </c>
      <c r="F1093" s="214">
        <v>8551199.7759562507</v>
      </c>
      <c r="G1093" s="105">
        <v>44531</v>
      </c>
      <c r="H1093" s="47">
        <v>8551199.7699999996</v>
      </c>
      <c r="I1093" s="44">
        <v>44441</v>
      </c>
      <c r="J1093" s="37">
        <f>F1093-H1093</f>
        <v>5.9562511742115021E-3</v>
      </c>
      <c r="K1093" s="110">
        <f>J1092+K1092</f>
        <v>-8538329.1635174993</v>
      </c>
      <c r="L1093" s="71"/>
      <c r="M1093" s="40"/>
      <c r="N1093" s="40"/>
      <c r="O1093" s="41"/>
    </row>
    <row r="1094" spans="1:15" s="7" customFormat="1" ht="18.75">
      <c r="A1094" s="56"/>
      <c r="B1094" s="65"/>
      <c r="C1094" s="111"/>
      <c r="D1094" s="103"/>
      <c r="E1094" s="44"/>
      <c r="F1094" s="214"/>
      <c r="G1094" s="105"/>
      <c r="H1094" s="47"/>
      <c r="I1094" s="44"/>
      <c r="J1094" s="37"/>
      <c r="K1094" s="110"/>
      <c r="L1094" s="71"/>
      <c r="M1094" s="40"/>
      <c r="N1094" s="40"/>
      <c r="O1094" s="41"/>
    </row>
    <row r="1095" spans="1:15" s="7" customFormat="1" ht="18.75">
      <c r="A1095" s="56"/>
      <c r="B1095" s="65" t="s">
        <v>1198</v>
      </c>
      <c r="C1095" s="31"/>
      <c r="D1095" s="32"/>
      <c r="E1095" s="44"/>
      <c r="F1095" s="34"/>
      <c r="G1095" s="35"/>
      <c r="H1095" s="87"/>
      <c r="I1095" s="35"/>
      <c r="J1095" s="37"/>
      <c r="K1095" s="116">
        <f>J1093+K1093</f>
        <v>-8538329.1575612482</v>
      </c>
      <c r="L1095" s="39"/>
      <c r="M1095" s="40"/>
      <c r="N1095" s="40"/>
      <c r="O1095" s="41"/>
    </row>
    <row r="1096" spans="1:15" s="7" customFormat="1" ht="18.75">
      <c r="A1096" s="56"/>
      <c r="B1096" s="85"/>
      <c r="C1096" s="31"/>
      <c r="D1096" s="32"/>
      <c r="E1096" s="44"/>
      <c r="F1096" s="86"/>
      <c r="G1096" s="35"/>
      <c r="H1096" s="87"/>
      <c r="I1096" s="35"/>
      <c r="J1096" s="37"/>
      <c r="K1096" s="88"/>
      <c r="L1096" s="39"/>
      <c r="M1096" s="40"/>
      <c r="N1096" s="40"/>
      <c r="O1096" s="41"/>
    </row>
    <row r="1097" spans="1:15" s="7" customFormat="1" ht="18.75">
      <c r="A1097" s="56">
        <v>28</v>
      </c>
      <c r="B1097" s="65" t="s">
        <v>68</v>
      </c>
      <c r="C1097" s="66" t="s">
        <v>1152</v>
      </c>
      <c r="D1097" s="32"/>
      <c r="E1097" s="44"/>
      <c r="F1097" s="83"/>
      <c r="G1097" s="70"/>
      <c r="H1097" s="215">
        <f>10000000+16207852</f>
        <v>26207852</v>
      </c>
      <c r="I1097" s="205" t="s">
        <v>1199</v>
      </c>
      <c r="J1097" s="37">
        <f t="shared" ref="J1097:J1123" si="63">F1097-H1097</f>
        <v>-26207852</v>
      </c>
      <c r="K1097" s="41">
        <v>0</v>
      </c>
      <c r="L1097" s="71" t="s">
        <v>1154</v>
      </c>
      <c r="M1097" s="40"/>
      <c r="N1097" s="40"/>
      <c r="O1097" s="41"/>
    </row>
    <row r="1098" spans="1:15" s="7" customFormat="1" ht="18.75">
      <c r="A1098" s="56"/>
      <c r="B1098" s="65"/>
      <c r="C1098" s="66" t="s">
        <v>355</v>
      </c>
      <c r="D1098" s="32"/>
      <c r="E1098" s="44"/>
      <c r="F1098" s="69">
        <v>15404194.787226003</v>
      </c>
      <c r="G1098" s="70"/>
      <c r="H1098" s="215"/>
      <c r="I1098" s="205"/>
      <c r="J1098" s="37">
        <f t="shared" si="63"/>
        <v>15404194.787226003</v>
      </c>
      <c r="K1098" s="110">
        <f>J1097+K1097</f>
        <v>-26207852</v>
      </c>
      <c r="L1098" s="71"/>
      <c r="M1098" s="40"/>
      <c r="N1098" s="40"/>
      <c r="O1098" s="41"/>
    </row>
    <row r="1099" spans="1:15" s="7" customFormat="1" ht="18.75">
      <c r="A1099" s="56"/>
      <c r="B1099" s="65"/>
      <c r="C1099" s="31" t="s">
        <v>234</v>
      </c>
      <c r="D1099" s="32" t="s">
        <v>641</v>
      </c>
      <c r="E1099" s="44"/>
      <c r="F1099" s="95">
        <v>5164226.4752820004</v>
      </c>
      <c r="G1099" s="75" t="s">
        <v>1200</v>
      </c>
      <c r="H1099" s="215"/>
      <c r="I1099" s="205"/>
      <c r="J1099" s="37">
        <f t="shared" si="63"/>
        <v>5164226.4752820004</v>
      </c>
      <c r="K1099" s="110">
        <f>J1098+K1098</f>
        <v>-10803657.212773997</v>
      </c>
      <c r="L1099" s="71"/>
      <c r="M1099" s="40"/>
      <c r="N1099" s="40"/>
      <c r="O1099" s="41"/>
    </row>
    <row r="1100" spans="1:15" s="7" customFormat="1" ht="18.75">
      <c r="A1100" s="56"/>
      <c r="B1100" s="65"/>
      <c r="C1100" s="31" t="s">
        <v>514</v>
      </c>
      <c r="D1100" s="32" t="s">
        <v>643</v>
      </c>
      <c r="E1100" s="44"/>
      <c r="F1100" s="95">
        <v>377520.54016949999</v>
      </c>
      <c r="G1100" s="75" t="s">
        <v>1201</v>
      </c>
      <c r="H1100" s="215">
        <v>20945941.809999999</v>
      </c>
      <c r="I1100" s="205"/>
      <c r="J1100" s="37">
        <f t="shared" si="63"/>
        <v>-20568421.269830499</v>
      </c>
      <c r="K1100" s="110">
        <f>J1099+K1099</f>
        <v>-5639430.737491997</v>
      </c>
      <c r="L1100" s="71"/>
      <c r="M1100" s="40"/>
      <c r="N1100" s="40"/>
      <c r="O1100" s="41"/>
    </row>
    <row r="1101" spans="1:15" s="7" customFormat="1" ht="18.75">
      <c r="A1101" s="56"/>
      <c r="B1101" s="65"/>
      <c r="C1101" s="102" t="s">
        <v>246</v>
      </c>
      <c r="D1101" s="103" t="s">
        <v>1045</v>
      </c>
      <c r="E1101" s="44"/>
      <c r="F1101" s="104">
        <v>19994006.133024</v>
      </c>
      <c r="G1101" s="105" t="s">
        <v>762</v>
      </c>
      <c r="H1101" s="215"/>
      <c r="I1101" s="205"/>
      <c r="J1101" s="37">
        <f t="shared" si="63"/>
        <v>19994006.133024</v>
      </c>
      <c r="K1101" s="110">
        <f t="shared" ref="K1101:K1123" si="64">J1100+K1100</f>
        <v>-26207852.007322498</v>
      </c>
      <c r="L1101" s="71"/>
      <c r="M1101" s="40"/>
      <c r="N1101" s="40"/>
      <c r="O1101" s="41"/>
    </row>
    <row r="1102" spans="1:15" s="7" customFormat="1" ht="18.75">
      <c r="A1102" s="56"/>
      <c r="B1102" s="65"/>
      <c r="C1102" s="102" t="s">
        <v>522</v>
      </c>
      <c r="D1102" s="103" t="s">
        <v>1047</v>
      </c>
      <c r="E1102" s="44"/>
      <c r="F1102" s="104">
        <v>14458140.017936999</v>
      </c>
      <c r="G1102" s="105" t="s">
        <v>963</v>
      </c>
      <c r="H1102" s="215">
        <v>14458140.02</v>
      </c>
      <c r="I1102" s="205" t="s">
        <v>1202</v>
      </c>
      <c r="J1102" s="37">
        <f t="shared" si="63"/>
        <v>-2.0630005747079849E-3</v>
      </c>
      <c r="K1102" s="110">
        <f t="shared" si="64"/>
        <v>-6213845.874298498</v>
      </c>
      <c r="L1102" s="71"/>
      <c r="M1102" s="40"/>
      <c r="N1102" s="40"/>
      <c r="O1102" s="41"/>
    </row>
    <row r="1103" spans="1:15" s="7" customFormat="1" ht="18.75">
      <c r="A1103" s="56"/>
      <c r="B1103" s="65"/>
      <c r="C1103" s="111" t="s">
        <v>250</v>
      </c>
      <c r="D1103" s="166" t="s">
        <v>383</v>
      </c>
      <c r="E1103" s="44"/>
      <c r="F1103" s="149">
        <v>13175625.369999999</v>
      </c>
      <c r="G1103" s="105" t="s">
        <v>965</v>
      </c>
      <c r="H1103" s="215">
        <v>13175625.369999999</v>
      </c>
      <c r="I1103" s="205" t="s">
        <v>1203</v>
      </c>
      <c r="J1103" s="37">
        <f t="shared" si="63"/>
        <v>0</v>
      </c>
      <c r="K1103" s="110">
        <f t="shared" si="64"/>
        <v>-6213845.8763614986</v>
      </c>
      <c r="L1103" s="148"/>
      <c r="M1103" s="40"/>
      <c r="N1103" s="40"/>
      <c r="O1103" s="41"/>
    </row>
    <row r="1104" spans="1:15" s="7" customFormat="1" ht="18.75">
      <c r="A1104" s="56"/>
      <c r="B1104" s="65"/>
      <c r="C1104" s="111" t="s">
        <v>139</v>
      </c>
      <c r="D1104" s="166" t="s">
        <v>384</v>
      </c>
      <c r="E1104" s="44"/>
      <c r="F1104" s="149">
        <v>12038176.84</v>
      </c>
      <c r="G1104" s="105" t="s">
        <v>652</v>
      </c>
      <c r="H1104" s="215">
        <v>12038176.84</v>
      </c>
      <c r="I1104" s="205" t="s">
        <v>431</v>
      </c>
      <c r="J1104" s="37">
        <f t="shared" si="63"/>
        <v>0</v>
      </c>
      <c r="K1104" s="110">
        <f t="shared" si="64"/>
        <v>-6213845.8763614986</v>
      </c>
      <c r="L1104" s="71"/>
      <c r="M1104" s="40"/>
      <c r="N1104" s="40"/>
      <c r="O1104" s="41"/>
    </row>
    <row r="1105" spans="1:15" s="7" customFormat="1" ht="18.75">
      <c r="A1105" s="56"/>
      <c r="B1105" s="65"/>
      <c r="C1105" s="62" t="s">
        <v>142</v>
      </c>
      <c r="D1105" s="166" t="s">
        <v>385</v>
      </c>
      <c r="E1105" s="44"/>
      <c r="F1105" s="149">
        <v>4736596.4263485</v>
      </c>
      <c r="G1105" s="105" t="s">
        <v>519</v>
      </c>
      <c r="H1105" s="215">
        <f>19994006.13+4736596.43</f>
        <v>24730602.559999999</v>
      </c>
      <c r="I1105" s="205" t="s">
        <v>143</v>
      </c>
      <c r="J1105" s="37">
        <f t="shared" si="63"/>
        <v>-19994006.133651499</v>
      </c>
      <c r="K1105" s="110">
        <f t="shared" si="64"/>
        <v>-6213845.8763614986</v>
      </c>
      <c r="L1105" s="71"/>
      <c r="M1105" s="40"/>
      <c r="N1105" s="40"/>
      <c r="O1105" s="41"/>
    </row>
    <row r="1106" spans="1:15" s="7" customFormat="1" ht="18.75">
      <c r="A1106" s="56"/>
      <c r="B1106" s="65"/>
      <c r="C1106" s="62" t="s">
        <v>145</v>
      </c>
      <c r="D1106" s="166" t="s">
        <v>386</v>
      </c>
      <c r="E1106" s="44"/>
      <c r="F1106" s="149">
        <v>6379205.7250530012</v>
      </c>
      <c r="G1106" s="105" t="s">
        <v>519</v>
      </c>
      <c r="H1106" s="215">
        <v>6379205.7250530012</v>
      </c>
      <c r="I1106" s="205" t="s">
        <v>876</v>
      </c>
      <c r="J1106" s="37">
        <f t="shared" si="63"/>
        <v>0</v>
      </c>
      <c r="K1106" s="110">
        <f t="shared" si="64"/>
        <v>-26207852.010012999</v>
      </c>
      <c r="L1106" s="71"/>
      <c r="M1106" s="40"/>
      <c r="N1106" s="40"/>
      <c r="O1106" s="41"/>
    </row>
    <row r="1107" spans="1:15" s="7" customFormat="1" ht="18.75">
      <c r="A1107" s="56"/>
      <c r="B1107" s="65"/>
      <c r="C1107" s="62" t="s">
        <v>148</v>
      </c>
      <c r="D1107" s="166" t="s">
        <v>388</v>
      </c>
      <c r="E1107" s="44"/>
      <c r="F1107" s="149">
        <v>10577374.838257499</v>
      </c>
      <c r="G1107" s="105" t="s">
        <v>976</v>
      </c>
      <c r="H1107" s="47">
        <v>10577374.84</v>
      </c>
      <c r="I1107" s="205" t="s">
        <v>147</v>
      </c>
      <c r="J1107" s="37">
        <f t="shared" si="63"/>
        <v>-1.7425008118152618E-3</v>
      </c>
      <c r="K1107" s="110">
        <f t="shared" si="64"/>
        <v>-26207852.010012999</v>
      </c>
      <c r="L1107" s="71"/>
      <c r="M1107" s="40"/>
      <c r="N1107" s="40"/>
      <c r="O1107" s="41"/>
    </row>
    <row r="1108" spans="1:15" s="7" customFormat="1" ht="18.75">
      <c r="A1108" s="56"/>
      <c r="B1108" s="65"/>
      <c r="C1108" s="62" t="s">
        <v>151</v>
      </c>
      <c r="D1108" s="166" t="s">
        <v>39</v>
      </c>
      <c r="E1108" s="44"/>
      <c r="F1108" s="149">
        <v>2560864.1356935003</v>
      </c>
      <c r="G1108" s="105" t="s">
        <v>152</v>
      </c>
      <c r="H1108" s="47">
        <v>2560864.1356935003</v>
      </c>
      <c r="I1108" s="205" t="s">
        <v>877</v>
      </c>
      <c r="J1108" s="37">
        <f t="shared" si="63"/>
        <v>0</v>
      </c>
      <c r="K1108" s="110">
        <f t="shared" si="64"/>
        <v>-26207852.0117555</v>
      </c>
      <c r="L1108" s="71"/>
      <c r="M1108" s="40"/>
      <c r="N1108" s="40"/>
      <c r="O1108" s="41"/>
    </row>
    <row r="1109" spans="1:15" s="7" customFormat="1" ht="18.75">
      <c r="A1109" s="56"/>
      <c r="B1109" s="65"/>
      <c r="C1109" s="62" t="s">
        <v>154</v>
      </c>
      <c r="D1109" s="166" t="s">
        <v>390</v>
      </c>
      <c r="E1109" s="44"/>
      <c r="F1109" s="149">
        <v>6993057.3443324994</v>
      </c>
      <c r="G1109" s="105" t="s">
        <v>156</v>
      </c>
      <c r="H1109" s="47">
        <v>6993057.3399999999</v>
      </c>
      <c r="I1109" s="205" t="s">
        <v>1204</v>
      </c>
      <c r="J1109" s="37">
        <f t="shared" si="63"/>
        <v>4.3324995785951614E-3</v>
      </c>
      <c r="K1109" s="110">
        <f t="shared" si="64"/>
        <v>-26207852.0117555</v>
      </c>
      <c r="L1109" s="71"/>
      <c r="M1109" s="40"/>
      <c r="N1109" s="40"/>
      <c r="O1109" s="41"/>
    </row>
    <row r="1110" spans="1:15" s="7" customFormat="1" ht="18.75">
      <c r="A1110" s="56"/>
      <c r="B1110" s="65"/>
      <c r="C1110" s="62" t="s">
        <v>158</v>
      </c>
      <c r="D1110" s="166" t="s">
        <v>392</v>
      </c>
      <c r="E1110" s="44"/>
      <c r="F1110" s="149">
        <v>9198903.7123514991</v>
      </c>
      <c r="G1110" s="105" t="s">
        <v>160</v>
      </c>
      <c r="H1110" s="47">
        <v>9198903.7123514991</v>
      </c>
      <c r="I1110" s="205" t="s">
        <v>839</v>
      </c>
      <c r="J1110" s="37">
        <f t="shared" si="63"/>
        <v>0</v>
      </c>
      <c r="K1110" s="110">
        <f t="shared" si="64"/>
        <v>-26207852.007422999</v>
      </c>
      <c r="L1110" s="71"/>
      <c r="M1110" s="40"/>
      <c r="N1110" s="40"/>
      <c r="O1110" s="41"/>
    </row>
    <row r="1111" spans="1:15" s="7" customFormat="1" ht="18.75">
      <c r="A1111" s="56"/>
      <c r="B1111" s="65"/>
      <c r="C1111" s="62" t="s">
        <v>162</v>
      </c>
      <c r="D1111" s="166" t="s">
        <v>393</v>
      </c>
      <c r="E1111" s="44"/>
      <c r="F1111" s="149">
        <v>2803131.6270930003</v>
      </c>
      <c r="G1111" s="105" t="s">
        <v>164</v>
      </c>
      <c r="H1111" s="47">
        <v>2803131.6270930003</v>
      </c>
      <c r="I1111" s="205" t="s">
        <v>1205</v>
      </c>
      <c r="J1111" s="37">
        <f t="shared" si="63"/>
        <v>0</v>
      </c>
      <c r="K1111" s="110">
        <f t="shared" si="64"/>
        <v>-26207852.007422999</v>
      </c>
      <c r="L1111" s="71"/>
      <c r="M1111" s="40"/>
      <c r="N1111" s="40"/>
      <c r="O1111" s="41"/>
    </row>
    <row r="1112" spans="1:15" s="7" customFormat="1" ht="18.75">
      <c r="A1112" s="56"/>
      <c r="B1112" s="65"/>
      <c r="C1112" s="62" t="s">
        <v>166</v>
      </c>
      <c r="D1112" s="166" t="s">
        <v>528</v>
      </c>
      <c r="E1112" s="44"/>
      <c r="F1112" s="149">
        <v>6495879.6526679993</v>
      </c>
      <c r="G1112" s="105" t="s">
        <v>168</v>
      </c>
      <c r="H1112" s="47">
        <v>6495879.6500000004</v>
      </c>
      <c r="I1112" s="205" t="s">
        <v>324</v>
      </c>
      <c r="J1112" s="37">
        <f t="shared" si="63"/>
        <v>2.6679988950490952E-3</v>
      </c>
      <c r="K1112" s="110">
        <f t="shared" si="64"/>
        <v>-26207852.007422999</v>
      </c>
      <c r="L1112" s="71"/>
      <c r="M1112" s="40"/>
      <c r="N1112" s="40"/>
      <c r="O1112" s="41"/>
    </row>
    <row r="1113" spans="1:15" s="7" customFormat="1" ht="18.75">
      <c r="A1113" s="56"/>
      <c r="B1113" s="65"/>
      <c r="C1113" s="62" t="s">
        <v>170</v>
      </c>
      <c r="D1113" s="166" t="s">
        <v>35</v>
      </c>
      <c r="E1113" s="44"/>
      <c r="F1113" s="149">
        <v>20532764.209188003</v>
      </c>
      <c r="G1113" s="105" t="s">
        <v>172</v>
      </c>
      <c r="H1113" s="47">
        <v>9986553.7400000002</v>
      </c>
      <c r="I1113" s="205" t="s">
        <v>1126</v>
      </c>
      <c r="J1113" s="37">
        <f t="shared" si="63"/>
        <v>10546210.469188003</v>
      </c>
      <c r="K1113" s="110">
        <f t="shared" si="64"/>
        <v>-26207852.004754998</v>
      </c>
      <c r="L1113" s="71"/>
      <c r="M1113" s="40"/>
      <c r="N1113" s="40"/>
      <c r="O1113" s="41"/>
    </row>
    <row r="1114" spans="1:15" s="7" customFormat="1" ht="18.75">
      <c r="A1114" s="56"/>
      <c r="B1114" s="65"/>
      <c r="C1114" s="62" t="s">
        <v>174</v>
      </c>
      <c r="D1114" s="166" t="s">
        <v>530</v>
      </c>
      <c r="E1114" s="44"/>
      <c r="F1114" s="149">
        <v>6514864.3243319988</v>
      </c>
      <c r="G1114" s="105" t="s">
        <v>176</v>
      </c>
      <c r="H1114" s="47">
        <v>6514864.3200000003</v>
      </c>
      <c r="I1114" s="205" t="s">
        <v>1148</v>
      </c>
      <c r="J1114" s="37">
        <f t="shared" si="63"/>
        <v>4.3319985270500183E-3</v>
      </c>
      <c r="K1114" s="110">
        <f t="shared" si="64"/>
        <v>-15661641.535566995</v>
      </c>
      <c r="L1114" s="71"/>
      <c r="M1114" s="40"/>
      <c r="N1114" s="40"/>
      <c r="O1114" s="41"/>
    </row>
    <row r="1115" spans="1:15" s="7" customFormat="1" ht="18.75">
      <c r="A1115" s="56"/>
      <c r="B1115" s="65"/>
      <c r="C1115" s="62" t="s">
        <v>178</v>
      </c>
      <c r="D1115" s="166" t="s">
        <v>532</v>
      </c>
      <c r="E1115" s="44"/>
      <c r="F1115" s="149">
        <v>8691142.6091699991</v>
      </c>
      <c r="G1115" s="105" t="s">
        <v>179</v>
      </c>
      <c r="H1115" s="47">
        <v>8691142.6099999994</v>
      </c>
      <c r="I1115" s="205" t="s">
        <v>715</v>
      </c>
      <c r="J1115" s="37">
        <f t="shared" si="63"/>
        <v>-8.3000026643276215E-4</v>
      </c>
      <c r="K1115" s="110">
        <f t="shared" si="64"/>
        <v>-15661641.531234996</v>
      </c>
      <c r="L1115" s="71"/>
      <c r="M1115" s="40"/>
      <c r="N1115" s="40"/>
      <c r="O1115" s="41"/>
    </row>
    <row r="1116" spans="1:15" s="7" customFormat="1" ht="18.75">
      <c r="A1116" s="56"/>
      <c r="B1116" s="65"/>
      <c r="C1116" s="62" t="s">
        <v>181</v>
      </c>
      <c r="D1116" s="166" t="s">
        <v>534</v>
      </c>
      <c r="E1116" s="44"/>
      <c r="F1116" s="149">
        <v>9108949.5460950006</v>
      </c>
      <c r="G1116" s="105" t="s">
        <v>183</v>
      </c>
      <c r="H1116" s="47">
        <v>9108949.5460950006</v>
      </c>
      <c r="I1116" s="205" t="s">
        <v>1206</v>
      </c>
      <c r="J1116" s="37">
        <f t="shared" si="63"/>
        <v>0</v>
      </c>
      <c r="K1116" s="110">
        <f t="shared" si="64"/>
        <v>-15661641.532064997</v>
      </c>
      <c r="L1116" s="71"/>
      <c r="M1116" s="40"/>
      <c r="N1116" s="40"/>
      <c r="O1116" s="41"/>
    </row>
    <row r="1117" spans="1:15" s="7" customFormat="1" ht="18.75">
      <c r="A1117" s="56"/>
      <c r="B1117" s="65"/>
      <c r="C1117" s="62" t="s">
        <v>189</v>
      </c>
      <c r="D1117" s="166" t="s">
        <v>535</v>
      </c>
      <c r="E1117" s="44"/>
      <c r="F1117" s="149">
        <v>306635.41997550003</v>
      </c>
      <c r="G1117" s="105" t="s">
        <v>377</v>
      </c>
      <c r="H1117" s="47">
        <v>306635.42</v>
      </c>
      <c r="I1117" s="205" t="s">
        <v>599</v>
      </c>
      <c r="J1117" s="37">
        <f t="shared" si="63"/>
        <v>-2.4499953724443913E-5</v>
      </c>
      <c r="K1117" s="110">
        <f t="shared" si="64"/>
        <v>-15661641.532064997</v>
      </c>
      <c r="L1117" s="71"/>
      <c r="M1117" s="40"/>
      <c r="N1117" s="40"/>
      <c r="O1117" s="41"/>
    </row>
    <row r="1118" spans="1:15" s="7" customFormat="1" ht="18.75">
      <c r="A1118" s="56"/>
      <c r="B1118" s="65"/>
      <c r="C1118" s="62" t="s">
        <v>191</v>
      </c>
      <c r="D1118" s="166" t="s">
        <v>536</v>
      </c>
      <c r="E1118" s="44">
        <v>43986</v>
      </c>
      <c r="F1118" s="149">
        <v>6636984.8889592504</v>
      </c>
      <c r="G1118" s="105" t="s">
        <v>193</v>
      </c>
      <c r="H1118" s="47">
        <v>6636984.8899999997</v>
      </c>
      <c r="I1118" s="205" t="s">
        <v>198</v>
      </c>
      <c r="J1118" s="37">
        <f t="shared" si="63"/>
        <v>-1.0407492518424988E-3</v>
      </c>
      <c r="K1118" s="110">
        <f t="shared" si="64"/>
        <v>-15661641.532089496</v>
      </c>
      <c r="L1118" s="71"/>
      <c r="M1118" s="40"/>
      <c r="N1118" s="40"/>
      <c r="O1118" s="41"/>
    </row>
    <row r="1119" spans="1:15" s="7" customFormat="1" ht="18.75">
      <c r="A1119" s="56"/>
      <c r="B1119" s="65"/>
      <c r="C1119" s="62" t="s">
        <v>199</v>
      </c>
      <c r="D1119" s="166" t="s">
        <v>538</v>
      </c>
      <c r="E1119" s="44">
        <v>44049</v>
      </c>
      <c r="F1119" s="149">
        <v>13290594.315809999</v>
      </c>
      <c r="G1119" s="105">
        <v>43897</v>
      </c>
      <c r="H1119" s="47">
        <v>13290594.32</v>
      </c>
      <c r="I1119" s="205" t="s">
        <v>708</v>
      </c>
      <c r="J1119" s="37">
        <f t="shared" si="63"/>
        <v>-4.1900016367435455E-3</v>
      </c>
      <c r="K1119" s="110">
        <f t="shared" si="64"/>
        <v>-15661641.533130245</v>
      </c>
      <c r="L1119" s="71"/>
      <c r="M1119" s="40"/>
      <c r="N1119" s="40"/>
      <c r="O1119" s="41"/>
    </row>
    <row r="1120" spans="1:15" s="7" customFormat="1" ht="18.75">
      <c r="A1120" s="56"/>
      <c r="B1120" s="65"/>
      <c r="C1120" s="62" t="s">
        <v>201</v>
      </c>
      <c r="D1120" s="166" t="s">
        <v>43</v>
      </c>
      <c r="E1120" s="44">
        <v>44081</v>
      </c>
      <c r="F1120" s="149">
        <v>8955585.35592</v>
      </c>
      <c r="G1120" s="105">
        <v>44020</v>
      </c>
      <c r="H1120" s="47">
        <v>8955585.3599999994</v>
      </c>
      <c r="I1120" s="205" t="s">
        <v>1165</v>
      </c>
      <c r="J1120" s="37">
        <f t="shared" si="63"/>
        <v>-4.0799994021654129E-3</v>
      </c>
      <c r="K1120" s="110">
        <f t="shared" si="64"/>
        <v>-15661641.537320247</v>
      </c>
      <c r="L1120" s="71"/>
      <c r="M1120" s="40"/>
      <c r="N1120" s="40"/>
      <c r="O1120" s="41"/>
    </row>
    <row r="1121" spans="1:15" s="7" customFormat="1" ht="18.75">
      <c r="A1121" s="56"/>
      <c r="B1121" s="65"/>
      <c r="C1121" s="62" t="s">
        <v>203</v>
      </c>
      <c r="D1121" s="166" t="s">
        <v>540</v>
      </c>
      <c r="E1121" s="44">
        <v>43990</v>
      </c>
      <c r="F1121" s="149">
        <v>3963000.2259360002</v>
      </c>
      <c r="G1121" s="105" t="s">
        <v>290</v>
      </c>
      <c r="H1121" s="47">
        <v>3963000.23</v>
      </c>
      <c r="I1121" s="205" t="s">
        <v>1207</v>
      </c>
      <c r="J1121" s="37">
        <f t="shared" si="63"/>
        <v>-4.0639997459948063E-3</v>
      </c>
      <c r="K1121" s="110">
        <f t="shared" si="64"/>
        <v>-15661641.541400246</v>
      </c>
      <c r="L1121" s="71"/>
      <c r="M1121" s="40"/>
      <c r="N1121" s="40"/>
      <c r="O1121" s="41"/>
    </row>
    <row r="1122" spans="1:15" s="7" customFormat="1" ht="18.75">
      <c r="A1122" s="56"/>
      <c r="B1122" s="65"/>
      <c r="C1122" s="62" t="s">
        <v>207</v>
      </c>
      <c r="D1122" s="166" t="s">
        <v>542</v>
      </c>
      <c r="E1122" s="44" t="s">
        <v>209</v>
      </c>
      <c r="F1122" s="149">
        <v>4851935.0452100001</v>
      </c>
      <c r="G1122" s="105" t="s">
        <v>210</v>
      </c>
      <c r="H1122" s="47">
        <v>4851935.05</v>
      </c>
      <c r="I1122" s="205" t="s">
        <v>206</v>
      </c>
      <c r="J1122" s="37">
        <f t="shared" si="63"/>
        <v>-4.7899996861815453E-3</v>
      </c>
      <c r="K1122" s="110">
        <f t="shared" si="64"/>
        <v>-15661641.545464246</v>
      </c>
      <c r="L1122" s="71"/>
      <c r="M1122" s="40"/>
      <c r="N1122" s="40"/>
      <c r="O1122" s="41"/>
    </row>
    <row r="1123" spans="1:15" s="7" customFormat="1" ht="18.75">
      <c r="A1123" s="56"/>
      <c r="B1123" s="65"/>
      <c r="C1123" s="62" t="s">
        <v>212</v>
      </c>
      <c r="D1123" s="166" t="s">
        <v>543</v>
      </c>
      <c r="E1123" s="44">
        <v>44084</v>
      </c>
      <c r="F1123" s="149">
        <v>12519501.428408498</v>
      </c>
      <c r="G1123" s="105" t="s">
        <v>213</v>
      </c>
      <c r="H1123" s="47"/>
      <c r="I1123" s="205"/>
      <c r="J1123" s="37">
        <f t="shared" si="63"/>
        <v>12519501.428408498</v>
      </c>
      <c r="K1123" s="110">
        <f t="shared" si="64"/>
        <v>-15661641.550254244</v>
      </c>
      <c r="L1123" s="71"/>
      <c r="M1123" s="40"/>
      <c r="N1123" s="40"/>
      <c r="O1123" s="41"/>
    </row>
    <row r="1124" spans="1:15" s="7" customFormat="1" ht="18.75">
      <c r="A1124" s="56"/>
      <c r="B1124" s="65"/>
      <c r="C1124" s="62" t="s">
        <v>214</v>
      </c>
      <c r="D1124" s="166" t="s">
        <v>544</v>
      </c>
      <c r="E1124" s="44">
        <v>43962</v>
      </c>
      <c r="F1124" s="149">
        <v>2737700.0012269998</v>
      </c>
      <c r="G1124" s="105" t="s">
        <v>216</v>
      </c>
      <c r="H1124" s="47"/>
      <c r="I1124" s="205"/>
      <c r="J1124" s="37">
        <f>F1124-H1124</f>
        <v>2737700.0012269998</v>
      </c>
      <c r="K1124" s="110">
        <f>J1123+K1123</f>
        <v>-3142140.1218457464</v>
      </c>
      <c r="L1124" s="71"/>
      <c r="M1124" s="40"/>
      <c r="N1124" s="40"/>
      <c r="O1124" s="41"/>
    </row>
    <row r="1125" spans="1:15" s="7" customFormat="1" ht="18.75">
      <c r="A1125" s="56"/>
      <c r="B1125" s="65"/>
      <c r="C1125" s="62"/>
      <c r="D1125" s="166"/>
      <c r="E1125" s="44"/>
      <c r="F1125" s="149"/>
      <c r="G1125" s="105"/>
      <c r="H1125" s="47"/>
      <c r="I1125" s="205"/>
      <c r="J1125" s="37"/>
      <c r="K1125" s="110"/>
      <c r="L1125" s="71"/>
      <c r="M1125" s="40"/>
      <c r="N1125" s="40"/>
      <c r="O1125" s="41"/>
    </row>
    <row r="1126" spans="1:15" s="7" customFormat="1" ht="18.75">
      <c r="A1126" s="56"/>
      <c r="B1126" s="65" t="s">
        <v>1208</v>
      </c>
      <c r="C1126" s="111"/>
      <c r="D1126" s="166"/>
      <c r="E1126" s="44"/>
      <c r="F1126" s="149"/>
      <c r="G1126" s="105"/>
      <c r="H1126" s="215"/>
      <c r="I1126" s="205"/>
      <c r="J1126" s="37"/>
      <c r="K1126" s="116">
        <f>J1124+K1124</f>
        <v>-404440.12061874662</v>
      </c>
      <c r="L1126" s="71"/>
      <c r="M1126" s="40"/>
      <c r="N1126" s="40"/>
      <c r="O1126" s="41"/>
    </row>
    <row r="1127" spans="1:15" s="7" customFormat="1" ht="18.75">
      <c r="A1127" s="56"/>
      <c r="B1127" s="65"/>
      <c r="C1127" s="111"/>
      <c r="D1127" s="166"/>
      <c r="E1127" s="44"/>
      <c r="F1127" s="149"/>
      <c r="G1127" s="105"/>
      <c r="H1127" s="215"/>
      <c r="I1127" s="205"/>
      <c r="J1127" s="37"/>
      <c r="K1127" s="116"/>
      <c r="L1127" s="71"/>
      <c r="M1127" s="40"/>
      <c r="N1127" s="40"/>
      <c r="O1127" s="41"/>
    </row>
    <row r="1128" spans="1:15" s="7" customFormat="1" ht="18.75">
      <c r="A1128" s="56">
        <v>29</v>
      </c>
      <c r="B1128" s="30" t="s">
        <v>69</v>
      </c>
      <c r="C1128" s="31" t="s">
        <v>1209</v>
      </c>
      <c r="D1128" s="32" t="s">
        <v>907</v>
      </c>
      <c r="E1128" s="44"/>
      <c r="F1128" s="95">
        <v>1293325.81</v>
      </c>
      <c r="G1128" s="35">
        <v>43041</v>
      </c>
      <c r="H1128" s="87"/>
      <c r="I1128" s="35"/>
      <c r="J1128" s="37">
        <f>F1128-H1128</f>
        <v>1293325.81</v>
      </c>
      <c r="K1128" s="38">
        <v>0</v>
      </c>
      <c r="L1128" s="39"/>
      <c r="M1128" s="40"/>
      <c r="N1128" s="40"/>
      <c r="O1128" s="41"/>
    </row>
    <row r="1129" spans="1:15" s="7" customFormat="1" ht="18.75">
      <c r="A1129" s="56"/>
      <c r="B1129" s="30"/>
      <c r="C1129" s="29" t="s">
        <v>564</v>
      </c>
      <c r="D1129" s="32" t="s">
        <v>669</v>
      </c>
      <c r="E1129" s="44"/>
      <c r="F1129" s="95">
        <v>10655548.9</v>
      </c>
      <c r="G1129" s="98">
        <v>43044</v>
      </c>
      <c r="H1129" s="36">
        <v>11948874.710000001</v>
      </c>
      <c r="I1129" s="35" t="s">
        <v>1210</v>
      </c>
      <c r="J1129" s="37">
        <f t="shared" ref="J1129:J1153" si="65">F1129-H1129</f>
        <v>-1293325.8100000005</v>
      </c>
      <c r="K1129" s="37">
        <f>J1128+K1128</f>
        <v>1293325.81</v>
      </c>
      <c r="L1129" s="39"/>
      <c r="M1129" s="40"/>
      <c r="N1129" s="40"/>
      <c r="O1129" s="41"/>
    </row>
    <row r="1130" spans="1:15" s="7" customFormat="1" ht="18.75">
      <c r="A1130" s="56"/>
      <c r="B1130" s="30"/>
      <c r="C1130" s="31" t="s">
        <v>500</v>
      </c>
      <c r="D1130" s="32" t="s">
        <v>671</v>
      </c>
      <c r="E1130" s="44"/>
      <c r="F1130" s="34">
        <v>11646222.810000001</v>
      </c>
      <c r="G1130" s="35">
        <v>42867</v>
      </c>
      <c r="H1130" s="36">
        <v>11646222.810000001</v>
      </c>
      <c r="I1130" s="35"/>
      <c r="J1130" s="37">
        <f t="shared" si="65"/>
        <v>0</v>
      </c>
      <c r="K1130" s="38">
        <f t="shared" ref="K1130:K1159" si="66">J1129+K1129</f>
        <v>0</v>
      </c>
      <c r="L1130" s="39"/>
      <c r="M1130" s="40"/>
      <c r="N1130" s="40"/>
      <c r="O1130" s="41"/>
    </row>
    <row r="1131" spans="1:15" s="7" customFormat="1" ht="18.75">
      <c r="A1131" s="56"/>
      <c r="B1131" s="30"/>
      <c r="C1131" s="29" t="s">
        <v>501</v>
      </c>
      <c r="D1131" s="32" t="s">
        <v>673</v>
      </c>
      <c r="E1131" s="44"/>
      <c r="F1131" s="95">
        <v>10131498.289999999</v>
      </c>
      <c r="G1131" s="98">
        <v>43435</v>
      </c>
      <c r="H1131" s="36">
        <v>10131498.289999999</v>
      </c>
      <c r="I1131" s="35"/>
      <c r="J1131" s="37">
        <f t="shared" si="65"/>
        <v>0</v>
      </c>
      <c r="K1131" s="38">
        <f t="shared" si="66"/>
        <v>0</v>
      </c>
      <c r="L1131" s="39"/>
      <c r="M1131" s="40"/>
      <c r="N1131" s="40"/>
      <c r="O1131" s="41"/>
    </row>
    <row r="1132" spans="1:15" s="7" customFormat="1" ht="18.75">
      <c r="A1132" s="56"/>
      <c r="B1132" s="30"/>
      <c r="C1132" s="29" t="s">
        <v>504</v>
      </c>
      <c r="D1132" s="32" t="s">
        <v>558</v>
      </c>
      <c r="E1132" s="44"/>
      <c r="F1132" s="95">
        <v>12263851.449999999</v>
      </c>
      <c r="G1132" s="75">
        <v>43222</v>
      </c>
      <c r="H1132" s="36">
        <v>12263851.449999999</v>
      </c>
      <c r="I1132" s="35">
        <v>43133</v>
      </c>
      <c r="J1132" s="37">
        <f t="shared" si="65"/>
        <v>0</v>
      </c>
      <c r="K1132" s="38">
        <f t="shared" si="66"/>
        <v>0</v>
      </c>
      <c r="L1132" s="39"/>
      <c r="M1132" s="40"/>
      <c r="N1132" s="40"/>
      <c r="O1132" s="41"/>
    </row>
    <row r="1133" spans="1:15" s="7" customFormat="1" ht="18.75">
      <c r="A1133" s="56"/>
      <c r="B1133" s="30"/>
      <c r="C1133" s="62" t="s">
        <v>142</v>
      </c>
      <c r="D1133" s="32" t="s">
        <v>359</v>
      </c>
      <c r="E1133" s="44"/>
      <c r="F1133" s="95">
        <v>19194846.726163503</v>
      </c>
      <c r="G1133" s="75" t="s">
        <v>1211</v>
      </c>
      <c r="H1133" s="36">
        <v>19194846.73</v>
      </c>
      <c r="I1133" s="35" t="s">
        <v>256</v>
      </c>
      <c r="J1133" s="37">
        <f t="shared" si="65"/>
        <v>-3.8364976644515991E-3</v>
      </c>
      <c r="K1133" s="38">
        <f t="shared" si="66"/>
        <v>0</v>
      </c>
      <c r="L1133" s="39"/>
      <c r="M1133" s="40"/>
      <c r="N1133" s="40"/>
      <c r="O1133" s="41"/>
    </row>
    <row r="1134" spans="1:15" s="7" customFormat="1" ht="18.75">
      <c r="A1134" s="56"/>
      <c r="B1134" s="30"/>
      <c r="C1134" s="62" t="s">
        <v>145</v>
      </c>
      <c r="D1134" s="32" t="s">
        <v>202</v>
      </c>
      <c r="E1134" s="44"/>
      <c r="F1134" s="95">
        <v>20692705.808312997</v>
      </c>
      <c r="G1134" s="75" t="s">
        <v>1211</v>
      </c>
      <c r="H1134" s="36">
        <v>20692705.808312997</v>
      </c>
      <c r="I1134" s="35" t="s">
        <v>876</v>
      </c>
      <c r="J1134" s="37">
        <f t="shared" si="65"/>
        <v>0</v>
      </c>
      <c r="K1134" s="37">
        <f t="shared" si="66"/>
        <v>-3.8364976644515991E-3</v>
      </c>
      <c r="L1134" s="39"/>
      <c r="M1134" s="40"/>
      <c r="N1134" s="40"/>
      <c r="O1134" s="41"/>
    </row>
    <row r="1135" spans="1:15" s="7" customFormat="1" ht="18.75">
      <c r="A1135" s="56"/>
      <c r="B1135" s="30"/>
      <c r="C1135" s="62" t="s">
        <v>148</v>
      </c>
      <c r="D1135" s="32" t="s">
        <v>204</v>
      </c>
      <c r="E1135" s="44"/>
      <c r="F1135" s="95">
        <v>21612050.829463497</v>
      </c>
      <c r="G1135" s="75" t="s">
        <v>918</v>
      </c>
      <c r="H1135" s="47">
        <v>21612050.829999998</v>
      </c>
      <c r="I1135" s="35">
        <v>43598</v>
      </c>
      <c r="J1135" s="37">
        <f t="shared" si="65"/>
        <v>-5.3650140762329102E-4</v>
      </c>
      <c r="K1135" s="37">
        <f t="shared" si="66"/>
        <v>-3.8364976644515991E-3</v>
      </c>
      <c r="L1135" s="39"/>
      <c r="M1135" s="40"/>
      <c r="N1135" s="40"/>
      <c r="O1135" s="41"/>
    </row>
    <row r="1136" spans="1:15" s="7" customFormat="1" ht="18.75">
      <c r="A1136" s="56"/>
      <c r="B1136" s="30"/>
      <c r="C1136" s="62" t="s">
        <v>151</v>
      </c>
      <c r="D1136" s="32" t="s">
        <v>208</v>
      </c>
      <c r="E1136" s="44"/>
      <c r="F1136" s="95">
        <v>28958833.294209</v>
      </c>
      <c r="G1136" s="75" t="s">
        <v>152</v>
      </c>
      <c r="H1136" s="47">
        <v>28958833.289999999</v>
      </c>
      <c r="I1136" s="35" t="s">
        <v>1212</v>
      </c>
      <c r="J1136" s="37">
        <f t="shared" si="65"/>
        <v>4.2090006172657013E-3</v>
      </c>
      <c r="K1136" s="37">
        <f t="shared" si="66"/>
        <v>-4.3729990720748901E-3</v>
      </c>
      <c r="L1136" s="39"/>
      <c r="M1136" s="40"/>
      <c r="N1136" s="40"/>
      <c r="O1136" s="41"/>
    </row>
    <row r="1137" spans="1:15" s="7" customFormat="1" ht="18.75">
      <c r="A1137" s="56"/>
      <c r="B1137" s="30"/>
      <c r="C1137" s="62" t="s">
        <v>154</v>
      </c>
      <c r="D1137" s="32" t="s">
        <v>52</v>
      </c>
      <c r="E1137" s="44"/>
      <c r="F1137" s="95">
        <v>16028305.309232999</v>
      </c>
      <c r="G1137" s="75" t="s">
        <v>156</v>
      </c>
      <c r="H1137" s="47">
        <v>16028305.310000001</v>
      </c>
      <c r="I1137" s="35" t="s">
        <v>1105</v>
      </c>
      <c r="J1137" s="37">
        <f t="shared" si="65"/>
        <v>-7.6700188219547272E-4</v>
      </c>
      <c r="K1137" s="37">
        <f t="shared" si="66"/>
        <v>-1.6399845480918884E-4</v>
      </c>
      <c r="L1137" s="39"/>
      <c r="M1137" s="40"/>
      <c r="N1137" s="40"/>
      <c r="O1137" s="41"/>
    </row>
    <row r="1138" spans="1:15" s="7" customFormat="1" ht="18.75">
      <c r="A1138" s="56"/>
      <c r="B1138" s="30"/>
      <c r="C1138" s="62" t="s">
        <v>158</v>
      </c>
      <c r="D1138" s="32" t="s">
        <v>215</v>
      </c>
      <c r="E1138" s="44"/>
      <c r="F1138" s="95">
        <v>9333519.5226945002</v>
      </c>
      <c r="G1138" s="75" t="s">
        <v>160</v>
      </c>
      <c r="H1138" s="47">
        <v>9333519.5199999996</v>
      </c>
      <c r="I1138" s="35" t="s">
        <v>1204</v>
      </c>
      <c r="J1138" s="37">
        <f t="shared" si="65"/>
        <v>2.6945006102323532E-3</v>
      </c>
      <c r="K1138" s="37">
        <f t="shared" si="66"/>
        <v>-9.3100033700466156E-4</v>
      </c>
      <c r="L1138" s="39"/>
      <c r="M1138" s="40"/>
      <c r="N1138" s="40"/>
      <c r="O1138" s="41"/>
    </row>
    <row r="1139" spans="1:15" s="7" customFormat="1" ht="18.75">
      <c r="A1139" s="56"/>
      <c r="B1139" s="30"/>
      <c r="C1139" s="62" t="s">
        <v>162</v>
      </c>
      <c r="D1139" s="32" t="s">
        <v>65</v>
      </c>
      <c r="E1139" s="44"/>
      <c r="F1139" s="95">
        <v>10701337.16358</v>
      </c>
      <c r="G1139" s="75" t="s">
        <v>164</v>
      </c>
      <c r="H1139" s="47">
        <v>10701337.16358</v>
      </c>
      <c r="I1139" s="35" t="s">
        <v>157</v>
      </c>
      <c r="J1139" s="37">
        <f t="shared" si="65"/>
        <v>0</v>
      </c>
      <c r="K1139" s="37">
        <f t="shared" si="66"/>
        <v>1.7635002732276917E-3</v>
      </c>
      <c r="L1139" s="39"/>
      <c r="M1139" s="40"/>
      <c r="N1139" s="40"/>
      <c r="O1139" s="41"/>
    </row>
    <row r="1140" spans="1:15" s="7" customFormat="1" ht="18.75">
      <c r="A1140" s="56"/>
      <c r="B1140" s="30"/>
      <c r="C1140" s="62" t="s">
        <v>166</v>
      </c>
      <c r="D1140" s="32" t="s">
        <v>71</v>
      </c>
      <c r="E1140" s="44"/>
      <c r="F1140" s="95">
        <v>14401102.330628999</v>
      </c>
      <c r="G1140" s="75" t="s">
        <v>168</v>
      </c>
      <c r="H1140" s="47">
        <v>14401102.23</v>
      </c>
      <c r="I1140" s="35" t="s">
        <v>1213</v>
      </c>
      <c r="J1140" s="37">
        <f t="shared" si="65"/>
        <v>0.10062899813055992</v>
      </c>
      <c r="K1140" s="37">
        <f t="shared" si="66"/>
        <v>1.7635002732276917E-3</v>
      </c>
      <c r="L1140" s="39"/>
      <c r="M1140" s="40"/>
      <c r="N1140" s="40"/>
      <c r="O1140" s="41"/>
    </row>
    <row r="1141" spans="1:15" s="7" customFormat="1" ht="18.75">
      <c r="A1141" s="56"/>
      <c r="B1141" s="30"/>
      <c r="C1141" s="62" t="s">
        <v>170</v>
      </c>
      <c r="D1141" s="32" t="s">
        <v>26</v>
      </c>
      <c r="E1141" s="44"/>
      <c r="F1141" s="95">
        <v>16316108.312374501</v>
      </c>
      <c r="G1141" s="75" t="s">
        <v>172</v>
      </c>
      <c r="H1141" s="47">
        <v>16316108.312374501</v>
      </c>
      <c r="I1141" s="35" t="s">
        <v>172</v>
      </c>
      <c r="J1141" s="37">
        <f t="shared" si="65"/>
        <v>0</v>
      </c>
      <c r="K1141" s="37">
        <f t="shared" si="66"/>
        <v>0.10239249840378761</v>
      </c>
      <c r="L1141" s="39"/>
      <c r="M1141" s="40"/>
      <c r="N1141" s="40"/>
      <c r="O1141" s="41"/>
    </row>
    <row r="1142" spans="1:15" s="7" customFormat="1" ht="18.75">
      <c r="A1142" s="56"/>
      <c r="B1142" s="30"/>
      <c r="C1142" s="62" t="s">
        <v>174</v>
      </c>
      <c r="D1142" s="32" t="s">
        <v>223</v>
      </c>
      <c r="E1142" s="44"/>
      <c r="F1142" s="95">
        <v>10342311.1724205</v>
      </c>
      <c r="G1142" s="75" t="s">
        <v>176</v>
      </c>
      <c r="H1142" s="47">
        <v>10340582.970000001</v>
      </c>
      <c r="I1142" s="35" t="s">
        <v>1126</v>
      </c>
      <c r="J1142" s="37">
        <f t="shared" si="65"/>
        <v>1728.2024204991758</v>
      </c>
      <c r="K1142" s="37">
        <f t="shared" si="66"/>
        <v>0.10239249840378761</v>
      </c>
      <c r="L1142" s="39"/>
      <c r="M1142" s="40"/>
      <c r="N1142" s="40"/>
      <c r="O1142" s="41"/>
    </row>
    <row r="1143" spans="1:15" s="7" customFormat="1" ht="18.75">
      <c r="A1143" s="56"/>
      <c r="B1143" s="30"/>
      <c r="C1143" s="62" t="s">
        <v>178</v>
      </c>
      <c r="D1143" s="32" t="s">
        <v>367</v>
      </c>
      <c r="E1143" s="44"/>
      <c r="F1143" s="95">
        <v>12191634.353052001</v>
      </c>
      <c r="G1143" s="75" t="s">
        <v>179</v>
      </c>
      <c r="H1143" s="47">
        <v>12191634.359999999</v>
      </c>
      <c r="I1143" s="35" t="s">
        <v>1214</v>
      </c>
      <c r="J1143" s="37">
        <f t="shared" si="65"/>
        <v>-6.9479979574680328E-3</v>
      </c>
      <c r="K1143" s="37">
        <f t="shared" si="66"/>
        <v>1728.3048129975796</v>
      </c>
      <c r="L1143" s="39"/>
      <c r="M1143" s="40"/>
      <c r="N1143" s="40"/>
      <c r="O1143" s="41"/>
    </row>
    <row r="1144" spans="1:15" s="7" customFormat="1" ht="18.75">
      <c r="A1144" s="56"/>
      <c r="B1144" s="30"/>
      <c r="C1144" s="62" t="s">
        <v>181</v>
      </c>
      <c r="D1144" s="32" t="s">
        <v>368</v>
      </c>
      <c r="E1144" s="44"/>
      <c r="F1144" s="95">
        <v>23737702.790581502</v>
      </c>
      <c r="G1144" s="75" t="s">
        <v>183</v>
      </c>
      <c r="H1144" s="47">
        <v>23737702.789999999</v>
      </c>
      <c r="I1144" s="35" t="s">
        <v>539</v>
      </c>
      <c r="J1144" s="37">
        <f t="shared" si="65"/>
        <v>5.8150291442871094E-4</v>
      </c>
      <c r="K1144" s="37">
        <f t="shared" si="66"/>
        <v>1728.2978649996221</v>
      </c>
      <c r="L1144" s="39"/>
      <c r="M1144" s="40"/>
      <c r="N1144" s="40"/>
      <c r="O1144" s="41"/>
    </row>
    <row r="1145" spans="1:15" s="7" customFormat="1" ht="18.75">
      <c r="A1145" s="56"/>
      <c r="B1145" s="30"/>
      <c r="C1145" s="62" t="s">
        <v>185</v>
      </c>
      <c r="D1145" s="32" t="s">
        <v>370</v>
      </c>
      <c r="E1145" s="44"/>
      <c r="F1145" s="95">
        <v>26361348.345737997</v>
      </c>
      <c r="G1145" s="75" t="s">
        <v>187</v>
      </c>
      <c r="H1145" s="47">
        <v>26361348.345737997</v>
      </c>
      <c r="I1145" s="35" t="s">
        <v>1215</v>
      </c>
      <c r="J1145" s="37">
        <f t="shared" si="65"/>
        <v>0</v>
      </c>
      <c r="K1145" s="37">
        <f t="shared" si="66"/>
        <v>1728.2984465025365</v>
      </c>
      <c r="L1145" s="39"/>
      <c r="M1145" s="40"/>
      <c r="N1145" s="40"/>
      <c r="O1145" s="41"/>
    </row>
    <row r="1146" spans="1:15" s="7" customFormat="1" ht="18.75">
      <c r="A1146" s="56"/>
      <c r="B1146" s="30"/>
      <c r="C1146" s="62" t="s">
        <v>189</v>
      </c>
      <c r="D1146" s="32" t="s">
        <v>371</v>
      </c>
      <c r="E1146" s="44"/>
      <c r="F1146" s="95">
        <v>21505478.23301325</v>
      </c>
      <c r="G1146" s="75" t="s">
        <v>1216</v>
      </c>
      <c r="H1146" s="47">
        <v>21505478.23</v>
      </c>
      <c r="I1146" s="35" t="s">
        <v>1217</v>
      </c>
      <c r="J1146" s="37">
        <f t="shared" si="65"/>
        <v>3.0132494866847992E-3</v>
      </c>
      <c r="K1146" s="37">
        <f t="shared" si="66"/>
        <v>1728.2984465025365</v>
      </c>
      <c r="L1146" s="39"/>
      <c r="M1146" s="40"/>
      <c r="N1146" s="40"/>
      <c r="O1146" s="41"/>
    </row>
    <row r="1147" spans="1:15" s="7" customFormat="1" ht="18.75">
      <c r="A1147" s="56"/>
      <c r="B1147" s="30"/>
      <c r="C1147" s="62" t="s">
        <v>191</v>
      </c>
      <c r="D1147" s="32" t="s">
        <v>1218</v>
      </c>
      <c r="E1147" s="44">
        <v>43986</v>
      </c>
      <c r="F1147" s="95">
        <v>7602017.9749709992</v>
      </c>
      <c r="G1147" s="75" t="s">
        <v>193</v>
      </c>
      <c r="H1147" s="47">
        <v>7602017.9749709992</v>
      </c>
      <c r="I1147" s="35" t="s">
        <v>782</v>
      </c>
      <c r="J1147" s="37">
        <f t="shared" si="65"/>
        <v>0</v>
      </c>
      <c r="K1147" s="37">
        <f t="shared" si="66"/>
        <v>1728.3014597520232</v>
      </c>
      <c r="L1147" s="39"/>
      <c r="M1147" s="40"/>
      <c r="N1147" s="40"/>
      <c r="O1147" s="41"/>
    </row>
    <row r="1148" spans="1:15" s="7" customFormat="1" ht="18.75">
      <c r="A1148" s="56"/>
      <c r="B1148" s="30"/>
      <c r="C1148" s="62" t="s">
        <v>195</v>
      </c>
      <c r="D1148" s="32" t="s">
        <v>373</v>
      </c>
      <c r="E1148" s="44" t="s">
        <v>197</v>
      </c>
      <c r="F1148" s="95">
        <v>2468321.2764367503</v>
      </c>
      <c r="G1148" s="75" t="s">
        <v>198</v>
      </c>
      <c r="H1148" s="47">
        <v>2468321.2799999998</v>
      </c>
      <c r="I1148" s="35">
        <v>44019</v>
      </c>
      <c r="J1148" s="37">
        <f t="shared" si="65"/>
        <v>-3.563249483704567E-3</v>
      </c>
      <c r="K1148" s="37">
        <f t="shared" si="66"/>
        <v>1728.3014597520232</v>
      </c>
      <c r="L1148" s="39"/>
      <c r="M1148" s="40"/>
      <c r="N1148" s="40"/>
      <c r="O1148" s="41"/>
    </row>
    <row r="1149" spans="1:15" s="7" customFormat="1" ht="18.75">
      <c r="A1149" s="56"/>
      <c r="B1149" s="30"/>
      <c r="C1149" s="62" t="s">
        <v>199</v>
      </c>
      <c r="D1149" s="32" t="s">
        <v>92</v>
      </c>
      <c r="E1149" s="44">
        <v>44049</v>
      </c>
      <c r="F1149" s="95">
        <v>15492969.805740001</v>
      </c>
      <c r="G1149" s="75">
        <v>43897</v>
      </c>
      <c r="H1149" s="47">
        <v>15492969.810000001</v>
      </c>
      <c r="I1149" s="35" t="s">
        <v>707</v>
      </c>
      <c r="J1149" s="37">
        <f t="shared" si="65"/>
        <v>-4.2599998414516449E-3</v>
      </c>
      <c r="K1149" s="37">
        <f t="shared" si="66"/>
        <v>1728.2978965025395</v>
      </c>
      <c r="L1149" s="39"/>
      <c r="M1149" s="40"/>
      <c r="N1149" s="40"/>
      <c r="O1149" s="41"/>
    </row>
    <row r="1150" spans="1:15" s="7" customFormat="1" ht="18.75">
      <c r="A1150" s="56"/>
      <c r="B1150" s="30"/>
      <c r="C1150" s="62" t="s">
        <v>201</v>
      </c>
      <c r="D1150" s="32" t="s">
        <v>63</v>
      </c>
      <c r="E1150" s="44">
        <v>44081</v>
      </c>
      <c r="F1150" s="95">
        <v>21892803.418499999</v>
      </c>
      <c r="G1150" s="75">
        <v>44020</v>
      </c>
      <c r="H1150" s="47">
        <v>21892803.420000002</v>
      </c>
      <c r="I1150" s="35" t="s">
        <v>1219</v>
      </c>
      <c r="J1150" s="37">
        <f t="shared" si="65"/>
        <v>-1.5000030398368835E-3</v>
      </c>
      <c r="K1150" s="37">
        <f t="shared" si="66"/>
        <v>1728.2936365026981</v>
      </c>
      <c r="L1150" s="39"/>
      <c r="M1150" s="40"/>
      <c r="N1150" s="40"/>
      <c r="O1150" s="41"/>
    </row>
    <row r="1151" spans="1:15" s="7" customFormat="1" ht="18.75">
      <c r="A1151" s="56"/>
      <c r="B1151" s="30"/>
      <c r="C1151" s="62" t="s">
        <v>203</v>
      </c>
      <c r="D1151" s="32" t="s">
        <v>374</v>
      </c>
      <c r="E1151" s="44">
        <v>43990</v>
      </c>
      <c r="F1151" s="95">
        <v>21951881.957991995</v>
      </c>
      <c r="G1151" s="75" t="s">
        <v>290</v>
      </c>
      <c r="H1151" s="47">
        <v>21951881.960000001</v>
      </c>
      <c r="I1151" s="35" t="s">
        <v>1220</v>
      </c>
      <c r="J1151" s="37">
        <f t="shared" si="65"/>
        <v>-2.0080059766769409E-3</v>
      </c>
      <c r="K1151" s="37">
        <f t="shared" si="66"/>
        <v>1728.2921364996582</v>
      </c>
      <c r="L1151" s="39"/>
      <c r="M1151" s="40"/>
      <c r="N1151" s="40"/>
      <c r="O1151" s="41"/>
    </row>
    <row r="1152" spans="1:15" s="7" customFormat="1" ht="18.75">
      <c r="A1152" s="56"/>
      <c r="B1152" s="30"/>
      <c r="C1152" s="62" t="s">
        <v>207</v>
      </c>
      <c r="D1152" s="32" t="s">
        <v>376</v>
      </c>
      <c r="E1152" s="44" t="s">
        <v>292</v>
      </c>
      <c r="F1152" s="95">
        <v>21612404.499949995</v>
      </c>
      <c r="G1152" s="75" t="s">
        <v>293</v>
      </c>
      <c r="H1152" s="47">
        <v>21612404.5</v>
      </c>
      <c r="I1152" s="44">
        <v>43901</v>
      </c>
      <c r="J1152" s="37">
        <f t="shared" si="65"/>
        <v>-5.0004571676254272E-5</v>
      </c>
      <c r="K1152" s="37">
        <f t="shared" si="66"/>
        <v>1728.2901284936816</v>
      </c>
      <c r="L1152" s="39"/>
      <c r="M1152" s="40"/>
      <c r="N1152" s="40"/>
      <c r="O1152" s="41"/>
    </row>
    <row r="1153" spans="1:15" s="7" customFormat="1" ht="18.75">
      <c r="A1153" s="56"/>
      <c r="B1153" s="30"/>
      <c r="C1153" s="62" t="s">
        <v>212</v>
      </c>
      <c r="D1153" s="32" t="s">
        <v>54</v>
      </c>
      <c r="E1153" s="44">
        <v>44084</v>
      </c>
      <c r="F1153" s="95">
        <v>18908141.041373499</v>
      </c>
      <c r="G1153" s="75" t="s">
        <v>213</v>
      </c>
      <c r="H1153" s="47">
        <v>18908141.039999999</v>
      </c>
      <c r="I1153" s="44">
        <v>43872</v>
      </c>
      <c r="J1153" s="37">
        <f t="shared" si="65"/>
        <v>1.3734996318817139E-3</v>
      </c>
      <c r="K1153" s="37">
        <f t="shared" si="66"/>
        <v>1728.2900784891099</v>
      </c>
      <c r="L1153" s="39"/>
      <c r="M1153" s="40"/>
      <c r="N1153" s="40"/>
      <c r="O1153" s="41"/>
    </row>
    <row r="1154" spans="1:15" s="7" customFormat="1" ht="18.75">
      <c r="A1154" s="56"/>
      <c r="B1154" s="30"/>
      <c r="C1154" s="62" t="s">
        <v>214</v>
      </c>
      <c r="D1154" s="32" t="s">
        <v>379</v>
      </c>
      <c r="E1154" s="44">
        <v>43962</v>
      </c>
      <c r="F1154" s="95">
        <v>24782796.680356499</v>
      </c>
      <c r="G1154" s="75" t="s">
        <v>216</v>
      </c>
      <c r="H1154" s="47">
        <v>24782796.68</v>
      </c>
      <c r="I1154" s="35" t="s">
        <v>1221</v>
      </c>
      <c r="J1154" s="37">
        <f>F1154-H1154</f>
        <v>3.5649910569190979E-4</v>
      </c>
      <c r="K1154" s="37">
        <f t="shared" si="66"/>
        <v>1728.2914519887418</v>
      </c>
      <c r="L1154" s="39"/>
      <c r="M1154" s="40"/>
      <c r="N1154" s="40"/>
      <c r="O1154" s="41"/>
    </row>
    <row r="1155" spans="1:15" s="7" customFormat="1" ht="18.75">
      <c r="A1155" s="56"/>
      <c r="B1155" s="30"/>
      <c r="C1155" s="62" t="s">
        <v>218</v>
      </c>
      <c r="D1155" s="32" t="s">
        <v>381</v>
      </c>
      <c r="E1155" s="44">
        <v>44024</v>
      </c>
      <c r="F1155" s="95">
        <v>12941165.442463748</v>
      </c>
      <c r="G1155" s="75">
        <v>44531</v>
      </c>
      <c r="H1155" s="47">
        <v>12941165.439999999</v>
      </c>
      <c r="I1155" s="35" t="s">
        <v>1221</v>
      </c>
      <c r="J1155" s="37">
        <f>F1155-H1155</f>
        <v>2.4637486785650253E-3</v>
      </c>
      <c r="K1155" s="37">
        <f t="shared" si="66"/>
        <v>1728.2918084878474</v>
      </c>
      <c r="L1155" s="39"/>
      <c r="M1155" s="40"/>
      <c r="N1155" s="40"/>
      <c r="O1155" s="41"/>
    </row>
    <row r="1156" spans="1:15" s="7" customFormat="1" ht="18.75">
      <c r="A1156" s="56"/>
      <c r="B1156" s="30"/>
      <c r="C1156" s="62" t="s">
        <v>219</v>
      </c>
      <c r="D1156" s="32" t="s">
        <v>383</v>
      </c>
      <c r="E1156" s="44">
        <v>44409</v>
      </c>
      <c r="F1156" s="95">
        <v>13732438.314456251</v>
      </c>
      <c r="G1156" s="75" t="s">
        <v>220</v>
      </c>
      <c r="H1156" s="47">
        <v>13732438.310000001</v>
      </c>
      <c r="I1156" s="35" t="s">
        <v>82</v>
      </c>
      <c r="J1156" s="37">
        <f>F1156-H1156</f>
        <v>4.4562499970197678E-3</v>
      </c>
      <c r="K1156" s="37">
        <f t="shared" si="66"/>
        <v>1728.294272236526</v>
      </c>
      <c r="L1156" s="39"/>
      <c r="M1156" s="40"/>
      <c r="N1156" s="40"/>
      <c r="O1156" s="41"/>
    </row>
    <row r="1157" spans="1:15" s="7" customFormat="1" ht="18.75">
      <c r="A1157" s="56"/>
      <c r="B1157" s="30"/>
      <c r="C1157" s="62" t="s">
        <v>221</v>
      </c>
      <c r="D1157" s="32" t="s">
        <v>384</v>
      </c>
      <c r="E1157" s="44">
        <v>44410</v>
      </c>
      <c r="F1157" s="95">
        <v>14605928.230682248</v>
      </c>
      <c r="G1157" s="75">
        <v>44289</v>
      </c>
      <c r="H1157" s="47">
        <v>14605928.23</v>
      </c>
      <c r="I1157" s="35" t="s">
        <v>605</v>
      </c>
      <c r="J1157" s="37">
        <f>F1157-H1157</f>
        <v>6.8224780261516571E-4</v>
      </c>
      <c r="K1157" s="37">
        <f t="shared" si="66"/>
        <v>1728.298728486523</v>
      </c>
      <c r="L1157" s="39"/>
      <c r="M1157" s="40"/>
      <c r="N1157" s="40"/>
      <c r="O1157" s="41"/>
    </row>
    <row r="1158" spans="1:15" s="7" customFormat="1" ht="18.75">
      <c r="A1158" s="56"/>
      <c r="B1158" s="30"/>
      <c r="C1158" s="62" t="s">
        <v>222</v>
      </c>
      <c r="D1158" s="32" t="s">
        <v>385</v>
      </c>
      <c r="E1158" s="44">
        <v>44319</v>
      </c>
      <c r="F1158" s="95">
        <v>22733646.156317249</v>
      </c>
      <c r="G1158" s="75" t="s">
        <v>224</v>
      </c>
      <c r="H1158" s="47"/>
      <c r="I1158" s="35"/>
      <c r="J1158" s="37">
        <f>F1158-H1158</f>
        <v>22733646.156317249</v>
      </c>
      <c r="K1158" s="37">
        <f t="shared" si="66"/>
        <v>1728.2994107343256</v>
      </c>
      <c r="L1158" s="39"/>
      <c r="M1158" s="40"/>
      <c r="N1158" s="40"/>
      <c r="O1158" s="41"/>
    </row>
    <row r="1159" spans="1:15" s="7" customFormat="1" ht="18.75">
      <c r="A1159" s="56"/>
      <c r="B1159" s="30" t="s">
        <v>1222</v>
      </c>
      <c r="C1159" s="31"/>
      <c r="D1159" s="32"/>
      <c r="E1159" s="44"/>
      <c r="F1159" s="34"/>
      <c r="G1159" s="35"/>
      <c r="H1159" s="36"/>
      <c r="I1159" s="35"/>
      <c r="J1159" s="37"/>
      <c r="K1159" s="38">
        <f t="shared" si="66"/>
        <v>22735374.455727983</v>
      </c>
      <c r="L1159" s="39"/>
      <c r="M1159" s="40"/>
      <c r="N1159" s="40"/>
      <c r="O1159" s="41"/>
    </row>
    <row r="1160" spans="1:15" s="7" customFormat="1" ht="18.75">
      <c r="A1160" s="56"/>
      <c r="B1160" s="30"/>
      <c r="C1160" s="31"/>
      <c r="D1160" s="32"/>
      <c r="E1160" s="44"/>
      <c r="F1160" s="34"/>
      <c r="G1160" s="35"/>
      <c r="H1160" s="36"/>
      <c r="I1160" s="35"/>
      <c r="J1160" s="37"/>
      <c r="K1160" s="38"/>
      <c r="L1160" s="39"/>
      <c r="M1160" s="40"/>
      <c r="N1160" s="40"/>
      <c r="O1160" s="41"/>
    </row>
    <row r="1161" spans="1:15" s="7" customFormat="1" ht="18.75">
      <c r="A1161" s="56">
        <v>30</v>
      </c>
      <c r="B1161" s="30" t="s">
        <v>70</v>
      </c>
      <c r="C1161" s="42" t="s">
        <v>142</v>
      </c>
      <c r="D1161" s="32" t="s">
        <v>140</v>
      </c>
      <c r="E1161" s="44"/>
      <c r="F1161" s="34">
        <v>3510236.8821114004</v>
      </c>
      <c r="G1161" s="35" t="s">
        <v>256</v>
      </c>
      <c r="H1161" s="47">
        <f>16375929.85+3510236.89</f>
        <v>19886166.739999998</v>
      </c>
      <c r="I1161" s="35" t="s">
        <v>1138</v>
      </c>
      <c r="J1161" s="37">
        <f t="shared" ref="J1161:J1181" si="67">F1161-H1161</f>
        <v>-16375929.857888598</v>
      </c>
      <c r="K1161" s="38"/>
      <c r="L1161" s="39"/>
      <c r="M1161" s="40"/>
      <c r="N1161" s="40"/>
      <c r="O1161" s="41"/>
    </row>
    <row r="1162" spans="1:15" s="7" customFormat="1" ht="18.75">
      <c r="A1162" s="56"/>
      <c r="B1162" s="30"/>
      <c r="C1162" s="42" t="s">
        <v>145</v>
      </c>
      <c r="D1162" s="32" t="s">
        <v>120</v>
      </c>
      <c r="E1162" s="44"/>
      <c r="F1162" s="34">
        <v>16375929.8558436</v>
      </c>
      <c r="G1162" s="35" t="s">
        <v>256</v>
      </c>
      <c r="H1162" s="216"/>
      <c r="I1162" s="127"/>
      <c r="J1162" s="37">
        <f t="shared" si="67"/>
        <v>16375929.8558436</v>
      </c>
      <c r="K1162" s="37">
        <f>J1161+K1161</f>
        <v>-16375929.857888598</v>
      </c>
      <c r="L1162" s="39"/>
      <c r="M1162" s="40"/>
      <c r="N1162" s="40"/>
      <c r="O1162" s="41"/>
    </row>
    <row r="1163" spans="1:15" s="7" customFormat="1" ht="18.75">
      <c r="A1163" s="56"/>
      <c r="B1163" s="30"/>
      <c r="C1163" s="42" t="s">
        <v>148</v>
      </c>
      <c r="D1163" s="32" t="s">
        <v>146</v>
      </c>
      <c r="E1163" s="44"/>
      <c r="F1163" s="34">
        <v>20229347.114847258</v>
      </c>
      <c r="G1163" s="35" t="s">
        <v>918</v>
      </c>
      <c r="H1163" s="36">
        <v>20229347.109999999</v>
      </c>
      <c r="I1163" s="35">
        <v>43588</v>
      </c>
      <c r="J1163" s="37">
        <f t="shared" si="67"/>
        <v>4.8472583293914795E-3</v>
      </c>
      <c r="K1163" s="37">
        <f>J1162+K1162</f>
        <v>-2.0449981093406677E-3</v>
      </c>
      <c r="L1163" s="39"/>
      <c r="M1163" s="40"/>
      <c r="N1163" s="40"/>
      <c r="O1163" s="41"/>
    </row>
    <row r="1164" spans="1:15" s="7" customFormat="1" ht="18.75">
      <c r="A1164" s="56"/>
      <c r="B1164" s="30"/>
      <c r="C1164" s="42" t="s">
        <v>151</v>
      </c>
      <c r="D1164" s="32" t="s">
        <v>80</v>
      </c>
      <c r="E1164" s="44"/>
      <c r="F1164" s="34">
        <v>21069155.104026746</v>
      </c>
      <c r="G1164" s="35" t="s">
        <v>152</v>
      </c>
      <c r="H1164" s="36">
        <v>21069155.100000001</v>
      </c>
      <c r="I1164" s="35" t="s">
        <v>1223</v>
      </c>
      <c r="J1164" s="37">
        <f t="shared" si="67"/>
        <v>4.0267445147037506E-3</v>
      </c>
      <c r="K1164" s="37">
        <f>J1163+K1163</f>
        <v>2.8022602200508118E-3</v>
      </c>
      <c r="L1164" s="39"/>
      <c r="M1164" s="40"/>
      <c r="N1164" s="40"/>
      <c r="O1164" s="41"/>
    </row>
    <row r="1165" spans="1:15" s="7" customFormat="1" ht="18.75">
      <c r="A1165" s="56"/>
      <c r="B1165" s="30"/>
      <c r="C1165" s="42" t="s">
        <v>154</v>
      </c>
      <c r="D1165" s="32" t="s">
        <v>124</v>
      </c>
      <c r="E1165" s="44"/>
      <c r="F1165" s="34">
        <v>21304897.906350452</v>
      </c>
      <c r="G1165" s="35" t="s">
        <v>156</v>
      </c>
      <c r="H1165" s="36">
        <v>21304897.91</v>
      </c>
      <c r="I1165" s="35" t="s">
        <v>1223</v>
      </c>
      <c r="J1165" s="37">
        <f t="shared" si="67"/>
        <v>-3.6495476961135864E-3</v>
      </c>
      <c r="K1165" s="37">
        <v>2.8022602200508118E-3</v>
      </c>
      <c r="L1165" s="39"/>
      <c r="M1165" s="40"/>
      <c r="N1165" s="40"/>
      <c r="O1165" s="41"/>
    </row>
    <row r="1166" spans="1:15" s="7" customFormat="1" ht="18.75">
      <c r="A1166" s="56"/>
      <c r="B1166" s="30"/>
      <c r="C1166" s="42" t="s">
        <v>158</v>
      </c>
      <c r="D1166" s="32" t="s">
        <v>155</v>
      </c>
      <c r="E1166" s="44"/>
      <c r="F1166" s="34">
        <v>19968269.435575649</v>
      </c>
      <c r="G1166" s="35" t="s">
        <v>160</v>
      </c>
      <c r="H1166" s="36">
        <v>19968269.435575649</v>
      </c>
      <c r="I1166" s="35" t="s">
        <v>157</v>
      </c>
      <c r="J1166" s="37">
        <f t="shared" si="67"/>
        <v>0</v>
      </c>
      <c r="K1166" s="37">
        <v>2.8022602200508118E-3</v>
      </c>
      <c r="L1166" s="39"/>
      <c r="M1166" s="40"/>
      <c r="N1166" s="40"/>
      <c r="O1166" s="41"/>
    </row>
    <row r="1167" spans="1:15" s="7" customFormat="1" ht="18.75">
      <c r="A1167" s="56"/>
      <c r="B1167" s="30"/>
      <c r="C1167" s="42" t="s">
        <v>162</v>
      </c>
      <c r="D1167" s="32" t="s">
        <v>159</v>
      </c>
      <c r="E1167" s="44"/>
      <c r="F1167" s="34">
        <v>20981515.494592797</v>
      </c>
      <c r="G1167" s="35" t="s">
        <v>164</v>
      </c>
      <c r="H1167" s="36">
        <v>20981515.494592797</v>
      </c>
      <c r="I1167" s="35" t="s">
        <v>1224</v>
      </c>
      <c r="J1167" s="37">
        <f t="shared" si="67"/>
        <v>0</v>
      </c>
      <c r="K1167" s="37">
        <v>2.8022602200508118E-3</v>
      </c>
      <c r="L1167" s="39"/>
      <c r="M1167" s="40"/>
      <c r="N1167" s="40"/>
      <c r="O1167" s="41"/>
    </row>
    <row r="1168" spans="1:15" s="7" customFormat="1" ht="18.75">
      <c r="A1168" s="56"/>
      <c r="B1168" s="30"/>
      <c r="C1168" s="42" t="s">
        <v>166</v>
      </c>
      <c r="D1168" s="32" t="s">
        <v>163</v>
      </c>
      <c r="E1168" s="44"/>
      <c r="F1168" s="34">
        <v>19948605.704140365</v>
      </c>
      <c r="G1168" s="35" t="s">
        <v>168</v>
      </c>
      <c r="H1168" s="36">
        <v>19948605.699999999</v>
      </c>
      <c r="I1168" s="35" t="s">
        <v>272</v>
      </c>
      <c r="J1168" s="37">
        <f t="shared" si="67"/>
        <v>4.140365868806839E-3</v>
      </c>
      <c r="K1168" s="37">
        <v>2.8022602200508118E-3</v>
      </c>
      <c r="L1168" s="39"/>
      <c r="M1168" s="40"/>
      <c r="N1168" s="40"/>
      <c r="O1168" s="41"/>
    </row>
    <row r="1169" spans="1:15" s="7" customFormat="1" ht="18.75">
      <c r="A1169" s="56"/>
      <c r="B1169" s="30"/>
      <c r="C1169" s="42" t="s">
        <v>170</v>
      </c>
      <c r="D1169" s="32" t="s">
        <v>167</v>
      </c>
      <c r="E1169" s="44"/>
      <c r="F1169" s="34">
        <v>19067784.893763583</v>
      </c>
      <c r="G1169" s="35" t="s">
        <v>172</v>
      </c>
      <c r="H1169" s="36">
        <v>19067784.893763583</v>
      </c>
      <c r="I1169" s="35" t="s">
        <v>1225</v>
      </c>
      <c r="J1169" s="37">
        <f t="shared" si="67"/>
        <v>0</v>
      </c>
      <c r="K1169" s="37">
        <v>2.8022602200508118E-3</v>
      </c>
      <c r="L1169" s="39"/>
      <c r="M1169" s="40"/>
      <c r="N1169" s="40"/>
      <c r="O1169" s="41"/>
    </row>
    <row r="1170" spans="1:15" s="7" customFormat="1" ht="18.75">
      <c r="A1170" s="56"/>
      <c r="B1170" s="30"/>
      <c r="C1170" s="42" t="s">
        <v>174</v>
      </c>
      <c r="D1170" s="32" t="s">
        <v>171</v>
      </c>
      <c r="E1170" s="44"/>
      <c r="F1170" s="34">
        <v>19087939.684876226</v>
      </c>
      <c r="G1170" s="35" t="s">
        <v>176</v>
      </c>
      <c r="H1170" s="36">
        <v>19087939.684876226</v>
      </c>
      <c r="I1170" s="35" t="s">
        <v>729</v>
      </c>
      <c r="J1170" s="37">
        <f t="shared" si="67"/>
        <v>0</v>
      </c>
      <c r="K1170" s="37">
        <v>2.8022602200508118E-3</v>
      </c>
      <c r="L1170" s="39"/>
      <c r="M1170" s="40"/>
      <c r="N1170" s="40"/>
      <c r="O1170" s="41"/>
    </row>
    <row r="1171" spans="1:15" s="7" customFormat="1" ht="18.75">
      <c r="A1171" s="56"/>
      <c r="B1171" s="30"/>
      <c r="C1171" s="42" t="s">
        <v>178</v>
      </c>
      <c r="D1171" s="32" t="s">
        <v>175</v>
      </c>
      <c r="E1171" s="44"/>
      <c r="F1171" s="34">
        <v>17181227.060108997</v>
      </c>
      <c r="G1171" s="35" t="s">
        <v>179</v>
      </c>
      <c r="H1171" s="36">
        <v>17181227.059999999</v>
      </c>
      <c r="I1171" s="35" t="s">
        <v>919</v>
      </c>
      <c r="J1171" s="37">
        <f t="shared" si="67"/>
        <v>1.0899826884269714E-4</v>
      </c>
      <c r="K1171" s="37">
        <v>2.8022602200508118E-3</v>
      </c>
      <c r="L1171" s="39"/>
      <c r="M1171" s="40"/>
      <c r="N1171" s="40"/>
      <c r="O1171" s="41"/>
    </row>
    <row r="1172" spans="1:15" s="7" customFormat="1" ht="18.75">
      <c r="A1172" s="56"/>
      <c r="B1172" s="30"/>
      <c r="C1172" s="42" t="s">
        <v>181</v>
      </c>
      <c r="D1172" s="32" t="s">
        <v>111</v>
      </c>
      <c r="E1172" s="44"/>
      <c r="F1172" s="34">
        <v>17254797.593768701</v>
      </c>
      <c r="G1172" s="35" t="s">
        <v>183</v>
      </c>
      <c r="H1172" s="36">
        <v>17254797.593768701</v>
      </c>
      <c r="I1172" s="35" t="s">
        <v>1226</v>
      </c>
      <c r="J1172" s="37">
        <f t="shared" si="67"/>
        <v>0</v>
      </c>
      <c r="K1172" s="37">
        <v>2.8022602200508118E-3</v>
      </c>
      <c r="L1172" s="39"/>
      <c r="M1172" s="40"/>
      <c r="N1172" s="40"/>
      <c r="O1172" s="41"/>
    </row>
    <row r="1173" spans="1:15" s="7" customFormat="1" ht="18.75">
      <c r="A1173" s="56"/>
      <c r="B1173" s="30"/>
      <c r="C1173" s="42" t="s">
        <v>185</v>
      </c>
      <c r="D1173" s="32" t="s">
        <v>182</v>
      </c>
      <c r="E1173" s="44"/>
      <c r="F1173" s="34">
        <v>19297800.525816746</v>
      </c>
      <c r="G1173" s="35" t="s">
        <v>187</v>
      </c>
      <c r="H1173" s="36">
        <v>19297800.525816746</v>
      </c>
      <c r="I1173" s="35" t="s">
        <v>1227</v>
      </c>
      <c r="J1173" s="37">
        <f t="shared" si="67"/>
        <v>0</v>
      </c>
      <c r="K1173" s="37">
        <f>J1172+K1172</f>
        <v>2.8022602200508118E-3</v>
      </c>
      <c r="L1173" s="39"/>
      <c r="M1173" s="40"/>
      <c r="N1173" s="40"/>
      <c r="O1173" s="41"/>
    </row>
    <row r="1174" spans="1:15" s="7" customFormat="1" ht="18.75">
      <c r="A1174" s="56"/>
      <c r="B1174" s="30"/>
      <c r="C1174" s="42" t="s">
        <v>189</v>
      </c>
      <c r="D1174" s="32" t="s">
        <v>186</v>
      </c>
      <c r="E1174" s="44"/>
      <c r="F1174" s="34">
        <v>19220775.901619248</v>
      </c>
      <c r="G1174" s="35" t="s">
        <v>377</v>
      </c>
      <c r="H1174" s="36">
        <v>19220775.901619248</v>
      </c>
      <c r="I1174" s="35" t="s">
        <v>1227</v>
      </c>
      <c r="J1174" s="37">
        <f t="shared" si="67"/>
        <v>0</v>
      </c>
      <c r="K1174" s="37">
        <f>J1173+K1173</f>
        <v>2.8022602200508118E-3</v>
      </c>
      <c r="L1174" s="39"/>
      <c r="M1174" s="40"/>
      <c r="N1174" s="40"/>
      <c r="O1174" s="41"/>
    </row>
    <row r="1175" spans="1:15" s="7" customFormat="1" ht="18.75">
      <c r="A1175" s="56"/>
      <c r="B1175" s="30"/>
      <c r="C1175" s="42" t="s">
        <v>191</v>
      </c>
      <c r="D1175" s="32" t="s">
        <v>192</v>
      </c>
      <c r="E1175" s="44">
        <v>43986</v>
      </c>
      <c r="F1175" s="34">
        <v>21244302.018681522</v>
      </c>
      <c r="G1175" s="35" t="s">
        <v>193</v>
      </c>
      <c r="H1175" s="36">
        <v>21244302.02</v>
      </c>
      <c r="I1175" s="35">
        <v>44081</v>
      </c>
      <c r="J1175" s="37">
        <f t="shared" si="67"/>
        <v>-1.3184770941734314E-3</v>
      </c>
      <c r="K1175" s="37">
        <f t="shared" ref="K1175:K1187" si="68">J1174+K1174</f>
        <v>2.8022602200508118E-3</v>
      </c>
      <c r="L1175" s="39"/>
      <c r="M1175" s="40"/>
      <c r="N1175" s="40"/>
      <c r="O1175" s="41"/>
    </row>
    <row r="1176" spans="1:15" s="7" customFormat="1" ht="18.75">
      <c r="A1176" s="56"/>
      <c r="B1176" s="30"/>
      <c r="C1176" s="42" t="s">
        <v>195</v>
      </c>
      <c r="D1176" s="32" t="s">
        <v>196</v>
      </c>
      <c r="E1176" s="44" t="s">
        <v>197</v>
      </c>
      <c r="F1176" s="34">
        <v>19627946.207362499</v>
      </c>
      <c r="G1176" s="35" t="s">
        <v>198</v>
      </c>
      <c r="H1176" s="36">
        <v>19627946.210000001</v>
      </c>
      <c r="I1176" s="35">
        <v>44081</v>
      </c>
      <c r="J1176" s="37">
        <f t="shared" si="67"/>
        <v>-2.6375018060207367E-3</v>
      </c>
      <c r="K1176" s="37">
        <f t="shared" si="68"/>
        <v>1.4837831258773804E-3</v>
      </c>
      <c r="L1176" s="39"/>
      <c r="M1176" s="40"/>
      <c r="N1176" s="40"/>
      <c r="O1176" s="41"/>
    </row>
    <row r="1177" spans="1:15" s="7" customFormat="1" ht="18.75">
      <c r="A1177" s="56"/>
      <c r="B1177" s="30"/>
      <c r="C1177" s="42" t="s">
        <v>199</v>
      </c>
      <c r="D1177" s="32" t="s">
        <v>41</v>
      </c>
      <c r="E1177" s="44">
        <v>44049</v>
      </c>
      <c r="F1177" s="34">
        <v>20086715.244477</v>
      </c>
      <c r="G1177" s="35">
        <v>43897</v>
      </c>
      <c r="H1177" s="55">
        <v>20086715.239999998</v>
      </c>
      <c r="I1177" s="7" t="s">
        <v>710</v>
      </c>
      <c r="J1177" s="37">
        <f t="shared" si="67"/>
        <v>4.4770017266273499E-3</v>
      </c>
      <c r="K1177" s="37">
        <f t="shared" si="68"/>
        <v>-1.1537186801433563E-3</v>
      </c>
      <c r="L1177" s="39"/>
      <c r="M1177" s="40"/>
      <c r="N1177" s="40"/>
      <c r="O1177" s="41"/>
    </row>
    <row r="1178" spans="1:15" s="7" customFormat="1" ht="18.75">
      <c r="A1178" s="56"/>
      <c r="B1178" s="30"/>
      <c r="C1178" s="42" t="s">
        <v>201</v>
      </c>
      <c r="D1178" s="32" t="s">
        <v>359</v>
      </c>
      <c r="E1178" s="44">
        <v>44081</v>
      </c>
      <c r="F1178" s="34">
        <v>21612135.155730002</v>
      </c>
      <c r="G1178" s="35">
        <v>44020</v>
      </c>
      <c r="H1178" s="55">
        <v>21612135.16</v>
      </c>
      <c r="I1178" s="7" t="s">
        <v>710</v>
      </c>
      <c r="J1178" s="37">
        <f t="shared" si="67"/>
        <v>-4.2699985206127167E-3</v>
      </c>
      <c r="K1178" s="37">
        <f t="shared" si="68"/>
        <v>3.3232830464839935E-3</v>
      </c>
      <c r="L1178" s="39"/>
      <c r="M1178" s="40"/>
      <c r="N1178" s="40"/>
      <c r="O1178" s="41"/>
    </row>
    <row r="1179" spans="1:15" s="7" customFormat="1" ht="18.75">
      <c r="A1179" s="56"/>
      <c r="B1179" s="30"/>
      <c r="C1179" s="42" t="s">
        <v>203</v>
      </c>
      <c r="D1179" s="32" t="s">
        <v>202</v>
      </c>
      <c r="E1179" s="44">
        <v>43990</v>
      </c>
      <c r="F1179" s="34">
        <v>22839392.413608797</v>
      </c>
      <c r="G1179" s="35" t="s">
        <v>290</v>
      </c>
      <c r="H1179" s="55">
        <v>22839392.41</v>
      </c>
      <c r="I1179" s="44">
        <v>44531</v>
      </c>
      <c r="J1179" s="37">
        <f t="shared" si="67"/>
        <v>3.6087967455387115E-3</v>
      </c>
      <c r="K1179" s="37">
        <f t="shared" si="68"/>
        <v>-9.4671547412872314E-4</v>
      </c>
      <c r="L1179" s="39"/>
      <c r="M1179" s="40"/>
      <c r="N1179" s="40"/>
      <c r="O1179" s="41"/>
    </row>
    <row r="1180" spans="1:15" s="7" customFormat="1" ht="18.75">
      <c r="A1180" s="56"/>
      <c r="B1180" s="30"/>
      <c r="C1180" s="42" t="s">
        <v>207</v>
      </c>
      <c r="D1180" s="32" t="s">
        <v>204</v>
      </c>
      <c r="E1180" s="44" t="s">
        <v>209</v>
      </c>
      <c r="F1180" s="34">
        <v>22341150.536489997</v>
      </c>
      <c r="G1180" s="35" t="s">
        <v>210</v>
      </c>
      <c r="H1180" s="55">
        <v>22341150.539999999</v>
      </c>
      <c r="I1180" s="44">
        <v>44176</v>
      </c>
      <c r="J1180" s="37">
        <f t="shared" si="67"/>
        <v>-3.5100020468235016E-3</v>
      </c>
      <c r="K1180" s="37">
        <f t="shared" si="68"/>
        <v>2.6620812714099884E-3</v>
      </c>
      <c r="L1180" s="39"/>
      <c r="M1180" s="40"/>
      <c r="N1180" s="40"/>
      <c r="O1180" s="41"/>
    </row>
    <row r="1181" spans="1:15" s="7" customFormat="1" ht="18.75">
      <c r="A1181" s="56"/>
      <c r="B1181" s="30"/>
      <c r="C1181" s="42" t="s">
        <v>212</v>
      </c>
      <c r="D1181" s="32" t="s">
        <v>208</v>
      </c>
      <c r="E1181" s="44">
        <v>44084</v>
      </c>
      <c r="F1181" s="34">
        <v>22353976.438206799</v>
      </c>
      <c r="G1181" s="35" t="s">
        <v>213</v>
      </c>
      <c r="H1181" s="55">
        <v>22353976.440000001</v>
      </c>
      <c r="I1181" s="44">
        <v>44176</v>
      </c>
      <c r="J1181" s="37">
        <f t="shared" si="67"/>
        <v>-1.7932020127773285E-3</v>
      </c>
      <c r="K1181" s="37">
        <f t="shared" si="68"/>
        <v>-8.4792077541351318E-4</v>
      </c>
      <c r="L1181" s="39"/>
      <c r="M1181" s="40"/>
      <c r="N1181" s="40"/>
      <c r="O1181" s="41"/>
    </row>
    <row r="1182" spans="1:15" s="7" customFormat="1" ht="18.75">
      <c r="A1182" s="56"/>
      <c r="B1182" s="30"/>
      <c r="C1182" s="42" t="s">
        <v>214</v>
      </c>
      <c r="D1182" s="32" t="s">
        <v>52</v>
      </c>
      <c r="E1182" s="44">
        <v>43962</v>
      </c>
      <c r="F1182" s="34">
        <v>23018567.069627445</v>
      </c>
      <c r="G1182" s="35" t="s">
        <v>216</v>
      </c>
      <c r="H1182" s="55">
        <v>23018567.07</v>
      </c>
      <c r="I1182" s="44">
        <v>44116</v>
      </c>
      <c r="J1182" s="37">
        <f>F1182-H1182</f>
        <v>-3.7255510687828064E-4</v>
      </c>
      <c r="K1182" s="37">
        <f t="shared" si="68"/>
        <v>-2.6411227881908417E-3</v>
      </c>
      <c r="L1182" s="39"/>
      <c r="M1182" s="40"/>
      <c r="N1182" s="40"/>
      <c r="O1182" s="41"/>
    </row>
    <row r="1183" spans="1:15" s="7" customFormat="1" ht="18.75">
      <c r="A1183" s="56"/>
      <c r="B1183" s="30"/>
      <c r="C1183" s="42" t="s">
        <v>218</v>
      </c>
      <c r="D1183" s="32" t="s">
        <v>215</v>
      </c>
      <c r="E1183" s="44">
        <v>44024</v>
      </c>
      <c r="F1183" s="34">
        <v>23624573.289953098</v>
      </c>
      <c r="G1183" s="35">
        <v>44531</v>
      </c>
      <c r="H1183" s="55">
        <v>23624573.289999999</v>
      </c>
      <c r="I1183" s="44">
        <v>44531</v>
      </c>
      <c r="J1183" s="37">
        <f>F1183-H1183</f>
        <v>-4.6901404857635498E-5</v>
      </c>
      <c r="K1183" s="37">
        <f t="shared" si="68"/>
        <v>-3.0136778950691223E-3</v>
      </c>
      <c r="L1183" s="39"/>
      <c r="M1183" s="40"/>
      <c r="N1183" s="40"/>
      <c r="O1183" s="41"/>
    </row>
    <row r="1184" spans="1:15" s="7" customFormat="1" ht="18.75">
      <c r="A1184" s="56"/>
      <c r="B1184" s="30"/>
      <c r="C1184" s="42" t="s">
        <v>219</v>
      </c>
      <c r="D1184" s="32" t="s">
        <v>65</v>
      </c>
      <c r="E1184" s="44">
        <v>44409</v>
      </c>
      <c r="F1184" s="34">
        <v>22508835.097259875</v>
      </c>
      <c r="G1184" s="35" t="s">
        <v>220</v>
      </c>
      <c r="H1184" s="55">
        <v>22508835.097259875</v>
      </c>
      <c r="I1184" s="44">
        <v>44318</v>
      </c>
      <c r="J1184" s="37">
        <f>F1184-H1184</f>
        <v>0</v>
      </c>
      <c r="K1184" s="37">
        <f t="shared" si="68"/>
        <v>-3.0605792999267578E-3</v>
      </c>
      <c r="L1184" s="39"/>
      <c r="M1184" s="40"/>
      <c r="N1184" s="40"/>
      <c r="O1184" s="41"/>
    </row>
    <row r="1185" spans="1:15" s="7" customFormat="1" ht="18.75">
      <c r="A1185" s="56"/>
      <c r="B1185" s="30"/>
      <c r="C1185" s="42" t="s">
        <v>221</v>
      </c>
      <c r="D1185" s="32" t="s">
        <v>71</v>
      </c>
      <c r="E1185" s="44">
        <v>44441</v>
      </c>
      <c r="F1185" s="34">
        <v>26923782.33596205</v>
      </c>
      <c r="G1185" s="35">
        <v>44289</v>
      </c>
      <c r="H1185" s="55">
        <v>26923782.34</v>
      </c>
      <c r="I1185" s="44">
        <v>44381</v>
      </c>
      <c r="J1185" s="37">
        <f>F1185-H1185</f>
        <v>-4.037950187921524E-3</v>
      </c>
      <c r="K1185" s="37">
        <f t="shared" si="68"/>
        <v>-3.0605792999267578E-3</v>
      </c>
      <c r="L1185" s="39"/>
      <c r="M1185" s="40"/>
      <c r="N1185" s="40"/>
      <c r="O1185" s="41"/>
    </row>
    <row r="1186" spans="1:15" s="7" customFormat="1" ht="18.75">
      <c r="A1186" s="56"/>
      <c r="B1186" s="30"/>
      <c r="C1186" s="42" t="s">
        <v>222</v>
      </c>
      <c r="D1186" s="32" t="s">
        <v>26</v>
      </c>
      <c r="E1186" s="44">
        <v>44411</v>
      </c>
      <c r="F1186" s="34">
        <v>22329955.196668353</v>
      </c>
      <c r="G1186" s="35" t="s">
        <v>85</v>
      </c>
      <c r="H1186" s="55">
        <v>22329955.199999999</v>
      </c>
      <c r="I1186" s="44">
        <v>44381</v>
      </c>
      <c r="J1186" s="37">
        <f>F1186-H1186</f>
        <v>-3.3316463232040405E-3</v>
      </c>
      <c r="K1186" s="37">
        <f t="shared" si="68"/>
        <v>-7.0985294878482819E-3</v>
      </c>
      <c r="L1186" s="39"/>
      <c r="M1186" s="40"/>
      <c r="N1186" s="40"/>
      <c r="O1186" s="41"/>
    </row>
    <row r="1187" spans="1:15" s="7" customFormat="1" ht="18.75">
      <c r="A1187" s="56"/>
      <c r="B1187" s="30" t="s">
        <v>1228</v>
      </c>
      <c r="C1187" s="31"/>
      <c r="D1187" s="32"/>
      <c r="E1187" s="44"/>
      <c r="F1187" s="34"/>
      <c r="G1187" s="35"/>
      <c r="H1187" s="36"/>
      <c r="I1187" s="35"/>
      <c r="J1187" s="37"/>
      <c r="K1187" s="38">
        <f t="shared" si="68"/>
        <v>-1.0430175811052322E-2</v>
      </c>
      <c r="L1187" s="39"/>
      <c r="M1187" s="40"/>
      <c r="N1187" s="40"/>
      <c r="O1187" s="41"/>
    </row>
    <row r="1188" spans="1:15" s="7" customFormat="1" ht="18.75">
      <c r="A1188" s="56"/>
      <c r="B1188" s="46"/>
      <c r="C1188" s="31"/>
      <c r="D1188" s="45"/>
      <c r="E1188" s="44"/>
      <c r="F1188" s="34"/>
      <c r="G1188" s="35"/>
      <c r="H1188" s="36"/>
      <c r="I1188" s="35"/>
      <c r="J1188" s="37"/>
      <c r="K1188" s="38"/>
      <c r="L1188" s="39"/>
      <c r="M1188" s="40"/>
      <c r="N1188" s="40"/>
      <c r="O1188" s="41"/>
    </row>
    <row r="1189" spans="1:15" s="7" customFormat="1" ht="18.75">
      <c r="A1189" s="56">
        <v>31</v>
      </c>
      <c r="B1189" s="46" t="s">
        <v>72</v>
      </c>
      <c r="C1189" s="31" t="s">
        <v>226</v>
      </c>
      <c r="D1189" s="45" t="s">
        <v>368</v>
      </c>
      <c r="E1189" s="44"/>
      <c r="F1189" s="34">
        <v>21275958.359999999</v>
      </c>
      <c r="G1189" s="35"/>
      <c r="H1189" s="47">
        <v>21275958.359999999</v>
      </c>
      <c r="I1189" s="35"/>
      <c r="J1189" s="37">
        <f>F1189-H1189</f>
        <v>0</v>
      </c>
      <c r="K1189" s="38">
        <f>J1189</f>
        <v>0</v>
      </c>
      <c r="L1189" s="39"/>
      <c r="M1189" s="40"/>
      <c r="N1189" s="40"/>
      <c r="O1189" s="41"/>
    </row>
    <row r="1190" spans="1:15" s="7" customFormat="1" ht="18.75">
      <c r="A1190" s="56"/>
      <c r="B1190" s="46"/>
      <c r="C1190" s="31" t="s">
        <v>228</v>
      </c>
      <c r="D1190" s="45" t="s">
        <v>370</v>
      </c>
      <c r="E1190" s="44"/>
      <c r="F1190" s="34">
        <v>24461986.66</v>
      </c>
      <c r="G1190" s="35"/>
      <c r="H1190" s="47">
        <v>24461986.66</v>
      </c>
      <c r="I1190" s="35"/>
      <c r="J1190" s="37">
        <f t="shared" ref="J1190:J1221" si="69">F1190-H1190</f>
        <v>0</v>
      </c>
      <c r="K1190" s="38">
        <f>J1189+K1189</f>
        <v>0</v>
      </c>
      <c r="L1190" s="39"/>
      <c r="M1190" s="40"/>
      <c r="N1190" s="40"/>
      <c r="O1190" s="41"/>
    </row>
    <row r="1191" spans="1:15" s="7" customFormat="1" ht="18.75">
      <c r="A1191" s="56"/>
      <c r="B1191" s="46"/>
      <c r="C1191" s="31" t="s">
        <v>231</v>
      </c>
      <c r="D1191" s="45" t="s">
        <v>371</v>
      </c>
      <c r="E1191" s="44"/>
      <c r="F1191" s="34">
        <v>24658628.636187002</v>
      </c>
      <c r="G1191" s="35"/>
      <c r="H1191" s="47">
        <v>24658628.636187002</v>
      </c>
      <c r="I1191" s="35"/>
      <c r="J1191" s="37">
        <f t="shared" si="69"/>
        <v>0</v>
      </c>
      <c r="K1191" s="38">
        <f t="shared" ref="K1191:K1227" si="70">J1190+K1190</f>
        <v>0</v>
      </c>
      <c r="L1191" s="39"/>
      <c r="M1191" s="40"/>
      <c r="N1191" s="40"/>
      <c r="O1191" s="41"/>
    </row>
    <row r="1192" spans="1:15" s="7" customFormat="1" ht="18.75">
      <c r="A1192" s="56"/>
      <c r="B1192" s="46"/>
      <c r="C1192" s="31" t="s">
        <v>234</v>
      </c>
      <c r="D1192" s="45" t="s">
        <v>372</v>
      </c>
      <c r="E1192" s="44"/>
      <c r="F1192" s="34">
        <v>22280373.190551002</v>
      </c>
      <c r="G1192" s="35"/>
      <c r="H1192" s="47">
        <v>22280373.190000001</v>
      </c>
      <c r="I1192" s="35"/>
      <c r="J1192" s="37">
        <f t="shared" si="69"/>
        <v>5.5100023746490479E-4</v>
      </c>
      <c r="K1192" s="37">
        <f t="shared" si="70"/>
        <v>0</v>
      </c>
      <c r="L1192" s="39"/>
      <c r="M1192" s="40"/>
      <c r="N1192" s="40"/>
      <c r="O1192" s="41"/>
    </row>
    <row r="1193" spans="1:15" s="7" customFormat="1" ht="18.75">
      <c r="A1193" s="56"/>
      <c r="B1193" s="46"/>
      <c r="C1193" s="31" t="s">
        <v>236</v>
      </c>
      <c r="D1193" s="45" t="s">
        <v>373</v>
      </c>
      <c r="E1193" s="44"/>
      <c r="F1193" s="34">
        <v>24008284.932964504</v>
      </c>
      <c r="G1193" s="35"/>
      <c r="H1193" s="47">
        <v>24008284.93</v>
      </c>
      <c r="I1193" s="35"/>
      <c r="J1193" s="37">
        <f t="shared" si="69"/>
        <v>2.964504063129425E-3</v>
      </c>
      <c r="K1193" s="37">
        <f t="shared" si="70"/>
        <v>5.5100023746490479E-4</v>
      </c>
      <c r="L1193" s="39"/>
      <c r="M1193" s="40"/>
      <c r="N1193" s="40"/>
      <c r="O1193" s="41"/>
    </row>
    <row r="1194" spans="1:15" s="7" customFormat="1" ht="18.75">
      <c r="A1194" s="56"/>
      <c r="B1194" s="46"/>
      <c r="C1194" s="31" t="s">
        <v>238</v>
      </c>
      <c r="D1194" s="45" t="s">
        <v>92</v>
      </c>
      <c r="E1194" s="44"/>
      <c r="F1194" s="34">
        <v>25437734.468685001</v>
      </c>
      <c r="G1194" s="35"/>
      <c r="H1194" s="47">
        <v>25437734.469999999</v>
      </c>
      <c r="I1194" s="35"/>
      <c r="J1194" s="37">
        <f t="shared" si="69"/>
        <v>-1.314997673034668E-3</v>
      </c>
      <c r="K1194" s="37">
        <f t="shared" si="70"/>
        <v>3.5155043005943298E-3</v>
      </c>
      <c r="L1194" s="39"/>
      <c r="M1194" s="40"/>
      <c r="N1194" s="40"/>
      <c r="O1194" s="41"/>
    </row>
    <row r="1195" spans="1:15" s="7" customFormat="1" ht="18.75">
      <c r="A1195" s="56"/>
      <c r="B1195" s="46"/>
      <c r="C1195" s="31" t="s">
        <v>240</v>
      </c>
      <c r="D1195" s="45" t="s">
        <v>63</v>
      </c>
      <c r="E1195" s="44"/>
      <c r="F1195" s="34">
        <v>25130459.702848498</v>
      </c>
      <c r="G1195" s="35"/>
      <c r="H1195" s="47">
        <v>25130459.710000001</v>
      </c>
      <c r="I1195" s="35"/>
      <c r="J1195" s="37">
        <f t="shared" si="69"/>
        <v>-7.1515031158924103E-3</v>
      </c>
      <c r="K1195" s="37">
        <f t="shared" si="70"/>
        <v>2.2005066275596619E-3</v>
      </c>
      <c r="L1195" s="39"/>
      <c r="M1195" s="40"/>
      <c r="N1195" s="40"/>
      <c r="O1195" s="41"/>
    </row>
    <row r="1196" spans="1:15" s="7" customFormat="1" ht="18.75">
      <c r="A1196" s="56"/>
      <c r="B1196" s="46"/>
      <c r="C1196" s="31" t="s">
        <v>243</v>
      </c>
      <c r="D1196" s="45" t="s">
        <v>374</v>
      </c>
      <c r="E1196" s="44"/>
      <c r="F1196" s="34">
        <v>25721396.972270999</v>
      </c>
      <c r="G1196" s="35"/>
      <c r="H1196" s="47">
        <f>25721396.98+25302112.52</f>
        <v>51023509.5</v>
      </c>
      <c r="I1196" s="35"/>
      <c r="J1196" s="37">
        <f t="shared" si="69"/>
        <v>-25302112.527729001</v>
      </c>
      <c r="K1196" s="37">
        <f t="shared" si="70"/>
        <v>-4.9509964883327484E-3</v>
      </c>
      <c r="L1196" s="39"/>
      <c r="M1196" s="40"/>
      <c r="N1196" s="40"/>
      <c r="O1196" s="41"/>
    </row>
    <row r="1197" spans="1:15" s="7" customFormat="1" ht="18.75">
      <c r="A1197" s="56"/>
      <c r="B1197" s="46"/>
      <c r="C1197" s="31" t="s">
        <v>246</v>
      </c>
      <c r="D1197" s="45" t="s">
        <v>376</v>
      </c>
      <c r="E1197" s="44"/>
      <c r="F1197" s="34">
        <v>25302112.533264004</v>
      </c>
      <c r="G1197" s="35"/>
      <c r="H1197" s="47"/>
      <c r="I1197" s="35"/>
      <c r="J1197" s="37">
        <f t="shared" si="69"/>
        <v>25302112.533264004</v>
      </c>
      <c r="K1197" s="37">
        <f t="shared" si="70"/>
        <v>-25302112.532679997</v>
      </c>
      <c r="L1197" s="39"/>
      <c r="M1197" s="40"/>
      <c r="N1197" s="40"/>
      <c r="O1197" s="41"/>
    </row>
    <row r="1198" spans="1:15" s="7" customFormat="1" ht="18.75">
      <c r="A1198" s="56"/>
      <c r="B1198" s="46"/>
      <c r="C1198" s="31" t="s">
        <v>248</v>
      </c>
      <c r="D1198" s="45" t="s">
        <v>54</v>
      </c>
      <c r="E1198" s="44"/>
      <c r="F1198" s="34">
        <v>30589033.387058999</v>
      </c>
      <c r="G1198" s="35"/>
      <c r="H1198" s="47">
        <v>30589033.387058999</v>
      </c>
      <c r="I1198" s="35"/>
      <c r="J1198" s="37">
        <f t="shared" si="69"/>
        <v>0</v>
      </c>
      <c r="K1198" s="37">
        <f t="shared" si="70"/>
        <v>5.8400630950927734E-4</v>
      </c>
      <c r="L1198" s="39"/>
      <c r="M1198" s="40"/>
      <c r="N1198" s="40"/>
      <c r="O1198" s="41"/>
    </row>
    <row r="1199" spans="1:15" s="7" customFormat="1" ht="18.75">
      <c r="A1199" s="56"/>
      <c r="B1199" s="46"/>
      <c r="C1199" s="31" t="s">
        <v>250</v>
      </c>
      <c r="D1199" s="45" t="s">
        <v>379</v>
      </c>
      <c r="E1199" s="44"/>
      <c r="F1199" s="34">
        <v>30663522</v>
      </c>
      <c r="G1199" s="35"/>
      <c r="H1199" s="47">
        <v>30663522</v>
      </c>
      <c r="I1199" s="35"/>
      <c r="J1199" s="37">
        <f t="shared" si="69"/>
        <v>0</v>
      </c>
      <c r="K1199" s="37">
        <f t="shared" si="70"/>
        <v>5.8400630950927734E-4</v>
      </c>
      <c r="L1199" s="39"/>
      <c r="M1199" s="40"/>
      <c r="N1199" s="40"/>
      <c r="O1199" s="41"/>
    </row>
    <row r="1200" spans="1:15" s="7" customFormat="1" ht="18.75">
      <c r="A1200" s="56"/>
      <c r="B1200" s="46"/>
      <c r="C1200" s="31" t="s">
        <v>139</v>
      </c>
      <c r="D1200" s="45" t="s">
        <v>381</v>
      </c>
      <c r="E1200" s="44"/>
      <c r="F1200" s="34">
        <v>30447730.666983001</v>
      </c>
      <c r="G1200" s="35"/>
      <c r="H1200" s="47">
        <v>30447730.666983001</v>
      </c>
      <c r="I1200" s="35"/>
      <c r="J1200" s="37">
        <f t="shared" si="69"/>
        <v>0</v>
      </c>
      <c r="K1200" s="37">
        <f t="shared" si="70"/>
        <v>5.8400630950927734E-4</v>
      </c>
      <c r="L1200" s="39"/>
      <c r="M1200" s="40"/>
      <c r="N1200" s="40"/>
      <c r="O1200" s="41"/>
    </row>
    <row r="1201" spans="1:15" s="7" customFormat="1" ht="18.75">
      <c r="A1201" s="56"/>
      <c r="B1201" s="46"/>
      <c r="C1201" s="31" t="s">
        <v>254</v>
      </c>
      <c r="D1201" s="45" t="s">
        <v>383</v>
      </c>
      <c r="E1201" s="44"/>
      <c r="F1201" s="34">
        <v>42846046.769011505</v>
      </c>
      <c r="G1201" s="35" t="s">
        <v>723</v>
      </c>
      <c r="H1201" s="47"/>
      <c r="I1201" s="35"/>
      <c r="J1201" s="37">
        <f t="shared" si="69"/>
        <v>42846046.769011505</v>
      </c>
      <c r="K1201" s="37">
        <f t="shared" si="70"/>
        <v>5.8400630950927734E-4</v>
      </c>
      <c r="L1201" s="39"/>
      <c r="M1201" s="40"/>
      <c r="N1201" s="40"/>
      <c r="O1201" s="41"/>
    </row>
    <row r="1202" spans="1:15" s="7" customFormat="1" ht="18.75">
      <c r="A1202" s="56"/>
      <c r="B1202" s="46"/>
      <c r="C1202" s="31" t="s">
        <v>257</v>
      </c>
      <c r="D1202" s="45" t="s">
        <v>384</v>
      </c>
      <c r="E1202" s="44"/>
      <c r="F1202" s="34">
        <v>33446014.318268999</v>
      </c>
      <c r="G1202" s="35" t="s">
        <v>1124</v>
      </c>
      <c r="H1202" s="47">
        <f>42846046.77+33446014.32</f>
        <v>76292061.090000004</v>
      </c>
      <c r="I1202" s="35" t="s">
        <v>365</v>
      </c>
      <c r="J1202" s="37">
        <f t="shared" si="69"/>
        <v>-42846046.771731004</v>
      </c>
      <c r="K1202" s="37">
        <f t="shared" si="70"/>
        <v>42846046.769595511</v>
      </c>
      <c r="L1202" s="39"/>
      <c r="M1202" s="40"/>
      <c r="N1202" s="40"/>
      <c r="O1202" s="41"/>
    </row>
    <row r="1203" spans="1:15" s="7" customFormat="1" ht="18.75">
      <c r="A1203" s="56"/>
      <c r="B1203" s="46"/>
      <c r="C1203" s="31" t="s">
        <v>259</v>
      </c>
      <c r="D1203" s="45" t="s">
        <v>385</v>
      </c>
      <c r="E1203" s="44"/>
      <c r="F1203" s="34">
        <v>35610576.976201497</v>
      </c>
      <c r="G1203" s="35" t="s">
        <v>724</v>
      </c>
      <c r="H1203" s="47">
        <v>35610576.976201497</v>
      </c>
      <c r="I1203" s="35" t="s">
        <v>261</v>
      </c>
      <c r="J1203" s="37">
        <f t="shared" si="69"/>
        <v>0</v>
      </c>
      <c r="K1203" s="37">
        <v>5.8400630950927734E-4</v>
      </c>
      <c r="L1203" s="39"/>
      <c r="M1203" s="40"/>
      <c r="N1203" s="40"/>
      <c r="O1203" s="41"/>
    </row>
    <row r="1204" spans="1:15" s="7" customFormat="1" ht="18.75">
      <c r="A1204" s="56"/>
      <c r="B1204" s="46"/>
      <c r="C1204" s="31" t="s">
        <v>262</v>
      </c>
      <c r="D1204" s="45" t="s">
        <v>386</v>
      </c>
      <c r="E1204" s="44"/>
      <c r="F1204" s="34">
        <v>34455810.987454504</v>
      </c>
      <c r="G1204" s="35" t="s">
        <v>152</v>
      </c>
      <c r="H1204" s="47">
        <v>34455810.987454504</v>
      </c>
      <c r="I1204" s="35" t="s">
        <v>725</v>
      </c>
      <c r="J1204" s="37">
        <f t="shared" si="69"/>
        <v>0</v>
      </c>
      <c r="K1204" s="37">
        <f t="shared" si="70"/>
        <v>5.8400630950927734E-4</v>
      </c>
      <c r="L1204" s="39"/>
      <c r="M1204" s="40"/>
      <c r="N1204" s="40"/>
      <c r="O1204" s="41"/>
    </row>
    <row r="1205" spans="1:15" s="7" customFormat="1" ht="18.75">
      <c r="A1205" s="56"/>
      <c r="B1205" s="46"/>
      <c r="C1205" s="31" t="s">
        <v>264</v>
      </c>
      <c r="D1205" s="45" t="s">
        <v>388</v>
      </c>
      <c r="E1205" s="44"/>
      <c r="F1205" s="34">
        <v>39871517.015609995</v>
      </c>
      <c r="G1205" s="35" t="s">
        <v>156</v>
      </c>
      <c r="H1205" s="47">
        <v>39871517.015609995</v>
      </c>
      <c r="I1205" s="35" t="s">
        <v>527</v>
      </c>
      <c r="J1205" s="37">
        <f t="shared" si="69"/>
        <v>0</v>
      </c>
      <c r="K1205" s="37">
        <f t="shared" si="70"/>
        <v>5.8400630950927734E-4</v>
      </c>
      <c r="L1205" s="39"/>
      <c r="M1205" s="40"/>
      <c r="N1205" s="40"/>
      <c r="O1205" s="41"/>
    </row>
    <row r="1206" spans="1:15" s="7" customFormat="1" ht="18.75">
      <c r="A1206" s="56"/>
      <c r="B1206" s="46"/>
      <c r="C1206" s="31" t="s">
        <v>266</v>
      </c>
      <c r="D1206" s="45" t="s">
        <v>39</v>
      </c>
      <c r="E1206" s="44"/>
      <c r="F1206" s="34">
        <v>37310160.019691996</v>
      </c>
      <c r="G1206" s="35" t="s">
        <v>160</v>
      </c>
      <c r="H1206" s="47">
        <v>37310160.019691996</v>
      </c>
      <c r="I1206" s="35" t="s">
        <v>531</v>
      </c>
      <c r="J1206" s="37">
        <f t="shared" si="69"/>
        <v>0</v>
      </c>
      <c r="K1206" s="37">
        <f t="shared" si="70"/>
        <v>5.8400630950927734E-4</v>
      </c>
      <c r="L1206" s="39"/>
      <c r="M1206" s="40"/>
      <c r="N1206" s="40"/>
      <c r="O1206" s="41"/>
    </row>
    <row r="1207" spans="1:15" s="7" customFormat="1" ht="18.75">
      <c r="A1207" s="56"/>
      <c r="B1207" s="46"/>
      <c r="C1207" s="31" t="s">
        <v>162</v>
      </c>
      <c r="D1207" s="45" t="s">
        <v>390</v>
      </c>
      <c r="E1207" s="44"/>
      <c r="F1207" s="34">
        <v>33567658.085303999</v>
      </c>
      <c r="G1207" s="35" t="s">
        <v>164</v>
      </c>
      <c r="H1207" s="47">
        <v>33567658.085303999</v>
      </c>
      <c r="I1207" s="35" t="s">
        <v>573</v>
      </c>
      <c r="J1207" s="37">
        <f t="shared" si="69"/>
        <v>0</v>
      </c>
      <c r="K1207" s="37">
        <f t="shared" si="70"/>
        <v>5.8400630950927734E-4</v>
      </c>
      <c r="L1207" s="39"/>
      <c r="M1207" s="40"/>
      <c r="N1207" s="40"/>
      <c r="O1207" s="41"/>
    </row>
    <row r="1208" spans="1:15" s="7" customFormat="1" ht="18.75">
      <c r="A1208" s="56"/>
      <c r="B1208" s="46"/>
      <c r="C1208" s="31" t="s">
        <v>166</v>
      </c>
      <c r="D1208" s="45" t="s">
        <v>392</v>
      </c>
      <c r="E1208" s="44"/>
      <c r="F1208" s="34">
        <v>33530033.441551499</v>
      </c>
      <c r="G1208" s="35" t="s">
        <v>168</v>
      </c>
      <c r="H1208" s="47">
        <v>33530033.441551499</v>
      </c>
      <c r="I1208" s="35" t="s">
        <v>591</v>
      </c>
      <c r="J1208" s="37">
        <f t="shared" si="69"/>
        <v>0</v>
      </c>
      <c r="K1208" s="37">
        <v>5.8400630950927734E-4</v>
      </c>
      <c r="L1208" s="39"/>
      <c r="M1208" s="40"/>
      <c r="N1208" s="40"/>
      <c r="O1208" s="41"/>
    </row>
    <row r="1209" spans="1:15" s="7" customFormat="1" ht="18.75">
      <c r="A1209" s="56"/>
      <c r="B1209" s="46"/>
      <c r="C1209" s="31" t="s">
        <v>170</v>
      </c>
      <c r="D1209" s="45" t="s">
        <v>393</v>
      </c>
      <c r="E1209" s="44"/>
      <c r="F1209" s="34">
        <v>34361516.288084999</v>
      </c>
      <c r="G1209" s="35" t="s">
        <v>172</v>
      </c>
      <c r="H1209" s="47">
        <v>34361516.288084999</v>
      </c>
      <c r="I1209" s="35" t="s">
        <v>656</v>
      </c>
      <c r="J1209" s="37">
        <f t="shared" si="69"/>
        <v>0</v>
      </c>
      <c r="K1209" s="37">
        <f t="shared" si="70"/>
        <v>5.8400630950927734E-4</v>
      </c>
      <c r="L1209" s="39"/>
      <c r="M1209" s="40"/>
      <c r="N1209" s="40"/>
      <c r="O1209" s="41"/>
    </row>
    <row r="1210" spans="1:15" s="7" customFormat="1" ht="18.75">
      <c r="A1210" s="56"/>
      <c r="B1210" s="46"/>
      <c r="C1210" s="31" t="s">
        <v>174</v>
      </c>
      <c r="D1210" s="45" t="s">
        <v>528</v>
      </c>
      <c r="E1210" s="44"/>
      <c r="F1210" s="34">
        <v>41155069.020754494</v>
      </c>
      <c r="G1210" s="35" t="s">
        <v>176</v>
      </c>
      <c r="H1210" s="47">
        <v>41155069.020754494</v>
      </c>
      <c r="I1210" s="35" t="s">
        <v>1229</v>
      </c>
      <c r="J1210" s="37">
        <f t="shared" si="69"/>
        <v>0</v>
      </c>
      <c r="K1210" s="37">
        <f t="shared" si="70"/>
        <v>5.8400630950927734E-4</v>
      </c>
      <c r="L1210" s="39"/>
      <c r="M1210" s="40"/>
      <c r="N1210" s="40"/>
      <c r="O1210" s="41"/>
    </row>
    <row r="1211" spans="1:15" s="7" customFormat="1" ht="18.75">
      <c r="A1211" s="56"/>
      <c r="B1211" s="46"/>
      <c r="C1211" s="31" t="s">
        <v>178</v>
      </c>
      <c r="D1211" s="45" t="s">
        <v>35</v>
      </c>
      <c r="E1211" s="44"/>
      <c r="F1211" s="34">
        <v>37764761.449905001</v>
      </c>
      <c r="G1211" s="35" t="s">
        <v>179</v>
      </c>
      <c r="H1211" s="47">
        <v>37764761.449905001</v>
      </c>
      <c r="I1211" s="35" t="s">
        <v>1230</v>
      </c>
      <c r="J1211" s="37">
        <f t="shared" si="69"/>
        <v>0</v>
      </c>
      <c r="K1211" s="37">
        <f t="shared" si="70"/>
        <v>5.8400630950927734E-4</v>
      </c>
      <c r="L1211" s="39"/>
      <c r="M1211" s="40"/>
      <c r="N1211" s="40"/>
      <c r="O1211" s="41"/>
    </row>
    <row r="1212" spans="1:15" s="7" customFormat="1" ht="18.75">
      <c r="A1212" s="56"/>
      <c r="B1212" s="46"/>
      <c r="C1212" s="42" t="s">
        <v>181</v>
      </c>
      <c r="D1212" s="45" t="s">
        <v>530</v>
      </c>
      <c r="E1212" s="44"/>
      <c r="F1212" s="34">
        <v>30618353.243877001</v>
      </c>
      <c r="G1212" s="35" t="s">
        <v>183</v>
      </c>
      <c r="H1212" s="47">
        <v>30618353.243877001</v>
      </c>
      <c r="I1212" s="35" t="s">
        <v>1206</v>
      </c>
      <c r="J1212" s="37">
        <f t="shared" si="69"/>
        <v>0</v>
      </c>
      <c r="K1212" s="37">
        <f t="shared" si="70"/>
        <v>5.8400630950927734E-4</v>
      </c>
      <c r="L1212" s="39"/>
      <c r="M1212" s="40"/>
      <c r="N1212" s="40"/>
      <c r="O1212" s="41"/>
    </row>
    <row r="1213" spans="1:15" s="7" customFormat="1" ht="18.75">
      <c r="A1213" s="56"/>
      <c r="B1213" s="46"/>
      <c r="C1213" s="31" t="s">
        <v>185</v>
      </c>
      <c r="D1213" s="45" t="s">
        <v>532</v>
      </c>
      <c r="E1213" s="44"/>
      <c r="F1213" s="34">
        <v>37667862.486366004</v>
      </c>
      <c r="G1213" s="35" t="s">
        <v>187</v>
      </c>
      <c r="H1213" s="47">
        <v>37667862.486366004</v>
      </c>
      <c r="I1213" s="35" t="s">
        <v>706</v>
      </c>
      <c r="J1213" s="37">
        <f t="shared" si="69"/>
        <v>0</v>
      </c>
      <c r="K1213" s="37">
        <f t="shared" si="70"/>
        <v>5.8400630950927734E-4</v>
      </c>
      <c r="L1213" s="39"/>
      <c r="M1213" s="40"/>
      <c r="N1213" s="40"/>
      <c r="O1213" s="41"/>
    </row>
    <row r="1214" spans="1:15" s="7" customFormat="1" ht="18.75">
      <c r="A1214" s="56"/>
      <c r="B1214" s="46"/>
      <c r="C1214" s="31" t="s">
        <v>189</v>
      </c>
      <c r="D1214" s="45" t="s">
        <v>534</v>
      </c>
      <c r="E1214" s="44"/>
      <c r="F1214" s="34">
        <v>31634312.264262751</v>
      </c>
      <c r="G1214" s="35" t="s">
        <v>377</v>
      </c>
      <c r="H1214" s="47">
        <v>31634312.264262751</v>
      </c>
      <c r="I1214" s="35" t="s">
        <v>1231</v>
      </c>
      <c r="J1214" s="37">
        <f t="shared" si="69"/>
        <v>0</v>
      </c>
      <c r="K1214" s="37">
        <f t="shared" si="70"/>
        <v>5.8400630950927734E-4</v>
      </c>
      <c r="L1214" s="39"/>
      <c r="M1214" s="40"/>
      <c r="N1214" s="40"/>
      <c r="O1214" s="41"/>
    </row>
    <row r="1215" spans="1:15" s="7" customFormat="1" ht="18.75">
      <c r="A1215" s="56"/>
      <c r="B1215" s="46"/>
      <c r="C1215" s="31" t="s">
        <v>191</v>
      </c>
      <c r="D1215" s="45" t="s">
        <v>535</v>
      </c>
      <c r="E1215" s="44">
        <v>43986</v>
      </c>
      <c r="F1215" s="34">
        <v>41190885.017703749</v>
      </c>
      <c r="G1215" s="35" t="s">
        <v>193</v>
      </c>
      <c r="H1215" s="47">
        <v>41190885.017703749</v>
      </c>
      <c r="I1215" s="35" t="s">
        <v>1232</v>
      </c>
      <c r="J1215" s="37">
        <f t="shared" si="69"/>
        <v>0</v>
      </c>
      <c r="K1215" s="37">
        <f t="shared" si="70"/>
        <v>5.8400630950927734E-4</v>
      </c>
      <c r="L1215" s="39"/>
      <c r="M1215" s="40"/>
      <c r="N1215" s="40"/>
      <c r="O1215" s="41"/>
    </row>
    <row r="1216" spans="1:15" s="7" customFormat="1" ht="18.75">
      <c r="A1216" s="56"/>
      <c r="B1216" s="46"/>
      <c r="C1216" s="31" t="s">
        <v>195</v>
      </c>
      <c r="D1216" s="45" t="s">
        <v>536</v>
      </c>
      <c r="E1216" s="44" t="s">
        <v>197</v>
      </c>
      <c r="F1216" s="34">
        <v>29387369.834823005</v>
      </c>
      <c r="G1216" s="35" t="s">
        <v>198</v>
      </c>
      <c r="H1216" s="47">
        <v>29387369.834823005</v>
      </c>
      <c r="I1216" s="35" t="s">
        <v>1233</v>
      </c>
      <c r="J1216" s="37">
        <f t="shared" si="69"/>
        <v>0</v>
      </c>
      <c r="K1216" s="37">
        <f t="shared" si="70"/>
        <v>5.8400630950927734E-4</v>
      </c>
      <c r="L1216" s="39"/>
      <c r="M1216" s="40"/>
      <c r="N1216" s="40"/>
      <c r="O1216" s="41"/>
    </row>
    <row r="1217" spans="1:15" s="7" customFormat="1" ht="18.75">
      <c r="A1217" s="56"/>
      <c r="B1217" s="46"/>
      <c r="C1217" s="31" t="s">
        <v>199</v>
      </c>
      <c r="D1217" s="45" t="s">
        <v>538</v>
      </c>
      <c r="E1217" s="44">
        <v>44049</v>
      </c>
      <c r="F1217" s="34">
        <v>45803571.457560003</v>
      </c>
      <c r="G1217" s="35">
        <v>43897</v>
      </c>
      <c r="H1217" s="47">
        <f>48803410.21+435106.61</f>
        <v>49238516.82</v>
      </c>
      <c r="I1217" s="44">
        <v>43868</v>
      </c>
      <c r="J1217" s="37">
        <f t="shared" si="69"/>
        <v>-3434945.3624399975</v>
      </c>
      <c r="K1217" s="37">
        <f t="shared" si="70"/>
        <v>5.8400630950927734E-4</v>
      </c>
      <c r="L1217" s="39"/>
      <c r="M1217" s="40"/>
      <c r="N1217" s="40"/>
      <c r="O1217" s="41"/>
    </row>
    <row r="1218" spans="1:15" s="7" customFormat="1" ht="18.75">
      <c r="A1218" s="56"/>
      <c r="B1218" s="46"/>
      <c r="C1218" s="31" t="s">
        <v>201</v>
      </c>
      <c r="D1218" s="45" t="s">
        <v>43</v>
      </c>
      <c r="E1218" s="44">
        <v>44081</v>
      </c>
      <c r="F1218" s="34">
        <v>44504873.379960001</v>
      </c>
      <c r="G1218" s="35">
        <v>44020</v>
      </c>
      <c r="H1218" s="47">
        <v>44504873.379960001</v>
      </c>
      <c r="I1218" s="44">
        <v>43898</v>
      </c>
      <c r="J1218" s="37">
        <f t="shared" si="69"/>
        <v>0</v>
      </c>
      <c r="K1218" s="37">
        <f t="shared" si="70"/>
        <v>-3434945.3618559912</v>
      </c>
      <c r="L1218" s="39"/>
      <c r="M1218" s="40"/>
      <c r="N1218" s="40"/>
      <c r="O1218" s="41"/>
    </row>
    <row r="1219" spans="1:15" s="7" customFormat="1" ht="18.75">
      <c r="A1219" s="56"/>
      <c r="B1219" s="46"/>
      <c r="C1219" s="31" t="s">
        <v>203</v>
      </c>
      <c r="D1219" s="45" t="s">
        <v>540</v>
      </c>
      <c r="E1219" s="44">
        <v>43990</v>
      </c>
      <c r="F1219" s="34">
        <v>43303600.365143992</v>
      </c>
      <c r="G1219" s="35" t="s">
        <v>290</v>
      </c>
      <c r="H1219" s="47">
        <v>43303600.365143992</v>
      </c>
      <c r="I1219" s="44">
        <v>43870</v>
      </c>
      <c r="J1219" s="37">
        <f t="shared" si="69"/>
        <v>0</v>
      </c>
      <c r="K1219" s="37">
        <f t="shared" si="70"/>
        <v>-3434945.3618559912</v>
      </c>
      <c r="L1219" s="39"/>
      <c r="M1219" s="40"/>
      <c r="N1219" s="40"/>
      <c r="O1219" s="41"/>
    </row>
    <row r="1220" spans="1:15" s="7" customFormat="1" ht="18.75">
      <c r="A1220" s="56"/>
      <c r="B1220" s="46"/>
      <c r="C1220" s="31" t="s">
        <v>207</v>
      </c>
      <c r="D1220" s="45" t="s">
        <v>542</v>
      </c>
      <c r="E1220" s="44" t="s">
        <v>292</v>
      </c>
      <c r="F1220" s="34">
        <v>48956064.394419998</v>
      </c>
      <c r="G1220" s="35" t="s">
        <v>293</v>
      </c>
      <c r="H1220" s="47">
        <v>48956064.390000001</v>
      </c>
      <c r="I1220" s="44" t="s">
        <v>210</v>
      </c>
      <c r="J1220" s="37">
        <f t="shared" si="69"/>
        <v>4.4199973344802856E-3</v>
      </c>
      <c r="K1220" s="37">
        <f t="shared" si="70"/>
        <v>-3434945.3618559912</v>
      </c>
      <c r="L1220" s="39"/>
      <c r="M1220" s="40"/>
      <c r="N1220" s="40"/>
      <c r="O1220" s="41"/>
    </row>
    <row r="1221" spans="1:15" s="7" customFormat="1" ht="18.75">
      <c r="A1221" s="56"/>
      <c r="B1221" s="46"/>
      <c r="C1221" s="31" t="s">
        <v>212</v>
      </c>
      <c r="D1221" s="45" t="s">
        <v>543</v>
      </c>
      <c r="E1221" s="44">
        <v>44084</v>
      </c>
      <c r="F1221" s="34">
        <v>44588419.595058247</v>
      </c>
      <c r="G1221" s="35" t="s">
        <v>213</v>
      </c>
      <c r="H1221" s="47">
        <v>44588419.595058247</v>
      </c>
      <c r="I1221" s="44">
        <v>43932</v>
      </c>
      <c r="J1221" s="37">
        <f t="shared" si="69"/>
        <v>0</v>
      </c>
      <c r="K1221" s="37">
        <f t="shared" si="70"/>
        <v>-3434945.3574359939</v>
      </c>
      <c r="L1221" s="39"/>
      <c r="M1221" s="40"/>
      <c r="N1221" s="40"/>
      <c r="O1221" s="41"/>
    </row>
    <row r="1222" spans="1:15" s="7" customFormat="1" ht="18.75">
      <c r="A1222" s="56"/>
      <c r="B1222" s="46"/>
      <c r="C1222" s="31" t="s">
        <v>214</v>
      </c>
      <c r="D1222" s="45" t="s">
        <v>544</v>
      </c>
      <c r="E1222" s="44">
        <v>43962</v>
      </c>
      <c r="F1222" s="34">
        <v>37322614.185895003</v>
      </c>
      <c r="G1222" s="35" t="s">
        <v>216</v>
      </c>
      <c r="H1222" s="47">
        <v>37322614.185895003</v>
      </c>
      <c r="I1222" s="44">
        <v>43933</v>
      </c>
      <c r="J1222" s="37">
        <f>F1222-H1222</f>
        <v>0</v>
      </c>
      <c r="K1222" s="37">
        <f t="shared" si="70"/>
        <v>-3434945.3574359939</v>
      </c>
      <c r="L1222" s="39"/>
      <c r="M1222" s="40"/>
      <c r="N1222" s="40"/>
      <c r="O1222" s="41"/>
    </row>
    <row r="1223" spans="1:15" s="7" customFormat="1" ht="18.75">
      <c r="A1223" s="56"/>
      <c r="B1223" s="46"/>
      <c r="C1223" s="31" t="s">
        <v>218</v>
      </c>
      <c r="D1223" s="45" t="s">
        <v>545</v>
      </c>
      <c r="E1223" s="44">
        <v>44024</v>
      </c>
      <c r="F1223" s="34">
        <v>47523540.1174905</v>
      </c>
      <c r="G1223" s="35">
        <v>44531</v>
      </c>
      <c r="H1223" s="47">
        <v>47523540.1174905</v>
      </c>
      <c r="I1223" s="44" t="s">
        <v>1167</v>
      </c>
      <c r="J1223" s="37">
        <f>F1223-H1223</f>
        <v>0</v>
      </c>
      <c r="K1223" s="37">
        <f t="shared" si="70"/>
        <v>-3434945.3574359939</v>
      </c>
      <c r="L1223" s="39"/>
      <c r="M1223" s="40"/>
      <c r="N1223" s="40"/>
      <c r="O1223" s="41"/>
    </row>
    <row r="1224" spans="1:15" s="7" customFormat="1" ht="18.75">
      <c r="A1224" s="56"/>
      <c r="B1224" s="46"/>
      <c r="C1224" s="31" t="s">
        <v>219</v>
      </c>
      <c r="D1224" s="45" t="s">
        <v>38</v>
      </c>
      <c r="E1224" s="44">
        <v>44409</v>
      </c>
      <c r="F1224" s="34">
        <v>49300625.077402249</v>
      </c>
      <c r="G1224" s="35" t="s">
        <v>220</v>
      </c>
      <c r="H1224" s="47">
        <v>49300625.077402249</v>
      </c>
      <c r="I1224" s="44" t="s">
        <v>295</v>
      </c>
      <c r="J1224" s="37">
        <f>F1224-H1224</f>
        <v>0</v>
      </c>
      <c r="K1224" s="37">
        <f t="shared" si="70"/>
        <v>-3434945.3574359939</v>
      </c>
      <c r="L1224" s="39"/>
      <c r="M1224" s="40"/>
      <c r="N1224" s="40"/>
      <c r="O1224" s="41"/>
    </row>
    <row r="1225" spans="1:15" s="7" customFormat="1" ht="18.75">
      <c r="A1225" s="56"/>
      <c r="B1225" s="46"/>
      <c r="C1225" s="31" t="s">
        <v>221</v>
      </c>
      <c r="D1225" s="45" t="s">
        <v>548</v>
      </c>
      <c r="E1225" s="217">
        <v>44410</v>
      </c>
      <c r="F1225" s="34">
        <v>57847159.911444746</v>
      </c>
      <c r="G1225" s="35">
        <v>44289</v>
      </c>
      <c r="H1225" s="34">
        <v>57847159.911444746</v>
      </c>
      <c r="I1225" s="44">
        <v>44472</v>
      </c>
      <c r="J1225" s="37">
        <f>F1225-H1225</f>
        <v>0</v>
      </c>
      <c r="K1225" s="37">
        <f t="shared" si="70"/>
        <v>-3434945.3574359939</v>
      </c>
      <c r="L1225" s="39"/>
      <c r="M1225" s="40"/>
      <c r="N1225" s="40"/>
      <c r="O1225" s="41"/>
    </row>
    <row r="1226" spans="1:15" s="7" customFormat="1" ht="18.75">
      <c r="A1226" s="56"/>
      <c r="B1226" s="46"/>
      <c r="C1226" s="31" t="s">
        <v>222</v>
      </c>
      <c r="D1226" s="45" t="s">
        <v>550</v>
      </c>
      <c r="E1226" s="217">
        <v>44411</v>
      </c>
      <c r="F1226" s="34">
        <v>48313598.568196505</v>
      </c>
      <c r="G1226" s="35" t="s">
        <v>85</v>
      </c>
      <c r="H1226" s="34">
        <v>48313598.568196505</v>
      </c>
      <c r="I1226" s="44" t="s">
        <v>605</v>
      </c>
      <c r="J1226" s="37">
        <f>F1226-H1226</f>
        <v>0</v>
      </c>
      <c r="K1226" s="37">
        <f t="shared" si="70"/>
        <v>-3434945.3574359939</v>
      </c>
      <c r="L1226" s="39"/>
      <c r="M1226" s="40"/>
      <c r="N1226" s="40"/>
      <c r="O1226" s="41"/>
    </row>
    <row r="1227" spans="1:15" s="7" customFormat="1" ht="18.75">
      <c r="A1227" s="56"/>
      <c r="B1227" s="46" t="s">
        <v>1234</v>
      </c>
      <c r="C1227" s="31"/>
      <c r="D1227" s="45"/>
      <c r="E1227" s="44"/>
      <c r="F1227" s="161"/>
      <c r="G1227" s="35"/>
      <c r="H1227" s="36"/>
      <c r="I1227" s="35"/>
      <c r="J1227" s="37"/>
      <c r="K1227" s="38">
        <f t="shared" si="70"/>
        <v>-3434945.3574359939</v>
      </c>
      <c r="L1227" s="39"/>
      <c r="M1227" s="40"/>
      <c r="N1227" s="40"/>
      <c r="O1227" s="41"/>
    </row>
    <row r="1228" spans="1:15" s="7" customFormat="1" ht="18.75">
      <c r="A1228" s="56"/>
      <c r="B1228" s="46"/>
      <c r="C1228" s="31"/>
      <c r="D1228" s="45"/>
      <c r="E1228" s="44"/>
      <c r="F1228" s="161"/>
      <c r="G1228" s="35"/>
      <c r="H1228" s="36"/>
      <c r="I1228" s="35"/>
      <c r="J1228" s="37"/>
      <c r="K1228" s="38"/>
      <c r="L1228" s="39"/>
      <c r="M1228" s="40"/>
      <c r="N1228" s="40"/>
      <c r="O1228" s="41"/>
    </row>
    <row r="1229" spans="1:15" s="7" customFormat="1" ht="18.75">
      <c r="A1229" s="56">
        <v>32</v>
      </c>
      <c r="B1229" s="57" t="s">
        <v>1235</v>
      </c>
      <c r="C1229" s="41" t="s">
        <v>1236</v>
      </c>
      <c r="D1229" s="32" t="s">
        <v>1237</v>
      </c>
      <c r="E1229" s="44"/>
      <c r="F1229" s="34"/>
      <c r="G1229" s="58" t="s">
        <v>1238</v>
      </c>
      <c r="H1229" s="47"/>
      <c r="I1229" s="35" t="s">
        <v>1239</v>
      </c>
      <c r="J1229" s="37">
        <v>217190281.78999999</v>
      </c>
      <c r="K1229" s="41">
        <v>0</v>
      </c>
      <c r="L1229" s="60" t="s">
        <v>1240</v>
      </c>
      <c r="M1229" s="41"/>
      <c r="N1229" s="41"/>
      <c r="O1229" s="41"/>
    </row>
    <row r="1230" spans="1:15" s="7" customFormat="1" ht="18.75">
      <c r="A1230" s="81"/>
      <c r="B1230" s="57" t="s">
        <v>1241</v>
      </c>
      <c r="C1230" s="41" t="s">
        <v>1242</v>
      </c>
      <c r="D1230" s="32" t="s">
        <v>1243</v>
      </c>
      <c r="E1230" s="44"/>
      <c r="F1230" s="34"/>
      <c r="G1230" s="58" t="s">
        <v>1244</v>
      </c>
      <c r="H1230" s="47">
        <v>0</v>
      </c>
      <c r="I1230" s="35" t="s">
        <v>1245</v>
      </c>
      <c r="J1230" s="37">
        <v>751175.12</v>
      </c>
      <c r="K1230" s="110">
        <f>K1229+J1229</f>
        <v>217190281.78999999</v>
      </c>
      <c r="L1230" s="60" t="s">
        <v>1240</v>
      </c>
      <c r="M1230" s="41"/>
      <c r="N1230" s="41"/>
      <c r="O1230" s="41"/>
    </row>
    <row r="1231" spans="1:15" s="7" customFormat="1" ht="18.75">
      <c r="A1231" s="81"/>
      <c r="B1231" s="109"/>
      <c r="C1231" s="29" t="s">
        <v>506</v>
      </c>
      <c r="D1231" s="32" t="s">
        <v>1246</v>
      </c>
      <c r="E1231" s="44"/>
      <c r="F1231" s="95">
        <v>261253966.21000001</v>
      </c>
      <c r="G1231" s="75">
        <v>43223</v>
      </c>
      <c r="H1231" s="47">
        <v>261253966.21000001</v>
      </c>
      <c r="I1231" s="35" t="s">
        <v>569</v>
      </c>
      <c r="J1231" s="37">
        <f t="shared" ref="J1231:J1268" si="71">F1231-H1231</f>
        <v>0</v>
      </c>
      <c r="K1231" s="110">
        <f t="shared" ref="K1231:K1269" si="72">K1230+J1230</f>
        <v>217941456.91</v>
      </c>
      <c r="L1231" s="176"/>
      <c r="M1231" s="41"/>
      <c r="N1231" s="41"/>
      <c r="O1231" s="41"/>
    </row>
    <row r="1232" spans="1:15" s="7" customFormat="1" ht="18.75">
      <c r="A1232" s="81"/>
      <c r="B1232" s="109"/>
      <c r="C1232" s="29" t="s">
        <v>508</v>
      </c>
      <c r="D1232" s="32" t="s">
        <v>1247</v>
      </c>
      <c r="E1232" s="44"/>
      <c r="F1232" s="95">
        <v>238628463.81</v>
      </c>
      <c r="G1232" s="75" t="s">
        <v>509</v>
      </c>
      <c r="H1232" s="47">
        <v>238628463.81</v>
      </c>
      <c r="I1232" s="35"/>
      <c r="J1232" s="37">
        <f t="shared" si="71"/>
        <v>0</v>
      </c>
      <c r="K1232" s="110">
        <f t="shared" si="72"/>
        <v>217941456.91</v>
      </c>
      <c r="L1232" s="176"/>
      <c r="M1232" s="41"/>
      <c r="N1232" s="41"/>
      <c r="O1232" s="41"/>
    </row>
    <row r="1233" spans="1:15" s="7" customFormat="1" ht="18.75">
      <c r="A1233" s="81"/>
      <c r="B1233" s="109"/>
      <c r="C1233" s="29" t="s">
        <v>355</v>
      </c>
      <c r="D1233" s="32" t="s">
        <v>1248</v>
      </c>
      <c r="E1233" s="44"/>
      <c r="F1233" s="95">
        <v>275434727.84412479</v>
      </c>
      <c r="G1233" s="75" t="s">
        <v>510</v>
      </c>
      <c r="H1233" s="47">
        <v>275434727.83999997</v>
      </c>
      <c r="I1233" s="35"/>
      <c r="J1233" s="37">
        <f t="shared" si="71"/>
        <v>4.1248202323913574E-3</v>
      </c>
      <c r="K1233" s="110">
        <f t="shared" si="72"/>
        <v>217941456.91</v>
      </c>
      <c r="L1233" s="176"/>
      <c r="M1233" s="41"/>
      <c r="N1233" s="41"/>
      <c r="O1233" s="41"/>
    </row>
    <row r="1234" spans="1:15" s="7" customFormat="1" ht="18.75">
      <c r="A1234" s="81"/>
      <c r="B1234" s="109"/>
      <c r="C1234" s="29" t="s">
        <v>810</v>
      </c>
      <c r="D1234" s="32" t="s">
        <v>1249</v>
      </c>
      <c r="E1234" s="44"/>
      <c r="F1234" s="95">
        <v>241598904.28654811</v>
      </c>
      <c r="G1234" s="75" t="s">
        <v>513</v>
      </c>
      <c r="H1234" s="47">
        <v>241598904.28654811</v>
      </c>
      <c r="I1234" s="35">
        <v>43142</v>
      </c>
      <c r="J1234" s="37">
        <f t="shared" si="71"/>
        <v>0</v>
      </c>
      <c r="K1234" s="110">
        <f t="shared" si="72"/>
        <v>217941456.91412482</v>
      </c>
      <c r="L1234" s="176"/>
      <c r="M1234" s="41"/>
      <c r="N1234" s="41"/>
      <c r="O1234" s="41"/>
    </row>
    <row r="1235" spans="1:15" s="7" customFormat="1" ht="22.5" customHeight="1">
      <c r="A1235" s="81"/>
      <c r="B1235" s="109"/>
      <c r="C1235" s="147" t="s">
        <v>416</v>
      </c>
      <c r="D1235" s="32" t="s">
        <v>1250</v>
      </c>
      <c r="E1235" s="44"/>
      <c r="F1235" s="95">
        <v>264124742.55747876</v>
      </c>
      <c r="G1235" s="75" t="s">
        <v>687</v>
      </c>
      <c r="H1235" s="36">
        <v>264124742.56</v>
      </c>
      <c r="I1235" s="35" t="s">
        <v>1251</v>
      </c>
      <c r="J1235" s="37">
        <f t="shared" si="71"/>
        <v>-2.5212466716766357E-3</v>
      </c>
      <c r="K1235" s="110">
        <f t="shared" si="72"/>
        <v>217941456.91412482</v>
      </c>
      <c r="L1235" s="176"/>
      <c r="M1235" s="41"/>
      <c r="N1235" s="41"/>
      <c r="O1235" s="41"/>
    </row>
    <row r="1236" spans="1:15" s="7" customFormat="1" ht="18.75">
      <c r="A1236" s="81"/>
      <c r="B1236" s="109"/>
      <c r="C1236" s="147" t="s">
        <v>1252</v>
      </c>
      <c r="D1236" s="32" t="s">
        <v>1253</v>
      </c>
      <c r="E1236" s="44"/>
      <c r="F1236" s="95">
        <v>248095708.77643055</v>
      </c>
      <c r="G1236" s="75" t="s">
        <v>1085</v>
      </c>
      <c r="H1236" s="47">
        <f>F1236</f>
        <v>248095708.77643055</v>
      </c>
      <c r="I1236" s="35"/>
      <c r="J1236" s="37">
        <f t="shared" si="71"/>
        <v>0</v>
      </c>
      <c r="K1236" s="110">
        <f t="shared" si="72"/>
        <v>217941456.91160357</v>
      </c>
      <c r="L1236" s="176"/>
      <c r="M1236" s="41"/>
      <c r="N1236" s="41"/>
      <c r="O1236" s="41"/>
    </row>
    <row r="1237" spans="1:15" s="7" customFormat="1" ht="18.75">
      <c r="A1237" s="81"/>
      <c r="B1237" s="109"/>
      <c r="C1237" s="102" t="s">
        <v>1254</v>
      </c>
      <c r="D1237" s="32" t="s">
        <v>1250</v>
      </c>
      <c r="E1237" s="44"/>
      <c r="F1237" s="95">
        <v>211191958.69472894</v>
      </c>
      <c r="G1237" s="75" t="s">
        <v>507</v>
      </c>
      <c r="H1237" s="47">
        <v>211191958.69</v>
      </c>
      <c r="I1237" s="35" t="s">
        <v>526</v>
      </c>
      <c r="J1237" s="37">
        <f t="shared" si="71"/>
        <v>4.7289431095123291E-3</v>
      </c>
      <c r="K1237" s="110">
        <f t="shared" si="72"/>
        <v>217941456.91160357</v>
      </c>
      <c r="L1237" s="176"/>
      <c r="M1237" s="41"/>
      <c r="N1237" s="41"/>
      <c r="O1237" s="41"/>
    </row>
    <row r="1238" spans="1:15" s="7" customFormat="1" ht="18.75">
      <c r="A1238" s="81"/>
      <c r="B1238" s="109"/>
      <c r="C1238" s="102" t="s">
        <v>243</v>
      </c>
      <c r="D1238" s="32" t="s">
        <v>1253</v>
      </c>
      <c r="E1238" s="44"/>
      <c r="F1238" s="95">
        <v>240406779.29148152</v>
      </c>
      <c r="G1238" s="75" t="s">
        <v>424</v>
      </c>
      <c r="H1238" s="47">
        <v>240406779.28999999</v>
      </c>
      <c r="I1238" s="162" t="s">
        <v>766</v>
      </c>
      <c r="J1238" s="37">
        <f t="shared" si="71"/>
        <v>1.4815330505371094E-3</v>
      </c>
      <c r="K1238" s="110">
        <f t="shared" si="72"/>
        <v>217941456.91633251</v>
      </c>
      <c r="L1238" s="176"/>
      <c r="M1238" s="41"/>
      <c r="N1238" s="41"/>
      <c r="O1238" s="41"/>
    </row>
    <row r="1239" spans="1:15" s="7" customFormat="1" ht="18.75">
      <c r="A1239" s="81"/>
      <c r="B1239" s="109"/>
      <c r="C1239" s="102" t="s">
        <v>246</v>
      </c>
      <c r="D1239" s="103" t="s">
        <v>1255</v>
      </c>
      <c r="E1239" s="44"/>
      <c r="F1239" s="95">
        <v>234158976.37700573</v>
      </c>
      <c r="G1239" s="105" t="s">
        <v>1256</v>
      </c>
      <c r="H1239" s="36">
        <v>234158976.37700573</v>
      </c>
      <c r="I1239" s="162" t="s">
        <v>833</v>
      </c>
      <c r="J1239" s="37">
        <f t="shared" si="71"/>
        <v>0</v>
      </c>
      <c r="K1239" s="110">
        <f t="shared" si="72"/>
        <v>217941456.91781405</v>
      </c>
      <c r="L1239" s="176"/>
      <c r="M1239" s="41"/>
      <c r="N1239" s="41"/>
      <c r="O1239" s="41"/>
    </row>
    <row r="1240" spans="1:15" s="7" customFormat="1" ht="18.75">
      <c r="A1240" s="81"/>
      <c r="B1240" s="109"/>
      <c r="C1240" s="102" t="s">
        <v>522</v>
      </c>
      <c r="D1240" s="103" t="s">
        <v>740</v>
      </c>
      <c r="E1240" s="44"/>
      <c r="F1240" s="104">
        <v>242170017.37556246</v>
      </c>
      <c r="G1240" s="105" t="s">
        <v>1257</v>
      </c>
      <c r="H1240" s="36">
        <v>242170017.38</v>
      </c>
      <c r="I1240" s="76" t="s">
        <v>979</v>
      </c>
      <c r="J1240" s="37">
        <f t="shared" si="71"/>
        <v>-4.4375360012054443E-3</v>
      </c>
      <c r="K1240" s="110">
        <f t="shared" si="72"/>
        <v>217941456.91781405</v>
      </c>
      <c r="L1240" s="176"/>
      <c r="M1240" s="41"/>
      <c r="N1240" s="41"/>
      <c r="O1240" s="41"/>
    </row>
    <row r="1241" spans="1:15" s="7" customFormat="1" ht="18.75">
      <c r="A1241" s="81"/>
      <c r="B1241" s="109"/>
      <c r="C1241" s="111" t="s">
        <v>250</v>
      </c>
      <c r="D1241" s="103" t="s">
        <v>241</v>
      </c>
      <c r="E1241" s="44"/>
      <c r="F1241" s="149">
        <v>237379652.90000001</v>
      </c>
      <c r="G1241" s="105" t="s">
        <v>1137</v>
      </c>
      <c r="H1241" s="36">
        <v>237379652.90000001</v>
      </c>
      <c r="I1241" s="35">
        <v>43643</v>
      </c>
      <c r="J1241" s="37">
        <f t="shared" si="71"/>
        <v>0</v>
      </c>
      <c r="K1241" s="110">
        <f t="shared" si="72"/>
        <v>217941456.91337651</v>
      </c>
      <c r="L1241" s="148"/>
      <c r="M1241" s="41"/>
      <c r="N1241" s="41"/>
      <c r="O1241" s="41"/>
    </row>
    <row r="1242" spans="1:15" s="7" customFormat="1" ht="18.75">
      <c r="A1242" s="81"/>
      <c r="B1242" s="109"/>
      <c r="C1242" s="62" t="s">
        <v>139</v>
      </c>
      <c r="D1242" s="103" t="s">
        <v>244</v>
      </c>
      <c r="E1242" s="44"/>
      <c r="F1242" s="149">
        <v>252196444.94999999</v>
      </c>
      <c r="G1242" s="105" t="s">
        <v>519</v>
      </c>
      <c r="H1242" s="47">
        <v>252196444.94999999</v>
      </c>
      <c r="I1242" s="162" t="s">
        <v>1258</v>
      </c>
      <c r="J1242" s="37">
        <f t="shared" si="71"/>
        <v>0</v>
      </c>
      <c r="K1242" s="110">
        <f t="shared" si="72"/>
        <v>217941456.91337651</v>
      </c>
      <c r="L1242" s="176"/>
      <c r="M1242" s="41"/>
      <c r="N1242" s="41"/>
      <c r="O1242" s="41"/>
    </row>
    <row r="1243" spans="1:15" s="7" customFormat="1" ht="18.75">
      <c r="A1243" s="81"/>
      <c r="B1243" s="109"/>
      <c r="C1243" s="62" t="s">
        <v>142</v>
      </c>
      <c r="D1243" s="103" t="s">
        <v>57</v>
      </c>
      <c r="E1243" s="44"/>
      <c r="F1243" s="149">
        <v>250199829.58993816</v>
      </c>
      <c r="G1243" s="105" t="s">
        <v>768</v>
      </c>
      <c r="H1243" s="47">
        <v>250199829.59</v>
      </c>
      <c r="I1243" s="162" t="s">
        <v>1259</v>
      </c>
      <c r="J1243" s="37">
        <f t="shared" si="71"/>
        <v>-6.1839818954467773E-5</v>
      </c>
      <c r="K1243" s="110">
        <f t="shared" si="72"/>
        <v>217941456.91337651</v>
      </c>
      <c r="L1243" s="176"/>
      <c r="M1243" s="41"/>
      <c r="N1243" s="41"/>
      <c r="O1243" s="41"/>
    </row>
    <row r="1244" spans="1:15" s="7" customFormat="1" ht="18.75">
      <c r="A1244" s="81"/>
      <c r="B1244" s="109"/>
      <c r="C1244" s="62" t="s">
        <v>145</v>
      </c>
      <c r="D1244" s="103" t="s">
        <v>249</v>
      </c>
      <c r="E1244" s="44"/>
      <c r="F1244" s="149">
        <v>266530686.42751423</v>
      </c>
      <c r="G1244" s="105" t="s">
        <v>1103</v>
      </c>
      <c r="H1244" s="47">
        <v>242142070.41999999</v>
      </c>
      <c r="I1244" s="162" t="s">
        <v>1260</v>
      </c>
      <c r="J1244" s="37">
        <f t="shared" si="71"/>
        <v>24388616.007514238</v>
      </c>
      <c r="K1244" s="110">
        <f t="shared" si="72"/>
        <v>217941456.91331467</v>
      </c>
      <c r="L1244" s="176" t="s">
        <v>1261</v>
      </c>
      <c r="M1244" s="41"/>
      <c r="N1244" s="41"/>
      <c r="O1244" s="41"/>
    </row>
    <row r="1245" spans="1:15" s="7" customFormat="1" ht="18.75">
      <c r="A1245" s="81"/>
      <c r="B1245" s="109"/>
      <c r="C1245" s="62" t="s">
        <v>148</v>
      </c>
      <c r="D1245" s="103" t="s">
        <v>251</v>
      </c>
      <c r="E1245" s="44"/>
      <c r="F1245" s="149">
        <v>295487766.95079595</v>
      </c>
      <c r="G1245" s="105" t="s">
        <v>1262</v>
      </c>
      <c r="H1245" s="47">
        <v>268401545.81</v>
      </c>
      <c r="I1245" s="162" t="s">
        <v>161</v>
      </c>
      <c r="J1245" s="37">
        <f t="shared" si="71"/>
        <v>27086221.140795946</v>
      </c>
      <c r="K1245" s="110">
        <f t="shared" si="72"/>
        <v>242330072.92082891</v>
      </c>
      <c r="L1245" s="148" t="s">
        <v>1261</v>
      </c>
      <c r="M1245" s="41"/>
      <c r="N1245" s="41"/>
      <c r="O1245" s="41"/>
    </row>
    <row r="1246" spans="1:15" s="7" customFormat="1" ht="18.75">
      <c r="A1246" s="81"/>
      <c r="B1246" s="109"/>
      <c r="C1246" s="62" t="s">
        <v>151</v>
      </c>
      <c r="D1246" s="103" t="s">
        <v>253</v>
      </c>
      <c r="E1246" s="44"/>
      <c r="F1246" s="149">
        <v>304068359.95549643</v>
      </c>
      <c r="G1246" s="105" t="s">
        <v>152</v>
      </c>
      <c r="H1246" s="47">
        <v>276150528.11000001</v>
      </c>
      <c r="I1246" s="162" t="s">
        <v>165</v>
      </c>
      <c r="J1246" s="37">
        <f t="shared" si="71"/>
        <v>27917831.845496416</v>
      </c>
      <c r="K1246" s="110">
        <f t="shared" si="72"/>
        <v>269416294.06162488</v>
      </c>
      <c r="L1246" s="176" t="s">
        <v>1261</v>
      </c>
      <c r="M1246" s="41"/>
      <c r="N1246" s="41"/>
      <c r="O1246" s="41"/>
    </row>
    <row r="1247" spans="1:15" s="7" customFormat="1" ht="18.75">
      <c r="A1247" s="81"/>
      <c r="B1247" s="109"/>
      <c r="C1247" s="62" t="s">
        <v>154</v>
      </c>
      <c r="D1247" s="103" t="s">
        <v>255</v>
      </c>
      <c r="E1247" s="44"/>
      <c r="F1247" s="149">
        <v>276416908.38839704</v>
      </c>
      <c r="G1247" s="105" t="s">
        <v>156</v>
      </c>
      <c r="H1247" s="47">
        <v>251078691.78999999</v>
      </c>
      <c r="I1247" s="162" t="s">
        <v>1229</v>
      </c>
      <c r="J1247" s="37">
        <f t="shared" si="71"/>
        <v>25338216.598397046</v>
      </c>
      <c r="K1247" s="110">
        <f t="shared" si="72"/>
        <v>297334125.9071213</v>
      </c>
      <c r="L1247" s="176" t="s">
        <v>1261</v>
      </c>
      <c r="M1247" s="41"/>
      <c r="N1247" s="41"/>
      <c r="O1247" s="41"/>
    </row>
    <row r="1248" spans="1:15" s="7" customFormat="1" ht="18.75">
      <c r="A1248" s="81"/>
      <c r="B1248" s="109"/>
      <c r="C1248" s="62" t="s">
        <v>158</v>
      </c>
      <c r="D1248" s="103" t="s">
        <v>258</v>
      </c>
      <c r="E1248" s="44"/>
      <c r="F1248" s="149">
        <v>203915500.62163246</v>
      </c>
      <c r="G1248" s="105" t="s">
        <v>160</v>
      </c>
      <c r="H1248" s="47">
        <v>175467420.19999999</v>
      </c>
      <c r="I1248" s="162" t="s">
        <v>1263</v>
      </c>
      <c r="J1248" s="37">
        <f t="shared" si="71"/>
        <v>28448080.421632469</v>
      </c>
      <c r="K1248" s="110">
        <f t="shared" si="72"/>
        <v>322672342.50551832</v>
      </c>
      <c r="L1248" s="176" t="s">
        <v>1261</v>
      </c>
      <c r="M1248" s="41"/>
      <c r="N1248" s="41"/>
      <c r="O1248" s="41"/>
    </row>
    <row r="1249" spans="1:15" s="7" customFormat="1" ht="18.75">
      <c r="A1249" s="81"/>
      <c r="B1249" s="109"/>
      <c r="C1249" s="62" t="s">
        <v>162</v>
      </c>
      <c r="D1249" s="103" t="s">
        <v>260</v>
      </c>
      <c r="E1249" s="44"/>
      <c r="F1249" s="149">
        <v>185824076.5201968</v>
      </c>
      <c r="G1249" s="105" t="s">
        <v>164</v>
      </c>
      <c r="H1249" s="47">
        <v>168790202.84</v>
      </c>
      <c r="I1249" s="218" t="s">
        <v>1264</v>
      </c>
      <c r="J1249" s="37">
        <f t="shared" si="71"/>
        <v>17033873.680196792</v>
      </c>
      <c r="K1249" s="110">
        <f t="shared" si="72"/>
        <v>351120422.92715079</v>
      </c>
      <c r="L1249" s="176" t="s">
        <v>1261</v>
      </c>
      <c r="M1249" s="41"/>
      <c r="N1249" s="41"/>
      <c r="O1249" s="41"/>
    </row>
    <row r="1250" spans="1:15" s="7" customFormat="1" ht="18.75">
      <c r="A1250" s="81"/>
      <c r="B1250" s="109"/>
      <c r="C1250" s="62" t="s">
        <v>166</v>
      </c>
      <c r="D1250" s="103" t="s">
        <v>263</v>
      </c>
      <c r="E1250" s="44"/>
      <c r="F1250" s="149">
        <v>139047329.36420864</v>
      </c>
      <c r="G1250" s="105" t="s">
        <v>168</v>
      </c>
      <c r="H1250" s="47">
        <v>126301481.67</v>
      </c>
      <c r="I1250" s="59" t="s">
        <v>161</v>
      </c>
      <c r="J1250" s="37">
        <f t="shared" si="71"/>
        <v>12745847.694208637</v>
      </c>
      <c r="K1250" s="110">
        <f t="shared" si="72"/>
        <v>368154296.60734761</v>
      </c>
      <c r="L1250" s="176" t="s">
        <v>1261</v>
      </c>
      <c r="M1250" s="41"/>
      <c r="N1250" s="41"/>
      <c r="O1250" s="41"/>
    </row>
    <row r="1251" spans="1:15" s="7" customFormat="1" ht="18.75">
      <c r="A1251" s="81"/>
      <c r="B1251" s="109"/>
      <c r="C1251" s="62" t="s">
        <v>170</v>
      </c>
      <c r="D1251" s="103" t="s">
        <v>265</v>
      </c>
      <c r="E1251" s="44"/>
      <c r="F1251" s="149">
        <v>132647564.679966</v>
      </c>
      <c r="G1251" s="105" t="s">
        <v>172</v>
      </c>
      <c r="H1251" s="47">
        <v>120488362.08</v>
      </c>
      <c r="I1251" s="218" t="s">
        <v>165</v>
      </c>
      <c r="J1251" s="37">
        <f t="shared" si="71"/>
        <v>12159202.599966004</v>
      </c>
      <c r="K1251" s="110">
        <f t="shared" si="72"/>
        <v>380900144.30155623</v>
      </c>
      <c r="L1251" s="176" t="s">
        <v>1261</v>
      </c>
      <c r="M1251" s="41"/>
      <c r="N1251" s="41"/>
      <c r="O1251" s="41"/>
    </row>
    <row r="1252" spans="1:15" s="7" customFormat="1" ht="18.75">
      <c r="A1252" s="81"/>
      <c r="B1252" s="109"/>
      <c r="C1252" s="62" t="s">
        <v>174</v>
      </c>
      <c r="D1252" s="103" t="s">
        <v>265</v>
      </c>
      <c r="E1252" s="44"/>
      <c r="F1252" s="149">
        <v>142039068.74613225</v>
      </c>
      <c r="G1252" s="105" t="s">
        <v>176</v>
      </c>
      <c r="H1252" s="47">
        <v>129018820.78</v>
      </c>
      <c r="I1252" s="218" t="s">
        <v>1229</v>
      </c>
      <c r="J1252" s="37">
        <f t="shared" si="71"/>
        <v>13020247.966132253</v>
      </c>
      <c r="K1252" s="110">
        <f t="shared" si="72"/>
        <v>393059346.90152222</v>
      </c>
      <c r="L1252" s="176" t="s">
        <v>1261</v>
      </c>
      <c r="M1252" s="41"/>
      <c r="N1252" s="41"/>
      <c r="O1252" s="41"/>
    </row>
    <row r="1253" spans="1:15" s="7" customFormat="1" ht="18.75">
      <c r="A1253" s="81"/>
      <c r="B1253" s="109"/>
      <c r="C1253" s="62" t="s">
        <v>178</v>
      </c>
      <c r="D1253" s="103" t="s">
        <v>267</v>
      </c>
      <c r="E1253" s="44"/>
      <c r="F1253" s="149">
        <v>212739867.6271092</v>
      </c>
      <c r="G1253" s="105" t="s">
        <v>179</v>
      </c>
      <c r="H1253" s="47">
        <v>212739867.63</v>
      </c>
      <c r="I1253" s="218" t="s">
        <v>1263</v>
      </c>
      <c r="J1253" s="37">
        <f t="shared" si="71"/>
        <v>-2.8907954692840576E-3</v>
      </c>
      <c r="K1253" s="110">
        <f t="shared" si="72"/>
        <v>406079594.86765444</v>
      </c>
      <c r="L1253" s="176"/>
      <c r="M1253" s="41"/>
      <c r="N1253" s="41"/>
      <c r="O1253" s="41"/>
    </row>
    <row r="1254" spans="1:15" s="7" customFormat="1" ht="18.75">
      <c r="A1254" s="81"/>
      <c r="B1254" s="109"/>
      <c r="C1254" s="62" t="s">
        <v>181</v>
      </c>
      <c r="D1254" s="103" t="s">
        <v>268</v>
      </c>
      <c r="E1254" s="44"/>
      <c r="F1254" s="149">
        <v>214644302.45952749</v>
      </c>
      <c r="G1254" s="105" t="s">
        <v>183</v>
      </c>
      <c r="H1254" s="47">
        <v>185223246.40000001</v>
      </c>
      <c r="I1254" s="218" t="s">
        <v>1264</v>
      </c>
      <c r="J1254" s="37">
        <f t="shared" si="71"/>
        <v>29421056.059527487</v>
      </c>
      <c r="K1254" s="110">
        <f t="shared" si="72"/>
        <v>406079594.86476362</v>
      </c>
      <c r="L1254" s="176" t="s">
        <v>1261</v>
      </c>
      <c r="M1254" s="41"/>
      <c r="N1254" s="41"/>
      <c r="O1254" s="41"/>
    </row>
    <row r="1255" spans="1:15" s="7" customFormat="1" ht="18.75">
      <c r="A1255" s="81"/>
      <c r="B1255" s="109"/>
      <c r="C1255" s="62" t="s">
        <v>185</v>
      </c>
      <c r="D1255" s="103" t="s">
        <v>271</v>
      </c>
      <c r="E1255" s="44"/>
      <c r="F1255" s="149">
        <v>226302492.6141021</v>
      </c>
      <c r="G1255" s="105" t="s">
        <v>187</v>
      </c>
      <c r="H1255" s="47">
        <v>201198790.93000001</v>
      </c>
      <c r="I1255" s="218" t="s">
        <v>1265</v>
      </c>
      <c r="J1255" s="37">
        <f t="shared" si="71"/>
        <v>25103701.684102088</v>
      </c>
      <c r="K1255" s="110">
        <f t="shared" si="72"/>
        <v>435500650.92429113</v>
      </c>
      <c r="L1255" s="176"/>
      <c r="M1255" s="41"/>
      <c r="N1255" s="41"/>
      <c r="O1255" s="41"/>
    </row>
    <row r="1256" spans="1:15" s="7" customFormat="1" ht="18.75">
      <c r="A1256" s="81"/>
      <c r="B1256" s="109"/>
      <c r="C1256" s="62" t="s">
        <v>189</v>
      </c>
      <c r="D1256" s="103" t="s">
        <v>273</v>
      </c>
      <c r="E1256" s="44"/>
      <c r="F1256" s="149">
        <v>199428934.78125522</v>
      </c>
      <c r="G1256" s="105" t="s">
        <v>282</v>
      </c>
      <c r="H1256" s="47">
        <v>164935826.81</v>
      </c>
      <c r="I1256" s="218" t="s">
        <v>1265</v>
      </c>
      <c r="J1256" s="37">
        <f t="shared" si="71"/>
        <v>34493107.971255213</v>
      </c>
      <c r="K1256" s="110">
        <f t="shared" si="72"/>
        <v>460604352.60839319</v>
      </c>
      <c r="L1256" s="176"/>
      <c r="M1256" s="41"/>
      <c r="N1256" s="41"/>
      <c r="O1256" s="41"/>
    </row>
    <row r="1257" spans="1:15" s="7" customFormat="1" ht="18.75">
      <c r="A1257" s="81"/>
      <c r="B1257" s="109"/>
      <c r="C1257" s="62" t="s">
        <v>191</v>
      </c>
      <c r="D1257" s="103" t="s">
        <v>275</v>
      </c>
      <c r="E1257" s="44">
        <v>43986</v>
      </c>
      <c r="F1257" s="149">
        <v>225825808.36154974</v>
      </c>
      <c r="G1257" s="105" t="s">
        <v>193</v>
      </c>
      <c r="H1257" s="47">
        <v>158790971.28999999</v>
      </c>
      <c r="I1257" s="218" t="s">
        <v>1265</v>
      </c>
      <c r="J1257" s="37">
        <f t="shared" si="71"/>
        <v>67034837.071549743</v>
      </c>
      <c r="K1257" s="110">
        <f t="shared" si="72"/>
        <v>495097460.57964838</v>
      </c>
      <c r="L1257" s="176"/>
      <c r="M1257" s="41"/>
      <c r="N1257" s="41"/>
      <c r="O1257" s="41"/>
    </row>
    <row r="1258" spans="1:15" s="7" customFormat="1" ht="18.75">
      <c r="A1258" s="81"/>
      <c r="B1258" s="109"/>
      <c r="C1258" s="62" t="s">
        <v>195</v>
      </c>
      <c r="D1258" s="103" t="s">
        <v>277</v>
      </c>
      <c r="E1258" s="44" t="s">
        <v>197</v>
      </c>
      <c r="F1258" s="149">
        <v>241945090.80230063</v>
      </c>
      <c r="G1258" s="105" t="s">
        <v>198</v>
      </c>
      <c r="H1258" s="47">
        <v>215105670.71000001</v>
      </c>
      <c r="I1258" s="218" t="s">
        <v>1266</v>
      </c>
      <c r="J1258" s="37">
        <f t="shared" si="71"/>
        <v>26839420.092300624</v>
      </c>
      <c r="K1258" s="110">
        <f t="shared" si="72"/>
        <v>562132297.65119815</v>
      </c>
      <c r="L1258" s="176"/>
      <c r="M1258" s="41"/>
      <c r="N1258" s="41"/>
      <c r="O1258" s="41"/>
    </row>
    <row r="1259" spans="1:15" s="7" customFormat="1" ht="18.75">
      <c r="A1259" s="81"/>
      <c r="B1259" s="109"/>
      <c r="C1259" s="62" t="s">
        <v>199</v>
      </c>
      <c r="D1259" s="103" t="s">
        <v>279</v>
      </c>
      <c r="E1259" s="44">
        <v>44049</v>
      </c>
      <c r="F1259" s="149">
        <v>210893330.04871947</v>
      </c>
      <c r="G1259" s="105">
        <v>43897</v>
      </c>
      <c r="H1259" s="47">
        <v>187498539.68000001</v>
      </c>
      <c r="I1259" s="218" t="s">
        <v>1266</v>
      </c>
      <c r="J1259" s="37">
        <f t="shared" si="71"/>
        <v>23394790.368719459</v>
      </c>
      <c r="K1259" s="110">
        <f t="shared" si="72"/>
        <v>588971717.7434988</v>
      </c>
      <c r="L1259" s="176"/>
      <c r="M1259" s="41"/>
      <c r="N1259" s="41"/>
      <c r="O1259" s="41"/>
    </row>
    <row r="1260" spans="1:15" s="7" customFormat="1" ht="18.75">
      <c r="A1260" s="81"/>
      <c r="B1260" s="109"/>
      <c r="C1260" s="62" t="s">
        <v>201</v>
      </c>
      <c r="D1260" s="103" t="s">
        <v>281</v>
      </c>
      <c r="E1260" s="44" t="s">
        <v>449</v>
      </c>
      <c r="F1260" s="149">
        <v>193847776.84400439</v>
      </c>
      <c r="G1260" s="105">
        <v>44020</v>
      </c>
      <c r="H1260" s="47">
        <v>172343881.47999999</v>
      </c>
      <c r="I1260" s="218" t="s">
        <v>297</v>
      </c>
      <c r="J1260" s="37">
        <f t="shared" si="71"/>
        <v>21503895.364004403</v>
      </c>
      <c r="K1260" s="110">
        <f t="shared" si="72"/>
        <v>612366508.11221826</v>
      </c>
      <c r="L1260" s="176"/>
      <c r="M1260" s="41"/>
      <c r="N1260" s="41"/>
      <c r="O1260" s="41"/>
    </row>
    <row r="1261" spans="1:15" s="7" customFormat="1" ht="18.75">
      <c r="A1261" s="81"/>
      <c r="B1261" s="109"/>
      <c r="C1261" s="62" t="s">
        <v>203</v>
      </c>
      <c r="D1261" s="103" t="s">
        <v>283</v>
      </c>
      <c r="E1261" s="44">
        <v>44020</v>
      </c>
      <c r="F1261" s="149">
        <v>191464500.59696195</v>
      </c>
      <c r="G1261" s="105" t="s">
        <v>450</v>
      </c>
      <c r="H1261" s="47">
        <v>176604460.93000001</v>
      </c>
      <c r="I1261" s="218" t="s">
        <v>297</v>
      </c>
      <c r="J1261" s="37">
        <f t="shared" si="71"/>
        <v>14860039.666961938</v>
      </c>
      <c r="K1261" s="110">
        <f t="shared" si="72"/>
        <v>633870403.47622263</v>
      </c>
      <c r="L1261" s="176"/>
      <c r="M1261" s="41"/>
      <c r="N1261" s="41"/>
      <c r="O1261" s="41"/>
    </row>
    <row r="1262" spans="1:15" s="7" customFormat="1" ht="18.75">
      <c r="A1262" s="81"/>
      <c r="B1262" s="109"/>
      <c r="C1262" s="62" t="s">
        <v>207</v>
      </c>
      <c r="D1262" s="103" t="s">
        <v>84</v>
      </c>
      <c r="E1262" s="44" t="s">
        <v>209</v>
      </c>
      <c r="F1262" s="149">
        <v>222906351.06170982</v>
      </c>
      <c r="G1262" s="105" t="s">
        <v>210</v>
      </c>
      <c r="H1262" s="47">
        <v>198178956.31999999</v>
      </c>
      <c r="I1262" s="218" t="s">
        <v>297</v>
      </c>
      <c r="J1262" s="37">
        <f t="shared" si="71"/>
        <v>24727394.741709828</v>
      </c>
      <c r="K1262" s="110">
        <f t="shared" si="72"/>
        <v>648730443.14318454</v>
      </c>
      <c r="L1262" s="176"/>
      <c r="M1262" s="41"/>
      <c r="N1262" s="41"/>
      <c r="O1262" s="41"/>
    </row>
    <row r="1263" spans="1:15" s="7" customFormat="1" ht="18.75">
      <c r="A1263" s="81"/>
      <c r="B1263" s="109"/>
      <c r="C1263" s="62" t="s">
        <v>212</v>
      </c>
      <c r="D1263" s="103" t="s">
        <v>286</v>
      </c>
      <c r="E1263" s="44">
        <v>44084</v>
      </c>
      <c r="F1263" s="149">
        <v>198639939.86870885</v>
      </c>
      <c r="G1263" s="105" t="s">
        <v>213</v>
      </c>
      <c r="H1263" s="47">
        <v>170224986.50999999</v>
      </c>
      <c r="I1263" s="218" t="s">
        <v>297</v>
      </c>
      <c r="J1263" s="37">
        <f t="shared" si="71"/>
        <v>28414953.358708858</v>
      </c>
      <c r="K1263" s="110">
        <f t="shared" si="72"/>
        <v>673457837.88489437</v>
      </c>
      <c r="L1263" s="176"/>
      <c r="M1263" s="41"/>
      <c r="N1263" s="41"/>
      <c r="O1263" s="41"/>
    </row>
    <row r="1264" spans="1:15" s="7" customFormat="1" ht="18.75">
      <c r="A1264" s="81"/>
      <c r="B1264" s="109"/>
      <c r="C1264" s="62" t="s">
        <v>214</v>
      </c>
      <c r="D1264" s="103" t="s">
        <v>775</v>
      </c>
      <c r="E1264" s="44">
        <v>43962</v>
      </c>
      <c r="F1264" s="149">
        <v>215212548.81589016</v>
      </c>
      <c r="G1264" s="105" t="s">
        <v>216</v>
      </c>
      <c r="H1264" s="47"/>
      <c r="I1264" s="218"/>
      <c r="J1264" s="37">
        <f t="shared" si="71"/>
        <v>215212548.81589016</v>
      </c>
      <c r="K1264" s="110">
        <f t="shared" si="72"/>
        <v>701872791.24360323</v>
      </c>
      <c r="L1264" s="176"/>
      <c r="M1264" s="41"/>
      <c r="N1264" s="41"/>
      <c r="O1264" s="41"/>
    </row>
    <row r="1265" spans="1:15" s="7" customFormat="1" ht="18.75">
      <c r="A1265" s="81"/>
      <c r="B1265" s="109"/>
      <c r="C1265" s="62" t="s">
        <v>218</v>
      </c>
      <c r="D1265" s="103" t="s">
        <v>289</v>
      </c>
      <c r="E1265" s="44">
        <v>44024</v>
      </c>
      <c r="F1265" s="149">
        <v>318417874.56501925</v>
      </c>
      <c r="G1265" s="105">
        <v>44531</v>
      </c>
      <c r="H1265" s="47"/>
      <c r="I1265" s="218"/>
      <c r="J1265" s="37">
        <f t="shared" si="71"/>
        <v>318417874.56501925</v>
      </c>
      <c r="K1265" s="110">
        <f t="shared" si="72"/>
        <v>917085340.05949342</v>
      </c>
      <c r="L1265" s="176"/>
      <c r="M1265" s="41"/>
      <c r="N1265" s="41"/>
      <c r="O1265" s="41"/>
    </row>
    <row r="1266" spans="1:15" s="7" customFormat="1" ht="18.75">
      <c r="A1266" s="81"/>
      <c r="B1266" s="109"/>
      <c r="C1266" s="62" t="s">
        <v>219</v>
      </c>
      <c r="D1266" s="103" t="s">
        <v>777</v>
      </c>
      <c r="E1266" s="44">
        <v>44531</v>
      </c>
      <c r="F1266" s="149">
        <v>292102710.28262019</v>
      </c>
      <c r="G1266" s="105" t="s">
        <v>1267</v>
      </c>
      <c r="H1266" s="47"/>
      <c r="I1266" s="218"/>
      <c r="J1266" s="37">
        <f t="shared" si="71"/>
        <v>292102710.28262019</v>
      </c>
      <c r="K1266" s="110">
        <f t="shared" si="72"/>
        <v>1235503214.6245127</v>
      </c>
      <c r="L1266" s="176"/>
      <c r="M1266" s="41"/>
      <c r="N1266" s="41"/>
      <c r="O1266" s="41"/>
    </row>
    <row r="1267" spans="1:15" s="7" customFormat="1" ht="18.75">
      <c r="A1267" s="81"/>
      <c r="B1267" s="109"/>
      <c r="C1267" s="62" t="s">
        <v>221</v>
      </c>
      <c r="D1267" s="103" t="s">
        <v>74</v>
      </c>
      <c r="E1267" s="44">
        <v>44471</v>
      </c>
      <c r="F1267" s="149">
        <v>335935163.8164286</v>
      </c>
      <c r="G1267" s="105">
        <v>44289</v>
      </c>
      <c r="H1267" s="47"/>
      <c r="I1267" s="218"/>
      <c r="J1267" s="37">
        <f t="shared" si="71"/>
        <v>335935163.8164286</v>
      </c>
      <c r="K1267" s="110">
        <f t="shared" si="72"/>
        <v>1527605924.9071329</v>
      </c>
      <c r="L1267" s="176"/>
      <c r="M1267" s="41"/>
      <c r="N1267" s="41"/>
      <c r="O1267" s="41"/>
    </row>
    <row r="1268" spans="1:15" s="7" customFormat="1" ht="18.75">
      <c r="A1268" s="81"/>
      <c r="B1268" s="109"/>
      <c r="C1268" s="62" t="s">
        <v>222</v>
      </c>
      <c r="D1268" s="103" t="s">
        <v>296</v>
      </c>
      <c r="E1268" s="44">
        <v>44319</v>
      </c>
      <c r="F1268" s="149">
        <v>407485660.25241506</v>
      </c>
      <c r="G1268" s="105" t="s">
        <v>224</v>
      </c>
      <c r="H1268" s="47"/>
      <c r="I1268" s="218"/>
      <c r="J1268" s="37">
        <f t="shared" si="71"/>
        <v>407485660.25241506</v>
      </c>
      <c r="K1268" s="110">
        <f t="shared" si="72"/>
        <v>1863541088.7235615</v>
      </c>
      <c r="L1268" s="176"/>
      <c r="M1268" s="41"/>
      <c r="N1268" s="41"/>
      <c r="O1268" s="41"/>
    </row>
    <row r="1269" spans="1:15" s="7" customFormat="1" ht="18.75">
      <c r="A1269" s="56"/>
      <c r="B1269" s="57" t="s">
        <v>1268</v>
      </c>
      <c r="C1269" s="41"/>
      <c r="D1269" s="32"/>
      <c r="E1269" s="44"/>
      <c r="F1269" s="34"/>
      <c r="G1269" s="58"/>
      <c r="H1269" s="54"/>
      <c r="I1269" s="41"/>
      <c r="J1269" s="37"/>
      <c r="K1269" s="116">
        <f t="shared" si="72"/>
        <v>2271026748.9759765</v>
      </c>
      <c r="L1269" s="60"/>
      <c r="M1269" s="41"/>
      <c r="N1269" s="41"/>
      <c r="O1269" s="41"/>
    </row>
    <row r="1270" spans="1:15" s="7" customFormat="1" ht="18.75">
      <c r="A1270" s="56"/>
      <c r="B1270" s="57"/>
      <c r="C1270" s="41"/>
      <c r="D1270" s="32"/>
      <c r="E1270" s="44"/>
      <c r="F1270" s="34"/>
      <c r="G1270" s="58"/>
      <c r="H1270" s="112"/>
      <c r="I1270" s="113"/>
      <c r="J1270" s="37"/>
      <c r="K1270" s="116"/>
      <c r="L1270" s="60"/>
      <c r="M1270" s="41"/>
      <c r="N1270" s="41"/>
      <c r="O1270" s="41"/>
    </row>
    <row r="1271" spans="1:15" s="7" customFormat="1" ht="18.75">
      <c r="A1271" s="81">
        <v>33</v>
      </c>
      <c r="B1271" s="141" t="s">
        <v>75</v>
      </c>
      <c r="C1271" s="7" t="s">
        <v>1269</v>
      </c>
      <c r="D1271" s="200" t="s">
        <v>550</v>
      </c>
      <c r="E1271" s="44"/>
      <c r="F1271" s="219">
        <f>65983420.29-122943.98-17171690.34+51370050-0.18</f>
        <v>100058835.78999999</v>
      </c>
      <c r="G1271" s="35">
        <v>41619</v>
      </c>
      <c r="H1271" s="208">
        <v>0</v>
      </c>
      <c r="I1271" s="220"/>
      <c r="J1271" s="37">
        <f t="shared" ref="J1271:J1277" si="73">F1271-H1271</f>
        <v>100058835.78999999</v>
      </c>
      <c r="K1271" s="221">
        <v>0</v>
      </c>
      <c r="L1271" s="194"/>
      <c r="M1271" s="41"/>
      <c r="N1271" s="41"/>
      <c r="O1271" s="41"/>
    </row>
    <row r="1272" spans="1:15" s="7" customFormat="1" ht="18.75">
      <c r="A1272" s="56"/>
      <c r="B1272" s="141"/>
      <c r="C1272" s="31" t="s">
        <v>1270</v>
      </c>
      <c r="D1272" s="200" t="s">
        <v>113</v>
      </c>
      <c r="E1272" s="44"/>
      <c r="F1272" s="219">
        <v>154419963.16999999</v>
      </c>
      <c r="G1272" s="35" t="s">
        <v>1271</v>
      </c>
      <c r="H1272" s="208">
        <v>50000000</v>
      </c>
      <c r="I1272" s="222" t="s">
        <v>1272</v>
      </c>
      <c r="J1272" s="37">
        <f t="shared" si="73"/>
        <v>104419963.16999999</v>
      </c>
      <c r="K1272" s="223">
        <f t="shared" ref="K1272:K1280" si="74">K1271+J1271</f>
        <v>100058835.78999999</v>
      </c>
      <c r="L1272" s="194"/>
      <c r="M1272" s="41"/>
      <c r="N1272" s="41"/>
      <c r="O1272" s="41"/>
    </row>
    <row r="1273" spans="1:15" s="7" customFormat="1" ht="18.75">
      <c r="A1273" s="56"/>
      <c r="B1273" s="141"/>
      <c r="C1273" s="31" t="s">
        <v>1273</v>
      </c>
      <c r="D1273" s="200" t="s">
        <v>229</v>
      </c>
      <c r="E1273" s="44"/>
      <c r="F1273" s="219">
        <v>210750491.53</v>
      </c>
      <c r="G1273" s="35" t="s">
        <v>1274</v>
      </c>
      <c r="H1273" s="208">
        <v>25000000</v>
      </c>
      <c r="I1273" s="222" t="s">
        <v>1275</v>
      </c>
      <c r="J1273" s="37">
        <f t="shared" si="73"/>
        <v>185750491.53</v>
      </c>
      <c r="K1273" s="223">
        <f t="shared" si="74"/>
        <v>204478798.95999998</v>
      </c>
      <c r="L1273" s="194"/>
      <c r="M1273" s="41"/>
      <c r="N1273" s="41"/>
      <c r="O1273" s="41"/>
    </row>
    <row r="1274" spans="1:15" s="7" customFormat="1" ht="18.75">
      <c r="A1274" s="56"/>
      <c r="B1274" s="141"/>
      <c r="C1274" s="7" t="s">
        <v>1276</v>
      </c>
      <c r="D1274" s="200" t="s">
        <v>33</v>
      </c>
      <c r="E1274" s="44"/>
      <c r="F1274" s="224">
        <v>149988367.91</v>
      </c>
      <c r="G1274" s="76" t="s">
        <v>1277</v>
      </c>
      <c r="H1274" s="208">
        <v>50000000</v>
      </c>
      <c r="I1274" s="225" t="s">
        <v>1278</v>
      </c>
      <c r="J1274" s="37">
        <f t="shared" si="73"/>
        <v>99988367.909999996</v>
      </c>
      <c r="K1274" s="223">
        <f t="shared" si="74"/>
        <v>390229290.49000001</v>
      </c>
      <c r="L1274" s="194"/>
      <c r="M1274" s="41"/>
      <c r="N1274" s="41"/>
      <c r="O1274" s="41"/>
    </row>
    <row r="1275" spans="1:15" s="7" customFormat="1" ht="18.75">
      <c r="A1275" s="56"/>
      <c r="B1275" s="141"/>
      <c r="C1275" s="31" t="s">
        <v>1279</v>
      </c>
      <c r="D1275" s="32" t="s">
        <v>241</v>
      </c>
      <c r="E1275" s="44"/>
      <c r="F1275" s="86">
        <v>148163955.28</v>
      </c>
      <c r="G1275" s="35" t="s">
        <v>1280</v>
      </c>
      <c r="H1275" s="208">
        <v>50000000</v>
      </c>
      <c r="I1275" s="225" t="s">
        <v>1281</v>
      </c>
      <c r="J1275" s="37">
        <f t="shared" si="73"/>
        <v>98163955.280000001</v>
      </c>
      <c r="K1275" s="223">
        <f>K1274+J1274</f>
        <v>490217658.39999998</v>
      </c>
      <c r="L1275" s="194"/>
      <c r="M1275" s="41"/>
      <c r="N1275" s="41"/>
      <c r="O1275" s="41"/>
    </row>
    <row r="1276" spans="1:15" s="7" customFormat="1" ht="18.75">
      <c r="A1276" s="56"/>
      <c r="B1276" s="141"/>
      <c r="C1276" s="31" t="s">
        <v>1282</v>
      </c>
      <c r="D1276" s="32" t="s">
        <v>244</v>
      </c>
      <c r="E1276" s="44"/>
      <c r="F1276" s="86">
        <v>225123770.77000001</v>
      </c>
      <c r="G1276" s="35" t="s">
        <v>1283</v>
      </c>
      <c r="H1276" s="208">
        <v>50000000</v>
      </c>
      <c r="I1276" s="225" t="s">
        <v>1284</v>
      </c>
      <c r="J1276" s="37">
        <f t="shared" si="73"/>
        <v>175123770.77000001</v>
      </c>
      <c r="K1276" s="223">
        <f t="shared" si="74"/>
        <v>588381613.67999995</v>
      </c>
      <c r="L1276" s="194"/>
      <c r="M1276" s="41"/>
      <c r="N1276" s="41"/>
      <c r="O1276" s="41"/>
    </row>
    <row r="1277" spans="1:15" s="7" customFormat="1" ht="18.75">
      <c r="A1277" s="56"/>
      <c r="B1277" s="141"/>
      <c r="C1277" s="31" t="s">
        <v>1285</v>
      </c>
      <c r="D1277" s="32" t="s">
        <v>57</v>
      </c>
      <c r="E1277" s="44"/>
      <c r="F1277" s="86">
        <v>223354766.84</v>
      </c>
      <c r="G1277" s="35">
        <v>41894</v>
      </c>
      <c r="H1277" s="208">
        <v>200000000</v>
      </c>
      <c r="I1277" s="226" t="s">
        <v>1286</v>
      </c>
      <c r="J1277" s="37">
        <f t="shared" si="73"/>
        <v>23354766.840000004</v>
      </c>
      <c r="K1277" s="223">
        <f t="shared" si="74"/>
        <v>763505384.44999993</v>
      </c>
      <c r="L1277" s="194"/>
      <c r="M1277" s="41"/>
      <c r="N1277" s="41"/>
      <c r="O1277" s="41"/>
    </row>
    <row r="1278" spans="1:15" s="7" customFormat="1" ht="18.75">
      <c r="A1278" s="56"/>
      <c r="B1278" s="141"/>
      <c r="C1278" s="7" t="s">
        <v>1287</v>
      </c>
      <c r="D1278" s="32" t="s">
        <v>249</v>
      </c>
      <c r="E1278" s="44"/>
      <c r="F1278" s="86">
        <v>145566874.25999999</v>
      </c>
      <c r="G1278" s="227">
        <v>41923</v>
      </c>
      <c r="H1278" s="208"/>
      <c r="I1278" s="225"/>
      <c r="J1278" s="37">
        <f>F1278-H1278</f>
        <v>145566874.25999999</v>
      </c>
      <c r="K1278" s="223">
        <f t="shared" si="74"/>
        <v>786860151.28999996</v>
      </c>
      <c r="L1278" s="194"/>
      <c r="M1278" s="41"/>
      <c r="N1278" s="41"/>
      <c r="O1278" s="41"/>
    </row>
    <row r="1279" spans="1:15" s="7" customFormat="1" ht="18.75">
      <c r="A1279" s="56"/>
      <c r="B1279" s="141"/>
      <c r="D1279" s="32"/>
      <c r="E1279" s="44"/>
      <c r="F1279" s="86"/>
      <c r="G1279" s="227"/>
      <c r="H1279" s="208"/>
      <c r="I1279" s="225"/>
      <c r="J1279" s="37"/>
      <c r="K1279" s="223">
        <f t="shared" si="74"/>
        <v>932427025.54999995</v>
      </c>
      <c r="L1279" s="194"/>
      <c r="M1279" s="41"/>
      <c r="N1279" s="41"/>
      <c r="O1279" s="41"/>
    </row>
    <row r="1280" spans="1:15" s="7" customFormat="1" ht="18.75">
      <c r="A1280" s="56"/>
      <c r="B1280" s="57" t="s">
        <v>1288</v>
      </c>
      <c r="C1280" s="31"/>
      <c r="D1280" s="32"/>
      <c r="E1280" s="44"/>
      <c r="F1280" s="86"/>
      <c r="G1280" s="35"/>
      <c r="H1280" s="87"/>
      <c r="I1280" s="35"/>
      <c r="J1280" s="37"/>
      <c r="K1280" s="228">
        <f t="shared" si="74"/>
        <v>932427025.54999995</v>
      </c>
      <c r="L1280" s="194"/>
      <c r="M1280" s="41"/>
      <c r="N1280" s="41"/>
      <c r="O1280" s="41"/>
    </row>
    <row r="1281" spans="1:15" s="7" customFormat="1" ht="18.75">
      <c r="A1281" s="30"/>
      <c r="B1281" s="30"/>
      <c r="D1281" s="51"/>
      <c r="E1281" s="44"/>
      <c r="F1281" s="53"/>
      <c r="H1281" s="54"/>
      <c r="L1281" s="194"/>
      <c r="M1281" s="41"/>
      <c r="N1281" s="41"/>
      <c r="O1281" s="41"/>
    </row>
    <row r="1282" spans="1:15" s="7" customFormat="1" ht="18.75">
      <c r="A1282" s="81">
        <v>34</v>
      </c>
      <c r="B1282" s="57" t="s">
        <v>1289</v>
      </c>
      <c r="C1282" s="31" t="s">
        <v>1290</v>
      </c>
      <c r="D1282" s="32"/>
      <c r="E1282" s="44"/>
      <c r="F1282" s="34">
        <v>6526996004.4200001</v>
      </c>
      <c r="G1282" s="35">
        <v>41894</v>
      </c>
      <c r="H1282" s="47">
        <f>1561462540.57+1679233309.98+908698128.39+747269568.84</f>
        <v>4896663547.7799997</v>
      </c>
      <c r="I1282" s="35" t="s">
        <v>1291</v>
      </c>
      <c r="J1282" s="110">
        <f t="shared" ref="J1282:J1296" si="75">F1282-H1282</f>
        <v>1630332456.6400003</v>
      </c>
      <c r="K1282" s="41">
        <v>0</v>
      </c>
      <c r="L1282" s="60" t="s">
        <v>1292</v>
      </c>
      <c r="M1282" s="41"/>
      <c r="N1282" s="41"/>
      <c r="O1282" s="41"/>
    </row>
    <row r="1283" spans="1:15" s="7" customFormat="1" ht="18.75">
      <c r="A1283" s="81"/>
      <c r="B1283" s="109"/>
      <c r="C1283" s="229" t="s">
        <v>1293</v>
      </c>
      <c r="D1283" s="32" t="s">
        <v>1108</v>
      </c>
      <c r="E1283" s="44"/>
      <c r="F1283" s="95">
        <v>1465942214.7159302</v>
      </c>
      <c r="G1283" s="98">
        <v>42896</v>
      </c>
      <c r="H1283" s="47">
        <v>1465942214.7159302</v>
      </c>
      <c r="I1283" s="76"/>
      <c r="J1283" s="110">
        <f t="shared" si="75"/>
        <v>0</v>
      </c>
      <c r="K1283" s="59">
        <f t="shared" ref="K1283:K1288" si="76">J1282+K1282</f>
        <v>1630332456.6400003</v>
      </c>
      <c r="L1283" s="194"/>
      <c r="M1283" s="41"/>
      <c r="N1283" s="41"/>
      <c r="O1283" s="41"/>
    </row>
    <row r="1284" spans="1:15" s="7" customFormat="1" ht="18.75">
      <c r="A1284" s="81"/>
      <c r="B1284" s="109"/>
      <c r="C1284" s="99" t="s">
        <v>1294</v>
      </c>
      <c r="D1284" s="32" t="s">
        <v>1109</v>
      </c>
      <c r="E1284" s="44"/>
      <c r="F1284" s="95">
        <v>977812837.44044256</v>
      </c>
      <c r="G1284" s="98">
        <v>42922</v>
      </c>
      <c r="H1284" s="47">
        <v>977812837.44044256</v>
      </c>
      <c r="I1284" s="76" t="s">
        <v>1295</v>
      </c>
      <c r="J1284" s="110">
        <f t="shared" si="75"/>
        <v>0</v>
      </c>
      <c r="K1284" s="59">
        <f t="shared" si="76"/>
        <v>1630332456.6400003</v>
      </c>
      <c r="L1284" s="194"/>
      <c r="M1284" s="41"/>
      <c r="N1284" s="41"/>
      <c r="O1284" s="41"/>
    </row>
    <row r="1285" spans="1:15" s="7" customFormat="1" ht="18.75">
      <c r="A1285" s="81"/>
      <c r="B1285" s="109"/>
      <c r="C1285" s="29" t="s">
        <v>498</v>
      </c>
      <c r="D1285" s="32" t="s">
        <v>1296</v>
      </c>
      <c r="E1285" s="44"/>
      <c r="F1285" s="95">
        <v>775127531.71822512</v>
      </c>
      <c r="G1285" s="98">
        <v>42988</v>
      </c>
      <c r="H1285" s="47">
        <v>775127531.71822512</v>
      </c>
      <c r="I1285" s="76" t="s">
        <v>1297</v>
      </c>
      <c r="J1285" s="110">
        <f t="shared" si="75"/>
        <v>0</v>
      </c>
      <c r="K1285" s="59">
        <f t="shared" si="76"/>
        <v>1630332456.6400003</v>
      </c>
      <c r="L1285" s="194"/>
      <c r="M1285" s="41"/>
      <c r="N1285" s="41"/>
      <c r="O1285" s="41"/>
    </row>
    <row r="1286" spans="1:15" s="7" customFormat="1" ht="18.75">
      <c r="A1286" s="81"/>
      <c r="B1286" s="109"/>
      <c r="C1286" s="29" t="s">
        <v>564</v>
      </c>
      <c r="D1286" s="32" t="s">
        <v>1298</v>
      </c>
      <c r="E1286" s="44"/>
      <c r="F1286" s="95">
        <v>1160818365.22</v>
      </c>
      <c r="G1286" s="98">
        <v>43049</v>
      </c>
      <c r="H1286" s="47">
        <v>1160818365.22</v>
      </c>
      <c r="I1286" s="76"/>
      <c r="J1286" s="110">
        <f t="shared" si="75"/>
        <v>0</v>
      </c>
      <c r="K1286" s="59">
        <f t="shared" si="76"/>
        <v>1630332456.6400003</v>
      </c>
      <c r="L1286" s="194"/>
      <c r="M1286" s="41"/>
      <c r="N1286" s="41"/>
      <c r="O1286" s="41"/>
    </row>
    <row r="1287" spans="1:15" s="7" customFormat="1" ht="18.75">
      <c r="A1287" s="81"/>
      <c r="B1287" s="109"/>
      <c r="C1287" s="29" t="s">
        <v>500</v>
      </c>
      <c r="D1287" s="32" t="s">
        <v>1299</v>
      </c>
      <c r="E1287" s="44"/>
      <c r="F1287" s="95">
        <v>1153318649.53</v>
      </c>
      <c r="G1287" s="98">
        <v>42867</v>
      </c>
      <c r="H1287" s="47">
        <v>695950288.44000006</v>
      </c>
      <c r="I1287" s="76" t="s">
        <v>938</v>
      </c>
      <c r="J1287" s="110">
        <f t="shared" si="75"/>
        <v>457368361.08999991</v>
      </c>
      <c r="K1287" s="59">
        <f t="shared" si="76"/>
        <v>1630332456.6400003</v>
      </c>
      <c r="L1287" s="194"/>
      <c r="M1287" s="41"/>
      <c r="N1287" s="41"/>
      <c r="O1287" s="41"/>
    </row>
    <row r="1288" spans="1:15" s="7" customFormat="1" ht="18.75">
      <c r="A1288" s="81"/>
      <c r="B1288" s="109"/>
      <c r="C1288" s="29" t="s">
        <v>501</v>
      </c>
      <c r="D1288" s="32" t="s">
        <v>1300</v>
      </c>
      <c r="E1288" s="44"/>
      <c r="F1288" s="95">
        <v>1536687248.5899999</v>
      </c>
      <c r="G1288" s="98" t="s">
        <v>502</v>
      </c>
      <c r="H1288" s="47">
        <v>1536687248.5899999</v>
      </c>
      <c r="I1288" s="76" t="s">
        <v>628</v>
      </c>
      <c r="J1288" s="110">
        <f t="shared" si="75"/>
        <v>0</v>
      </c>
      <c r="K1288" s="59">
        <f t="shared" si="76"/>
        <v>2087700817.7300003</v>
      </c>
      <c r="L1288" s="194"/>
      <c r="M1288" s="41"/>
      <c r="N1288" s="41"/>
      <c r="O1288" s="41"/>
    </row>
    <row r="1289" spans="1:15" s="7" customFormat="1" ht="18.75">
      <c r="A1289" s="81"/>
      <c r="B1289" s="109"/>
      <c r="C1289" s="29" t="s">
        <v>504</v>
      </c>
      <c r="D1289" s="32" t="s">
        <v>1301</v>
      </c>
      <c r="E1289" s="44"/>
      <c r="F1289" s="95">
        <v>1720025404.9200001</v>
      </c>
      <c r="G1289" s="75">
        <v>43222</v>
      </c>
      <c r="H1289" s="47">
        <v>1720025404.9200001</v>
      </c>
      <c r="I1289" s="76" t="s">
        <v>1302</v>
      </c>
      <c r="J1289" s="110">
        <f t="shared" si="75"/>
        <v>0</v>
      </c>
      <c r="K1289" s="59">
        <f t="shared" ref="K1289:K1328" si="77">K1288+J1288</f>
        <v>2087700817.7300003</v>
      </c>
      <c r="L1289" s="60">
        <f>1561462540.57+1679233309.98+908698128.39+747269568.84</f>
        <v>4896663547.7799997</v>
      </c>
      <c r="M1289" s="41"/>
      <c r="N1289" s="41"/>
      <c r="O1289" s="41"/>
    </row>
    <row r="1290" spans="1:15" s="7" customFormat="1" ht="18.75">
      <c r="A1290" s="81"/>
      <c r="B1290" s="109"/>
      <c r="C1290" s="29" t="s">
        <v>506</v>
      </c>
      <c r="D1290" s="32" t="s">
        <v>1303</v>
      </c>
      <c r="E1290" s="44"/>
      <c r="F1290" s="95">
        <v>1048752122.0599999</v>
      </c>
      <c r="G1290" s="75" t="s">
        <v>566</v>
      </c>
      <c r="H1290" s="47">
        <v>1048752122.0576402</v>
      </c>
      <c r="I1290" s="76"/>
      <c r="J1290" s="110">
        <f t="shared" si="75"/>
        <v>2.3597478866577148E-3</v>
      </c>
      <c r="K1290" s="59">
        <f t="shared" si="77"/>
        <v>2087700817.7300003</v>
      </c>
      <c r="L1290" s="194"/>
      <c r="M1290" s="41"/>
      <c r="N1290" s="41"/>
      <c r="O1290" s="41"/>
    </row>
    <row r="1291" spans="1:15" s="7" customFormat="1" ht="18.75">
      <c r="A1291" s="81"/>
      <c r="B1291" s="109"/>
      <c r="C1291" s="29" t="s">
        <v>508</v>
      </c>
      <c r="D1291" s="32" t="s">
        <v>1304</v>
      </c>
      <c r="E1291" s="44"/>
      <c r="F1291" s="95">
        <v>1673624960.8900001</v>
      </c>
      <c r="G1291" s="75" t="s">
        <v>509</v>
      </c>
      <c r="H1291" s="47">
        <v>1673624960.8900001</v>
      </c>
      <c r="I1291" s="76"/>
      <c r="J1291" s="110">
        <f t="shared" si="75"/>
        <v>0</v>
      </c>
      <c r="K1291" s="59">
        <f t="shared" si="77"/>
        <v>2087700817.7323599</v>
      </c>
      <c r="L1291" s="194"/>
      <c r="M1291" s="41"/>
      <c r="N1291" s="41"/>
      <c r="O1291" s="41"/>
    </row>
    <row r="1292" spans="1:15" s="7" customFormat="1" ht="18.75">
      <c r="A1292" s="81"/>
      <c r="B1292" s="109"/>
      <c r="C1292" s="29" t="s">
        <v>231</v>
      </c>
      <c r="D1292" s="32" t="s">
        <v>1305</v>
      </c>
      <c r="E1292" s="44"/>
      <c r="F1292" s="95">
        <v>1815268398.6661875</v>
      </c>
      <c r="G1292" s="230" t="s">
        <v>510</v>
      </c>
      <c r="H1292" s="47">
        <v>1282116067.8099999</v>
      </c>
      <c r="I1292" s="75">
        <v>43440</v>
      </c>
      <c r="J1292" s="110">
        <f t="shared" si="75"/>
        <v>533152330.85618758</v>
      </c>
      <c r="K1292" s="59">
        <f t="shared" si="77"/>
        <v>2087700817.7323599</v>
      </c>
      <c r="L1292" s="194"/>
      <c r="M1292" s="41"/>
      <c r="N1292" s="41"/>
      <c r="O1292" s="41"/>
    </row>
    <row r="1293" spans="1:15" s="7" customFormat="1" ht="18.75">
      <c r="A1293" s="81"/>
      <c r="B1293" s="109"/>
      <c r="C1293" s="31" t="s">
        <v>234</v>
      </c>
      <c r="D1293" s="32" t="s">
        <v>1306</v>
      </c>
      <c r="E1293" s="44"/>
      <c r="F1293" s="95">
        <v>1498228636.639518</v>
      </c>
      <c r="G1293" s="75" t="s">
        <v>513</v>
      </c>
      <c r="H1293" s="47">
        <v>1498228636.6395183</v>
      </c>
      <c r="I1293" s="76"/>
      <c r="J1293" s="110">
        <f t="shared" si="75"/>
        <v>0</v>
      </c>
      <c r="K1293" s="59">
        <f t="shared" si="77"/>
        <v>2620853148.5885477</v>
      </c>
      <c r="L1293" s="194"/>
      <c r="M1293" s="41"/>
      <c r="N1293" s="41"/>
      <c r="O1293" s="41"/>
    </row>
    <row r="1294" spans="1:15" s="7" customFormat="1" ht="18.75">
      <c r="A1294" s="81"/>
      <c r="B1294" s="109"/>
      <c r="C1294" s="31" t="s">
        <v>514</v>
      </c>
      <c r="D1294" s="32" t="s">
        <v>1307</v>
      </c>
      <c r="E1294" s="44"/>
      <c r="F1294" s="95">
        <v>1612731281.96187</v>
      </c>
      <c r="G1294" s="75" t="s">
        <v>571</v>
      </c>
      <c r="H1294" s="47">
        <v>1612731281.96</v>
      </c>
      <c r="I1294" s="75">
        <v>43260</v>
      </c>
      <c r="J1294" s="110">
        <f t="shared" si="75"/>
        <v>1.8699169158935547E-3</v>
      </c>
      <c r="K1294" s="59">
        <f t="shared" si="77"/>
        <v>2620853148.5885477</v>
      </c>
      <c r="L1294" s="194"/>
      <c r="M1294" s="41"/>
      <c r="N1294" s="41"/>
      <c r="O1294" s="41"/>
    </row>
    <row r="1295" spans="1:15" s="7" customFormat="1" ht="18.75">
      <c r="A1295" s="81"/>
      <c r="B1295" s="109"/>
      <c r="C1295" s="102" t="s">
        <v>238</v>
      </c>
      <c r="D1295" s="103" t="s">
        <v>824</v>
      </c>
      <c r="E1295" s="44"/>
      <c r="F1295" s="104">
        <v>1482145088.3641918</v>
      </c>
      <c r="G1295" s="75" t="s">
        <v>572</v>
      </c>
      <c r="H1295" s="47">
        <v>1482145088.3599999</v>
      </c>
      <c r="I1295" s="76" t="s">
        <v>1308</v>
      </c>
      <c r="J1295" s="110">
        <f t="shared" si="75"/>
        <v>4.1918754577636719E-3</v>
      </c>
      <c r="K1295" s="59">
        <f t="shared" si="77"/>
        <v>2620853148.5904179</v>
      </c>
      <c r="L1295" s="194"/>
      <c r="M1295" s="41"/>
      <c r="N1295" s="41"/>
      <c r="O1295" s="41"/>
    </row>
    <row r="1296" spans="1:15" s="7" customFormat="1" ht="18.75">
      <c r="A1296" s="81"/>
      <c r="B1296" s="109"/>
      <c r="C1296" s="111" t="s">
        <v>240</v>
      </c>
      <c r="D1296" s="103" t="s">
        <v>1309</v>
      </c>
      <c r="E1296" s="44"/>
      <c r="F1296" s="104">
        <v>1177993650.4217281</v>
      </c>
      <c r="G1296" s="75" t="s">
        <v>572</v>
      </c>
      <c r="H1296" s="47">
        <v>1177993650.4200001</v>
      </c>
      <c r="I1296" s="76" t="s">
        <v>575</v>
      </c>
      <c r="J1296" s="110">
        <f t="shared" si="75"/>
        <v>1.728057861328125E-3</v>
      </c>
      <c r="K1296" s="59">
        <f t="shared" si="77"/>
        <v>2620853148.5946097</v>
      </c>
      <c r="L1296" s="194"/>
      <c r="M1296" s="41"/>
      <c r="N1296" s="41"/>
      <c r="O1296" s="41"/>
    </row>
    <row r="1297" spans="1:15" s="7" customFormat="1" ht="18.75">
      <c r="A1297" s="81"/>
      <c r="B1297" s="109"/>
      <c r="C1297" s="102" t="s">
        <v>243</v>
      </c>
      <c r="D1297" s="103" t="s">
        <v>1310</v>
      </c>
      <c r="E1297" s="44"/>
      <c r="F1297" s="104">
        <v>941388314.32811558</v>
      </c>
      <c r="G1297" s="230"/>
      <c r="H1297" s="47">
        <v>911793261.10000002</v>
      </c>
      <c r="I1297" s="75">
        <v>43323</v>
      </c>
      <c r="J1297" s="110">
        <f>F1297-H1297</f>
        <v>29595053.228115559</v>
      </c>
      <c r="K1297" s="59">
        <f t="shared" si="77"/>
        <v>2620853148.5963378</v>
      </c>
      <c r="L1297" s="194"/>
      <c r="M1297" s="41"/>
      <c r="N1297" s="41"/>
      <c r="O1297" s="41"/>
    </row>
    <row r="1298" spans="1:15" s="7" customFormat="1" ht="18.75">
      <c r="A1298" s="81"/>
      <c r="B1298" s="109"/>
      <c r="C1298" s="102" t="s">
        <v>246</v>
      </c>
      <c r="D1298" s="103" t="s">
        <v>1311</v>
      </c>
      <c r="E1298" s="44"/>
      <c r="F1298" s="104">
        <v>824173431.48203707</v>
      </c>
      <c r="G1298" s="105" t="s">
        <v>576</v>
      </c>
      <c r="H1298" s="47">
        <v>824173431.48000002</v>
      </c>
      <c r="I1298" s="76" t="s">
        <v>524</v>
      </c>
      <c r="J1298" s="110">
        <f t="shared" ref="J1298:J1322" si="78">F1298-H1298</f>
        <v>2.03704833984375E-3</v>
      </c>
      <c r="K1298" s="59">
        <f t="shared" si="77"/>
        <v>2650448201.8244534</v>
      </c>
      <c r="L1298" s="194"/>
      <c r="M1298" s="41"/>
      <c r="N1298" s="41"/>
      <c r="O1298" s="41"/>
    </row>
    <row r="1299" spans="1:15" s="7" customFormat="1" ht="18.75">
      <c r="A1299" s="81"/>
      <c r="B1299" s="109"/>
      <c r="C1299" s="111" t="s">
        <v>248</v>
      </c>
      <c r="D1299" s="103" t="s">
        <v>1312</v>
      </c>
      <c r="E1299" s="44"/>
      <c r="F1299" s="104">
        <v>829550752.63795352</v>
      </c>
      <c r="G1299" s="105" t="s">
        <v>577</v>
      </c>
      <c r="H1299" s="47">
        <v>829550752.63999999</v>
      </c>
      <c r="I1299" s="76" t="s">
        <v>431</v>
      </c>
      <c r="J1299" s="110">
        <f t="shared" si="78"/>
        <v>-2.0464658737182617E-3</v>
      </c>
      <c r="K1299" s="59">
        <f t="shared" si="77"/>
        <v>2650448201.8264904</v>
      </c>
      <c r="L1299" s="194"/>
      <c r="M1299" s="41"/>
      <c r="N1299" s="41"/>
      <c r="O1299" s="41"/>
    </row>
    <row r="1300" spans="1:15" s="7" customFormat="1" ht="18.75">
      <c r="A1300" s="81"/>
      <c r="B1300" s="109"/>
      <c r="C1300" s="111" t="s">
        <v>250</v>
      </c>
      <c r="D1300" s="103" t="s">
        <v>835</v>
      </c>
      <c r="E1300" s="44"/>
      <c r="F1300" s="149">
        <v>1966025014.79</v>
      </c>
      <c r="G1300" s="105" t="s">
        <v>578</v>
      </c>
      <c r="H1300" s="47">
        <v>1966025014.79</v>
      </c>
      <c r="I1300" s="76" t="s">
        <v>766</v>
      </c>
      <c r="J1300" s="110">
        <f t="shared" si="78"/>
        <v>0</v>
      </c>
      <c r="K1300" s="59">
        <f t="shared" si="77"/>
        <v>2650448201.8244438</v>
      </c>
      <c r="L1300" s="194"/>
      <c r="M1300" s="41"/>
      <c r="N1300" s="41"/>
      <c r="O1300" s="41"/>
    </row>
    <row r="1301" spans="1:15" s="7" customFormat="1" ht="18.75">
      <c r="A1301" s="81"/>
      <c r="B1301" s="109"/>
      <c r="C1301" s="62" t="s">
        <v>139</v>
      </c>
      <c r="D1301" s="103" t="s">
        <v>836</v>
      </c>
      <c r="E1301" s="44"/>
      <c r="F1301" s="149">
        <v>2178587087.9099998</v>
      </c>
      <c r="G1301" s="105" t="s">
        <v>579</v>
      </c>
      <c r="H1301" s="47">
        <v>2178587087.9099998</v>
      </c>
      <c r="I1301" s="76" t="s">
        <v>766</v>
      </c>
      <c r="J1301" s="110">
        <f t="shared" si="78"/>
        <v>0</v>
      </c>
      <c r="K1301" s="59">
        <f t="shared" si="77"/>
        <v>2650448201.8244438</v>
      </c>
      <c r="L1301" s="194"/>
      <c r="M1301" s="41"/>
      <c r="N1301" s="41"/>
      <c r="O1301" s="41"/>
    </row>
    <row r="1302" spans="1:15" s="7" customFormat="1" ht="18.75">
      <c r="A1302" s="81"/>
      <c r="B1302" s="109"/>
      <c r="C1302" s="62" t="s">
        <v>142</v>
      </c>
      <c r="D1302" s="103" t="s">
        <v>836</v>
      </c>
      <c r="E1302" s="44"/>
      <c r="F1302" s="149">
        <v>1739518183.6224151</v>
      </c>
      <c r="G1302" s="105" t="s">
        <v>526</v>
      </c>
      <c r="H1302" s="47">
        <v>1739518183.6199999</v>
      </c>
      <c r="I1302" s="76" t="s">
        <v>979</v>
      </c>
      <c r="J1302" s="110">
        <f t="shared" si="78"/>
        <v>2.4151802062988281E-3</v>
      </c>
      <c r="K1302" s="59">
        <f t="shared" si="77"/>
        <v>2650448201.8244438</v>
      </c>
      <c r="L1302" s="194"/>
      <c r="M1302" s="41"/>
      <c r="N1302" s="41"/>
      <c r="O1302" s="41"/>
    </row>
    <row r="1303" spans="1:15" s="7" customFormat="1" ht="18.75">
      <c r="A1303" s="81"/>
      <c r="B1303" s="109"/>
      <c r="C1303" s="62" t="s">
        <v>145</v>
      </c>
      <c r="D1303" s="103" t="s">
        <v>838</v>
      </c>
      <c r="E1303" s="44"/>
      <c r="F1303" s="149">
        <v>2350757648.94663</v>
      </c>
      <c r="G1303" s="105" t="s">
        <v>1093</v>
      </c>
      <c r="H1303" s="47">
        <v>2350757648.9499998</v>
      </c>
      <c r="I1303" s="76" t="s">
        <v>1313</v>
      </c>
      <c r="J1303" s="110">
        <f t="shared" si="78"/>
        <v>-3.3698081970214844E-3</v>
      </c>
      <c r="K1303" s="59">
        <f t="shared" si="77"/>
        <v>2650448201.826859</v>
      </c>
      <c r="L1303" s="194"/>
      <c r="M1303" s="41"/>
      <c r="N1303" s="41"/>
      <c r="O1303" s="41"/>
    </row>
    <row r="1304" spans="1:15" s="7" customFormat="1" ht="18.75">
      <c r="A1304" s="81"/>
      <c r="B1304" s="109"/>
      <c r="C1304" s="62" t="s">
        <v>148</v>
      </c>
      <c r="D1304" s="103" t="s">
        <v>840</v>
      </c>
      <c r="E1304" s="44"/>
      <c r="F1304" s="149">
        <v>2701934034.2884889</v>
      </c>
      <c r="G1304" s="105" t="s">
        <v>1103</v>
      </c>
      <c r="H1304" s="47">
        <v>2701934034.29</v>
      </c>
      <c r="I1304" s="76" t="s">
        <v>150</v>
      </c>
      <c r="J1304" s="110">
        <f t="shared" si="78"/>
        <v>-1.5110969543457031E-3</v>
      </c>
      <c r="K1304" s="59">
        <f t="shared" si="77"/>
        <v>2650448201.8234892</v>
      </c>
      <c r="L1304" s="194"/>
      <c r="M1304" s="41"/>
      <c r="N1304" s="41"/>
      <c r="O1304" s="41"/>
    </row>
    <row r="1305" spans="1:15" s="7" customFormat="1" ht="18.75">
      <c r="A1305" s="81"/>
      <c r="B1305" s="109"/>
      <c r="C1305" s="62" t="s">
        <v>151</v>
      </c>
      <c r="D1305" s="103" t="s">
        <v>841</v>
      </c>
      <c r="E1305" s="44"/>
      <c r="F1305" s="149">
        <v>2474828153.7958126</v>
      </c>
      <c r="G1305" s="105" t="s">
        <v>152</v>
      </c>
      <c r="H1305" s="47">
        <v>2474828153.79</v>
      </c>
      <c r="I1305" s="76" t="s">
        <v>1314</v>
      </c>
      <c r="J1305" s="110">
        <f t="shared" si="78"/>
        <v>5.8126449584960938E-3</v>
      </c>
      <c r="K1305" s="59">
        <f t="shared" si="77"/>
        <v>2650448201.8219781</v>
      </c>
      <c r="L1305" s="194"/>
      <c r="M1305" s="41"/>
      <c r="N1305" s="41"/>
      <c r="O1305" s="41"/>
    </row>
    <row r="1306" spans="1:15" s="7" customFormat="1" ht="18.75">
      <c r="A1306" s="81"/>
      <c r="B1306" s="109"/>
      <c r="C1306" s="62" t="s">
        <v>154</v>
      </c>
      <c r="D1306" s="103" t="s">
        <v>844</v>
      </c>
      <c r="E1306" s="44"/>
      <c r="F1306" s="149">
        <v>2104719721.3929598</v>
      </c>
      <c r="G1306" s="105" t="s">
        <v>156</v>
      </c>
      <c r="H1306" s="47">
        <v>2104719721.3929601</v>
      </c>
      <c r="I1306" s="76" t="s">
        <v>772</v>
      </c>
      <c r="J1306" s="110">
        <f t="shared" si="78"/>
        <v>0</v>
      </c>
      <c r="K1306" s="59">
        <f t="shared" si="77"/>
        <v>2650448201.8277907</v>
      </c>
      <c r="L1306" s="194"/>
      <c r="M1306" s="41"/>
      <c r="N1306" s="41"/>
      <c r="O1306" s="41"/>
    </row>
    <row r="1307" spans="1:15" s="7" customFormat="1" ht="18.75">
      <c r="A1307" s="81"/>
      <c r="B1307" s="109"/>
      <c r="C1307" s="62" t="s">
        <v>158</v>
      </c>
      <c r="D1307" s="103" t="s">
        <v>846</v>
      </c>
      <c r="E1307" s="44"/>
      <c r="F1307" s="149">
        <v>1779528171.9277124</v>
      </c>
      <c r="G1307" s="105" t="s">
        <v>160</v>
      </c>
      <c r="H1307" s="47">
        <v>1779528171.9277127</v>
      </c>
      <c r="I1307" s="76" t="s">
        <v>1205</v>
      </c>
      <c r="J1307" s="110">
        <f t="shared" si="78"/>
        <v>0</v>
      </c>
      <c r="K1307" s="59">
        <f t="shared" si="77"/>
        <v>2650448201.8277907</v>
      </c>
      <c r="L1307" s="194"/>
      <c r="M1307" s="41"/>
      <c r="N1307" s="41"/>
      <c r="O1307" s="41"/>
    </row>
    <row r="1308" spans="1:15" s="7" customFormat="1" ht="18.75">
      <c r="A1308" s="81"/>
      <c r="B1308" s="109"/>
      <c r="C1308" s="62" t="s">
        <v>162</v>
      </c>
      <c r="D1308" s="103" t="s">
        <v>847</v>
      </c>
      <c r="E1308" s="44"/>
      <c r="F1308" s="149">
        <v>1951257875.9801819</v>
      </c>
      <c r="G1308" s="105" t="s">
        <v>164</v>
      </c>
      <c r="H1308" s="47">
        <v>1951257875.98</v>
      </c>
      <c r="I1308" s="76" t="s">
        <v>1315</v>
      </c>
      <c r="J1308" s="110">
        <f t="shared" si="78"/>
        <v>1.8191337585449219E-4</v>
      </c>
      <c r="K1308" s="59">
        <f t="shared" si="77"/>
        <v>2650448201.8277907</v>
      </c>
      <c r="L1308" s="194"/>
      <c r="M1308" s="41"/>
      <c r="N1308" s="41"/>
      <c r="O1308" s="41"/>
    </row>
    <row r="1309" spans="1:15" s="7" customFormat="1" ht="18.75">
      <c r="A1309" s="81"/>
      <c r="B1309" s="109"/>
      <c r="C1309" s="62" t="s">
        <v>166</v>
      </c>
      <c r="D1309" s="103" t="s">
        <v>1316</v>
      </c>
      <c r="E1309" s="44"/>
      <c r="F1309" s="149">
        <v>2105837684.2101059</v>
      </c>
      <c r="G1309" s="105" t="s">
        <v>168</v>
      </c>
      <c r="H1309" s="47">
        <v>2105837684.21</v>
      </c>
      <c r="I1309" s="76" t="s">
        <v>169</v>
      </c>
      <c r="J1309" s="110">
        <f t="shared" si="78"/>
        <v>1.0585784912109375E-4</v>
      </c>
      <c r="K1309" s="59">
        <f t="shared" si="77"/>
        <v>2650448201.8279724</v>
      </c>
      <c r="L1309" s="194"/>
      <c r="M1309" s="41"/>
      <c r="N1309" s="41"/>
      <c r="O1309" s="41"/>
    </row>
    <row r="1310" spans="1:15" s="7" customFormat="1" ht="18.75">
      <c r="A1310" s="81"/>
      <c r="B1310" s="109"/>
      <c r="C1310" s="62" t="s">
        <v>170</v>
      </c>
      <c r="D1310" s="103" t="s">
        <v>850</v>
      </c>
      <c r="E1310" s="44"/>
      <c r="F1310" s="149">
        <v>1637494917.2430031</v>
      </c>
      <c r="G1310" s="105" t="s">
        <v>172</v>
      </c>
      <c r="H1310" s="47">
        <v>1637494917.24</v>
      </c>
      <c r="I1310" s="76" t="s">
        <v>776</v>
      </c>
      <c r="J1310" s="110">
        <f t="shared" si="78"/>
        <v>3.0031204223632813E-3</v>
      </c>
      <c r="K1310" s="59">
        <f t="shared" si="77"/>
        <v>2650448201.8280783</v>
      </c>
      <c r="L1310" s="194"/>
      <c r="M1310" s="41"/>
      <c r="N1310" s="41"/>
      <c r="O1310" s="41"/>
    </row>
    <row r="1311" spans="1:15" s="7" customFormat="1" ht="18.75">
      <c r="A1311" s="81"/>
      <c r="B1311" s="109"/>
      <c r="C1311" s="62" t="s">
        <v>174</v>
      </c>
      <c r="D1311" s="103" t="s">
        <v>853</v>
      </c>
      <c r="E1311" s="44"/>
      <c r="F1311" s="149">
        <v>2004926703.1303232</v>
      </c>
      <c r="G1311" s="105" t="s">
        <v>176</v>
      </c>
      <c r="H1311" s="47">
        <v>2004926703.1300001</v>
      </c>
      <c r="I1311" s="76" t="s">
        <v>658</v>
      </c>
      <c r="J1311" s="110">
        <f t="shared" si="78"/>
        <v>3.2305717468261719E-4</v>
      </c>
      <c r="K1311" s="59">
        <f t="shared" si="77"/>
        <v>2650448201.8310814</v>
      </c>
      <c r="L1311" s="194"/>
      <c r="M1311" s="41"/>
      <c r="N1311" s="41"/>
      <c r="O1311" s="41"/>
    </row>
    <row r="1312" spans="1:15" s="7" customFormat="1" ht="18.75">
      <c r="A1312" s="81"/>
      <c r="B1312" s="109"/>
      <c r="C1312" s="62" t="s">
        <v>178</v>
      </c>
      <c r="D1312" s="103" t="s">
        <v>854</v>
      </c>
      <c r="E1312" s="44"/>
      <c r="F1312" s="149">
        <v>2306534112.8998876</v>
      </c>
      <c r="G1312" s="105" t="s">
        <v>179</v>
      </c>
      <c r="H1312" s="47">
        <v>2306534112.9000001</v>
      </c>
      <c r="I1312" s="76" t="s">
        <v>845</v>
      </c>
      <c r="J1312" s="110">
        <f t="shared" si="78"/>
        <v>-1.125335693359375E-4</v>
      </c>
      <c r="K1312" s="59">
        <f t="shared" si="77"/>
        <v>2650448201.8314047</v>
      </c>
      <c r="L1312" s="194"/>
      <c r="M1312" s="41"/>
      <c r="N1312" s="41"/>
      <c r="O1312" s="41"/>
    </row>
    <row r="1313" spans="1:15" s="7" customFormat="1" ht="18.75">
      <c r="A1313" s="81"/>
      <c r="B1313" s="109"/>
      <c r="C1313" s="62" t="s">
        <v>181</v>
      </c>
      <c r="D1313" s="103" t="s">
        <v>1317</v>
      </c>
      <c r="E1313" s="44"/>
      <c r="F1313" s="149">
        <v>2490356594.533185</v>
      </c>
      <c r="G1313" s="105" t="s">
        <v>183</v>
      </c>
      <c r="H1313" s="47">
        <v>2490356594.533185</v>
      </c>
      <c r="I1313" s="76" t="s">
        <v>780</v>
      </c>
      <c r="J1313" s="110">
        <f t="shared" si="78"/>
        <v>0</v>
      </c>
      <c r="K1313" s="59">
        <f t="shared" si="77"/>
        <v>2650448201.8312922</v>
      </c>
      <c r="L1313" s="194"/>
      <c r="M1313" s="41"/>
      <c r="N1313" s="41"/>
      <c r="O1313" s="41"/>
    </row>
    <row r="1314" spans="1:15" s="7" customFormat="1" ht="18.75">
      <c r="A1314" s="81"/>
      <c r="B1314" s="109"/>
      <c r="C1314" s="62" t="s">
        <v>185</v>
      </c>
      <c r="D1314" s="103" t="s">
        <v>1318</v>
      </c>
      <c r="E1314" s="44"/>
      <c r="F1314" s="149">
        <v>2138181012.9685948</v>
      </c>
      <c r="G1314" s="105" t="s">
        <v>730</v>
      </c>
      <c r="H1314" s="47">
        <v>2138181012.97</v>
      </c>
      <c r="I1314" s="76" t="s">
        <v>1319</v>
      </c>
      <c r="J1314" s="110">
        <f t="shared" si="78"/>
        <v>-1.4052391052246094E-3</v>
      </c>
      <c r="K1314" s="59">
        <f t="shared" si="77"/>
        <v>2650448201.8312922</v>
      </c>
      <c r="L1314" s="194"/>
      <c r="M1314" s="41"/>
      <c r="N1314" s="41"/>
      <c r="O1314" s="41"/>
    </row>
    <row r="1315" spans="1:15" s="7" customFormat="1" ht="18.75">
      <c r="A1315" s="81"/>
      <c r="B1315" s="109"/>
      <c r="C1315" s="62" t="s">
        <v>189</v>
      </c>
      <c r="D1315" s="103" t="s">
        <v>859</v>
      </c>
      <c r="E1315" s="44"/>
      <c r="F1315" s="149">
        <v>1722979846.5608039</v>
      </c>
      <c r="G1315" s="105" t="s">
        <v>377</v>
      </c>
      <c r="H1315" s="47">
        <v>1722979846.5599999</v>
      </c>
      <c r="I1315" s="76" t="s">
        <v>1100</v>
      </c>
      <c r="J1315" s="110">
        <f t="shared" si="78"/>
        <v>8.0394744873046875E-4</v>
      </c>
      <c r="K1315" s="59">
        <f t="shared" si="77"/>
        <v>2650448201.8298869</v>
      </c>
      <c r="L1315" s="194"/>
      <c r="M1315" s="41"/>
      <c r="N1315" s="41"/>
      <c r="O1315" s="41"/>
    </row>
    <row r="1316" spans="1:15" s="7" customFormat="1" ht="18.75">
      <c r="A1316" s="81"/>
      <c r="B1316" s="109"/>
      <c r="C1316" s="62" t="s">
        <v>191</v>
      </c>
      <c r="D1316" s="103" t="s">
        <v>860</v>
      </c>
      <c r="E1316" s="44">
        <v>43986</v>
      </c>
      <c r="F1316" s="149">
        <v>2003054601.2043841</v>
      </c>
      <c r="G1316" s="105">
        <v>44140</v>
      </c>
      <c r="H1316" s="47">
        <v>1816981556.5599999</v>
      </c>
      <c r="I1316" s="76" t="s">
        <v>1140</v>
      </c>
      <c r="J1316" s="110">
        <f t="shared" si="78"/>
        <v>186073044.64438415</v>
      </c>
      <c r="K1316" s="59">
        <f t="shared" si="77"/>
        <v>2650448201.8306909</v>
      </c>
      <c r="L1316" s="194"/>
      <c r="M1316" s="41"/>
      <c r="N1316" s="41"/>
      <c r="O1316" s="41"/>
    </row>
    <row r="1317" spans="1:15" s="7" customFormat="1" ht="18.75">
      <c r="A1317" s="81"/>
      <c r="B1317" s="109"/>
      <c r="C1317" s="62" t="s">
        <v>195</v>
      </c>
      <c r="D1317" s="103" t="s">
        <v>862</v>
      </c>
      <c r="E1317" s="44" t="s">
        <v>197</v>
      </c>
      <c r="F1317" s="149">
        <v>2310941024.8895879</v>
      </c>
      <c r="G1317" s="105" t="s">
        <v>334</v>
      </c>
      <c r="H1317" s="47">
        <v>2310941024.8899999</v>
      </c>
      <c r="I1317" s="75">
        <v>43989</v>
      </c>
      <c r="J1317" s="110">
        <f t="shared" si="78"/>
        <v>-4.119873046875E-4</v>
      </c>
      <c r="K1317" s="59">
        <f t="shared" si="77"/>
        <v>2836521246.4750748</v>
      </c>
      <c r="L1317" s="194"/>
      <c r="M1317" s="41"/>
      <c r="N1317" s="41"/>
      <c r="O1317" s="41"/>
    </row>
    <row r="1318" spans="1:15" s="7" customFormat="1" ht="18.75">
      <c r="A1318" s="81"/>
      <c r="B1318" s="109"/>
      <c r="C1318" s="62" t="s">
        <v>199</v>
      </c>
      <c r="D1318" s="103" t="s">
        <v>866</v>
      </c>
      <c r="E1318" s="44">
        <v>44049</v>
      </c>
      <c r="F1318" s="149">
        <v>2419257525.6012797</v>
      </c>
      <c r="G1318" s="105" t="s">
        <v>734</v>
      </c>
      <c r="H1318" s="47">
        <v>2419257525.5999999</v>
      </c>
      <c r="I1318" s="76" t="s">
        <v>1320</v>
      </c>
      <c r="J1318" s="110">
        <f t="shared" si="78"/>
        <v>1.2798309326171875E-3</v>
      </c>
      <c r="K1318" s="59">
        <f t="shared" si="77"/>
        <v>2836521246.4746628</v>
      </c>
      <c r="L1318" s="194"/>
      <c r="M1318" s="41"/>
      <c r="N1318" s="41"/>
      <c r="O1318" s="41"/>
    </row>
    <row r="1319" spans="1:15" s="7" customFormat="1" ht="18.75">
      <c r="A1319" s="81"/>
      <c r="B1319" s="109"/>
      <c r="C1319" s="62" t="s">
        <v>201</v>
      </c>
      <c r="D1319" s="103" t="s">
        <v>868</v>
      </c>
      <c r="E1319" s="44" t="s">
        <v>449</v>
      </c>
      <c r="F1319" s="149">
        <v>2317217461.2932801</v>
      </c>
      <c r="G1319" s="105">
        <v>44020</v>
      </c>
      <c r="H1319" s="47">
        <v>2317217461.29</v>
      </c>
      <c r="I1319" s="76" t="s">
        <v>902</v>
      </c>
      <c r="J1319" s="110">
        <f t="shared" si="78"/>
        <v>3.2801628112792969E-3</v>
      </c>
      <c r="K1319" s="59">
        <f t="shared" si="77"/>
        <v>2836521246.4759426</v>
      </c>
      <c r="L1319" s="194"/>
      <c r="M1319" s="41"/>
      <c r="N1319" s="41"/>
      <c r="O1319" s="41"/>
    </row>
    <row r="1320" spans="1:15" s="7" customFormat="1" ht="18.75">
      <c r="A1320" s="81"/>
      <c r="B1320" s="109"/>
      <c r="C1320" s="62" t="s">
        <v>203</v>
      </c>
      <c r="D1320" s="103" t="s">
        <v>869</v>
      </c>
      <c r="E1320" s="44">
        <v>44020</v>
      </c>
      <c r="F1320" s="149">
        <v>2249486458.7569923</v>
      </c>
      <c r="G1320" s="105">
        <v>44021</v>
      </c>
      <c r="H1320" s="47">
        <v>2249486458.7600002</v>
      </c>
      <c r="I1320" s="44">
        <v>44083</v>
      </c>
      <c r="J1320" s="110">
        <f t="shared" si="78"/>
        <v>-3.0078887939453125E-3</v>
      </c>
      <c r="K1320" s="59">
        <f t="shared" si="77"/>
        <v>2836521246.4792228</v>
      </c>
      <c r="L1320" s="194"/>
      <c r="M1320" s="41"/>
      <c r="N1320" s="41"/>
      <c r="O1320" s="41"/>
    </row>
    <row r="1321" spans="1:15" s="7" customFormat="1" ht="18.75">
      <c r="A1321" s="81"/>
      <c r="B1321" s="109"/>
      <c r="C1321" s="62" t="s">
        <v>207</v>
      </c>
      <c r="D1321" s="103" t="s">
        <v>1321</v>
      </c>
      <c r="E1321" s="44" t="s">
        <v>209</v>
      </c>
      <c r="F1321" s="149">
        <v>2823991711.3636804</v>
      </c>
      <c r="G1321" s="105" t="s">
        <v>210</v>
      </c>
      <c r="H1321" s="47">
        <v>2823991711.3699999</v>
      </c>
      <c r="I1321" s="44" t="s">
        <v>1219</v>
      </c>
      <c r="J1321" s="110">
        <f t="shared" si="78"/>
        <v>-6.3195228576660156E-3</v>
      </c>
      <c r="K1321" s="59">
        <f t="shared" si="77"/>
        <v>2836521246.4762149</v>
      </c>
      <c r="L1321" s="194"/>
      <c r="M1321" s="41"/>
      <c r="N1321" s="41"/>
      <c r="O1321" s="41"/>
    </row>
    <row r="1322" spans="1:15" s="7" customFormat="1" ht="18.75">
      <c r="A1322" s="81"/>
      <c r="B1322" s="109"/>
      <c r="C1322" s="62" t="s">
        <v>212</v>
      </c>
      <c r="D1322" s="103" t="s">
        <v>870</v>
      </c>
      <c r="E1322" s="44">
        <v>44084</v>
      </c>
      <c r="F1322" s="149">
        <v>2695371175.9671841</v>
      </c>
      <c r="G1322" s="105" t="s">
        <v>213</v>
      </c>
      <c r="H1322" s="47">
        <v>2695371175.9699998</v>
      </c>
      <c r="I1322" s="44" t="s">
        <v>664</v>
      </c>
      <c r="J1322" s="110">
        <f t="shared" si="78"/>
        <v>-2.8157234191894531E-3</v>
      </c>
      <c r="K1322" s="59">
        <f t="shared" si="77"/>
        <v>2836521246.4698954</v>
      </c>
      <c r="L1322" s="194"/>
      <c r="M1322" s="41"/>
      <c r="N1322" s="41"/>
      <c r="O1322" s="41"/>
    </row>
    <row r="1323" spans="1:15" s="7" customFormat="1" ht="18.75">
      <c r="A1323" s="81"/>
      <c r="B1323" s="109"/>
      <c r="C1323" s="62" t="s">
        <v>214</v>
      </c>
      <c r="D1323" s="103" t="s">
        <v>1322</v>
      </c>
      <c r="E1323" s="44">
        <v>43962</v>
      </c>
      <c r="F1323" s="149">
        <v>2566319496.1249557</v>
      </c>
      <c r="G1323" s="105" t="s">
        <v>216</v>
      </c>
      <c r="H1323" s="47">
        <v>2566319496.1199999</v>
      </c>
      <c r="I1323" s="44">
        <v>44116</v>
      </c>
      <c r="J1323" s="110">
        <f>F1323-H1323</f>
        <v>4.9557685852050781E-3</v>
      </c>
      <c r="K1323" s="59">
        <f t="shared" si="77"/>
        <v>2836521246.4670796</v>
      </c>
      <c r="L1323" s="194"/>
      <c r="M1323" s="41"/>
      <c r="N1323" s="41"/>
      <c r="O1323" s="41"/>
    </row>
    <row r="1324" spans="1:15" s="7" customFormat="1" ht="18.75">
      <c r="A1324" s="81"/>
      <c r="B1324" s="109"/>
      <c r="C1324" s="62" t="s">
        <v>218</v>
      </c>
      <c r="D1324" s="103" t="s">
        <v>1323</v>
      </c>
      <c r="E1324" s="44">
        <v>44024</v>
      </c>
      <c r="F1324" s="149">
        <v>2547438102.3319798</v>
      </c>
      <c r="G1324" s="105">
        <v>44531</v>
      </c>
      <c r="H1324" s="47">
        <v>2547438102.3299999</v>
      </c>
      <c r="I1324" s="44" t="s">
        <v>1324</v>
      </c>
      <c r="J1324" s="110">
        <f>F1324-H1324</f>
        <v>1.979827880859375E-3</v>
      </c>
      <c r="K1324" s="59">
        <f t="shared" si="77"/>
        <v>2836521246.4720354</v>
      </c>
      <c r="L1324" s="194"/>
      <c r="M1324" s="41"/>
      <c r="N1324" s="41"/>
      <c r="O1324" s="41"/>
    </row>
    <row r="1325" spans="1:15" s="7" customFormat="1" ht="18.75">
      <c r="A1325" s="81"/>
      <c r="B1325" s="109"/>
      <c r="C1325" s="62" t="s">
        <v>219</v>
      </c>
      <c r="D1325" s="103" t="s">
        <v>1325</v>
      </c>
      <c r="E1325" s="44">
        <v>44409</v>
      </c>
      <c r="F1325" s="149">
        <v>2782914228.7415037</v>
      </c>
      <c r="G1325" s="105" t="s">
        <v>220</v>
      </c>
      <c r="H1325" s="47">
        <v>2782914228.7415037</v>
      </c>
      <c r="I1325" s="44" t="s">
        <v>297</v>
      </c>
      <c r="J1325" s="110">
        <f>F1325-H1325</f>
        <v>0</v>
      </c>
      <c r="K1325" s="59">
        <f t="shared" si="77"/>
        <v>2836521246.4740152</v>
      </c>
      <c r="L1325" s="194"/>
      <c r="M1325" s="41"/>
      <c r="N1325" s="41"/>
      <c r="O1325" s="41"/>
    </row>
    <row r="1326" spans="1:15" s="7" customFormat="1" ht="18.75">
      <c r="A1326" s="81"/>
      <c r="B1326" s="109"/>
      <c r="C1326" s="62" t="s">
        <v>221</v>
      </c>
      <c r="D1326" s="103" t="s">
        <v>1326</v>
      </c>
      <c r="E1326" s="44">
        <v>44471</v>
      </c>
      <c r="F1326" s="149">
        <v>3528291720.8716326</v>
      </c>
      <c r="G1326" s="105" t="s">
        <v>27</v>
      </c>
      <c r="H1326" s="47">
        <v>3528291720.8699999</v>
      </c>
      <c r="I1326" s="44" t="s">
        <v>1327</v>
      </c>
      <c r="J1326" s="110">
        <f>F1326-H1326</f>
        <v>1.6326904296875E-3</v>
      </c>
      <c r="K1326" s="59">
        <f t="shared" si="77"/>
        <v>2836521246.4740152</v>
      </c>
      <c r="L1326" s="194"/>
      <c r="M1326" s="41"/>
      <c r="N1326" s="41"/>
      <c r="O1326" s="41"/>
    </row>
    <row r="1327" spans="1:15" s="7" customFormat="1" ht="18.75">
      <c r="A1327" s="81"/>
      <c r="B1327" s="109"/>
      <c r="C1327" s="62" t="s">
        <v>222</v>
      </c>
      <c r="D1327" s="103" t="s">
        <v>1328</v>
      </c>
      <c r="E1327" s="44">
        <v>44319</v>
      </c>
      <c r="F1327" s="149">
        <v>2962069662.5777407</v>
      </c>
      <c r="G1327" s="105">
        <v>44320</v>
      </c>
      <c r="H1327" s="47">
        <v>2962069662.5700002</v>
      </c>
      <c r="I1327" s="44" t="s">
        <v>1081</v>
      </c>
      <c r="J1327" s="110">
        <f>F1327-H1327</f>
        <v>7.7404975891113281E-3</v>
      </c>
      <c r="K1327" s="59">
        <f t="shared" si="77"/>
        <v>2836521246.4756479</v>
      </c>
      <c r="L1327" s="194"/>
      <c r="M1327" s="41"/>
      <c r="N1327" s="41"/>
      <c r="O1327" s="41"/>
    </row>
    <row r="1328" spans="1:15" s="7" customFormat="1" ht="18.75">
      <c r="A1328" s="81"/>
      <c r="B1328" s="57" t="s">
        <v>1329</v>
      </c>
      <c r="C1328" s="31"/>
      <c r="D1328" s="32"/>
      <c r="E1328" s="44"/>
      <c r="F1328" s="34"/>
      <c r="G1328" s="35"/>
      <c r="H1328" s="54"/>
      <c r="I1328" s="35"/>
      <c r="J1328" s="110"/>
      <c r="K1328" s="64">
        <f t="shared" si="77"/>
        <v>2836521246.4833884</v>
      </c>
      <c r="L1328" s="60"/>
      <c r="M1328" s="41"/>
      <c r="N1328" s="41"/>
      <c r="O1328" s="41"/>
    </row>
    <row r="1329" spans="1:15" s="7" customFormat="1" ht="18.75">
      <c r="A1329" s="81"/>
      <c r="B1329" s="114"/>
      <c r="C1329" s="31"/>
      <c r="D1329" s="45"/>
      <c r="E1329" s="44"/>
      <c r="F1329" s="34"/>
      <c r="G1329" s="35"/>
      <c r="H1329" s="54"/>
      <c r="I1329" s="35"/>
      <c r="J1329" s="110"/>
      <c r="K1329" s="64"/>
      <c r="L1329" s="60"/>
      <c r="M1329" s="41"/>
      <c r="N1329" s="41"/>
      <c r="O1329" s="41"/>
    </row>
    <row r="1330" spans="1:15" s="7" customFormat="1" ht="18.75">
      <c r="A1330" s="56">
        <v>35</v>
      </c>
      <c r="B1330" s="46" t="s">
        <v>77</v>
      </c>
      <c r="C1330" s="42" t="s">
        <v>1122</v>
      </c>
      <c r="D1330" s="45" t="s">
        <v>140</v>
      </c>
      <c r="E1330" s="44"/>
      <c r="F1330" s="34">
        <v>2319935.29</v>
      </c>
      <c r="G1330" s="35"/>
      <c r="H1330" s="47">
        <v>2319935.29</v>
      </c>
      <c r="I1330" s="35"/>
      <c r="J1330" s="37">
        <f>F1330-H1330</f>
        <v>0</v>
      </c>
      <c r="K1330" s="38">
        <f>J1330</f>
        <v>0</v>
      </c>
      <c r="L1330" s="39"/>
      <c r="M1330" s="40"/>
      <c r="N1330" s="40"/>
      <c r="O1330" s="41"/>
    </row>
    <row r="1331" spans="1:15" s="7" customFormat="1" ht="18.75">
      <c r="A1331" s="158"/>
      <c r="B1331" s="127"/>
      <c r="C1331" s="31" t="s">
        <v>226</v>
      </c>
      <c r="D1331" s="45" t="s">
        <v>120</v>
      </c>
      <c r="E1331" s="44"/>
      <c r="F1331" s="34">
        <v>9926482.1500000004</v>
      </c>
      <c r="G1331" s="35"/>
      <c r="H1331" s="47"/>
      <c r="I1331" s="35"/>
      <c r="J1331" s="37">
        <f t="shared" ref="J1331:J1368" si="79">F1331-H1331</f>
        <v>9926482.1500000004</v>
      </c>
      <c r="K1331" s="37">
        <f>J1330+K1330</f>
        <v>0</v>
      </c>
      <c r="L1331" s="39"/>
      <c r="M1331" s="40"/>
      <c r="N1331" s="40"/>
      <c r="O1331" s="41"/>
    </row>
    <row r="1332" spans="1:15" s="7" customFormat="1" ht="18.75">
      <c r="A1332" s="56"/>
      <c r="B1332" s="46"/>
      <c r="C1332" s="31" t="s">
        <v>228</v>
      </c>
      <c r="D1332" s="45" t="s">
        <v>146</v>
      </c>
      <c r="E1332" s="44"/>
      <c r="F1332" s="34">
        <v>9846795.8000000007</v>
      </c>
      <c r="G1332" s="35"/>
      <c r="H1332" s="47">
        <f>9846795.8+9926482.15</f>
        <v>19773277.950000003</v>
      </c>
      <c r="I1332" s="35"/>
      <c r="J1332" s="37">
        <f t="shared" si="79"/>
        <v>-9926482.1500000022</v>
      </c>
      <c r="K1332" s="37">
        <f t="shared" ref="K1332:K1358" si="80">J1331+K1331</f>
        <v>9926482.1500000004</v>
      </c>
      <c r="L1332" s="39"/>
      <c r="M1332" s="40"/>
      <c r="N1332" s="40"/>
      <c r="O1332" s="41"/>
    </row>
    <row r="1333" spans="1:15" s="7" customFormat="1" ht="18.75">
      <c r="A1333" s="56"/>
      <c r="B1333" s="46"/>
      <c r="C1333" s="31" t="s">
        <v>231</v>
      </c>
      <c r="D1333" s="45" t="s">
        <v>80</v>
      </c>
      <c r="E1333" s="44"/>
      <c r="F1333" s="34">
        <v>8990756.1555336006</v>
      </c>
      <c r="G1333" s="35"/>
      <c r="H1333" s="47"/>
      <c r="I1333" s="35"/>
      <c r="J1333" s="37">
        <f t="shared" si="79"/>
        <v>8990756.1555336006</v>
      </c>
      <c r="K1333" s="37">
        <f t="shared" si="80"/>
        <v>0</v>
      </c>
      <c r="L1333" s="39"/>
      <c r="M1333" s="40"/>
      <c r="N1333" s="40"/>
      <c r="O1333" s="41"/>
    </row>
    <row r="1334" spans="1:15" s="7" customFormat="1" ht="18.75">
      <c r="A1334" s="56"/>
      <c r="B1334" s="46"/>
      <c r="C1334" s="31" t="s">
        <v>234</v>
      </c>
      <c r="D1334" s="45" t="s">
        <v>124</v>
      </c>
      <c r="E1334" s="44"/>
      <c r="F1334" s="34">
        <v>9341152.863058906</v>
      </c>
      <c r="G1334" s="35"/>
      <c r="H1334" s="47">
        <v>8990756.1600000001</v>
      </c>
      <c r="I1334" s="35"/>
      <c r="J1334" s="37">
        <f t="shared" si="79"/>
        <v>350396.7030589059</v>
      </c>
      <c r="K1334" s="37">
        <f t="shared" si="80"/>
        <v>8990756.1555336006</v>
      </c>
      <c r="L1334" s="39"/>
      <c r="M1334" s="40"/>
      <c r="N1334" s="40"/>
      <c r="O1334" s="41"/>
    </row>
    <row r="1335" spans="1:15" s="7" customFormat="1" ht="18.75">
      <c r="A1335" s="56"/>
      <c r="B1335" s="46"/>
      <c r="C1335" s="31" t="s">
        <v>236</v>
      </c>
      <c r="D1335" s="45" t="s">
        <v>155</v>
      </c>
      <c r="E1335" s="44"/>
      <c r="F1335" s="34">
        <v>10388669.412283573</v>
      </c>
      <c r="G1335" s="35"/>
      <c r="H1335" s="47">
        <v>9341152.8599999994</v>
      </c>
      <c r="I1335" s="35"/>
      <c r="J1335" s="37">
        <f t="shared" si="79"/>
        <v>1047516.5522835739</v>
      </c>
      <c r="K1335" s="37">
        <f t="shared" si="80"/>
        <v>9341152.8585925065</v>
      </c>
      <c r="L1335" s="39"/>
      <c r="M1335" s="40"/>
      <c r="N1335" s="40"/>
      <c r="O1335" s="41"/>
    </row>
    <row r="1336" spans="1:15" s="7" customFormat="1" ht="18.75">
      <c r="A1336" s="231"/>
      <c r="B1336" s="46"/>
      <c r="C1336" s="31" t="s">
        <v>238</v>
      </c>
      <c r="D1336" s="45" t="s">
        <v>159</v>
      </c>
      <c r="E1336" s="44"/>
      <c r="F1336" s="34">
        <v>9196631.4557340313</v>
      </c>
      <c r="G1336" s="35"/>
      <c r="H1336" s="47">
        <v>10388669.41</v>
      </c>
      <c r="I1336" s="35"/>
      <c r="J1336" s="37">
        <f t="shared" si="79"/>
        <v>-1192037.9542659689</v>
      </c>
      <c r="K1336" s="37">
        <f t="shared" si="80"/>
        <v>10388669.41087608</v>
      </c>
      <c r="L1336" s="39"/>
      <c r="M1336" s="40"/>
      <c r="N1336" s="40"/>
      <c r="O1336" s="41"/>
    </row>
    <row r="1337" spans="1:15" s="7" customFormat="1" ht="18.75">
      <c r="A1337" s="56"/>
      <c r="B1337" s="46"/>
      <c r="C1337" s="31" t="s">
        <v>240</v>
      </c>
      <c r="D1337" s="45" t="s">
        <v>163</v>
      </c>
      <c r="E1337" s="44"/>
      <c r="F1337" s="34">
        <v>5897813.0088760052</v>
      </c>
      <c r="G1337" s="35"/>
      <c r="H1337" s="47">
        <f>5897813.01+9196631.45</f>
        <v>15094444.459999999</v>
      </c>
      <c r="I1337" s="35"/>
      <c r="J1337" s="37">
        <f t="shared" si="79"/>
        <v>-9196631.4511239938</v>
      </c>
      <c r="K1337" s="37">
        <f t="shared" si="80"/>
        <v>9196631.4566101115</v>
      </c>
      <c r="L1337" s="39"/>
      <c r="M1337" s="40"/>
      <c r="N1337" s="40"/>
      <c r="O1337" s="41"/>
    </row>
    <row r="1338" spans="1:15" s="7" customFormat="1" ht="18.75">
      <c r="A1338" s="56"/>
      <c r="B1338" s="46"/>
      <c r="C1338" s="31" t="s">
        <v>243</v>
      </c>
      <c r="D1338" s="45" t="s">
        <v>167</v>
      </c>
      <c r="E1338" s="44"/>
      <c r="F1338" s="34">
        <v>6831559.560974611</v>
      </c>
      <c r="G1338" s="35"/>
      <c r="H1338" s="47"/>
      <c r="I1338" s="35"/>
      <c r="J1338" s="37">
        <f t="shared" si="79"/>
        <v>6831559.560974611</v>
      </c>
      <c r="K1338" s="37">
        <f t="shared" si="80"/>
        <v>5.4861176759004593E-3</v>
      </c>
      <c r="L1338" s="39"/>
      <c r="M1338" s="40"/>
      <c r="N1338" s="40"/>
      <c r="O1338" s="41"/>
    </row>
    <row r="1339" spans="1:15" s="7" customFormat="1" ht="18.75">
      <c r="A1339" s="56"/>
      <c r="B1339" s="46"/>
      <c r="C1339" s="31" t="s">
        <v>246</v>
      </c>
      <c r="D1339" s="45" t="s">
        <v>171</v>
      </c>
      <c r="E1339" s="44"/>
      <c r="F1339" s="34">
        <v>6298403.4790555192</v>
      </c>
      <c r="G1339" s="35"/>
      <c r="H1339" s="47">
        <f>6831559.56+6298403.48</f>
        <v>13129963.039999999</v>
      </c>
      <c r="I1339" s="35"/>
      <c r="J1339" s="37">
        <f t="shared" si="79"/>
        <v>-6831559.5609444799</v>
      </c>
      <c r="K1339" s="37">
        <f t="shared" si="80"/>
        <v>6831559.5664607286</v>
      </c>
      <c r="L1339" s="39"/>
      <c r="M1339" s="40"/>
      <c r="N1339" s="40"/>
      <c r="O1339" s="41"/>
    </row>
    <row r="1340" spans="1:15" s="7" customFormat="1" ht="18.75">
      <c r="A1340" s="56"/>
      <c r="B1340" s="46"/>
      <c r="C1340" s="31" t="s">
        <v>248</v>
      </c>
      <c r="D1340" s="45" t="s">
        <v>175</v>
      </c>
      <c r="E1340" s="44"/>
      <c r="F1340" s="34">
        <v>11078892.073107813</v>
      </c>
      <c r="G1340" s="35"/>
      <c r="H1340" s="47">
        <v>11078892.073107813</v>
      </c>
      <c r="I1340" s="35"/>
      <c r="J1340" s="37">
        <f t="shared" si="79"/>
        <v>0</v>
      </c>
      <c r="K1340" s="37">
        <f t="shared" si="80"/>
        <v>5.5162487551569939E-3</v>
      </c>
      <c r="L1340" s="39"/>
      <c r="M1340" s="40"/>
      <c r="N1340" s="40"/>
      <c r="O1340" s="41"/>
    </row>
    <row r="1341" spans="1:15" s="7" customFormat="1" ht="18.75">
      <c r="A1341" s="56"/>
      <c r="B1341" s="46"/>
      <c r="C1341" s="31" t="s">
        <v>250</v>
      </c>
      <c r="D1341" s="45" t="s">
        <v>111</v>
      </c>
      <c r="E1341" s="44"/>
      <c r="F1341" s="34">
        <v>13369983.41</v>
      </c>
      <c r="G1341" s="35"/>
      <c r="H1341" s="47">
        <f>13369983.41+13960364.1</f>
        <v>27330347.509999998</v>
      </c>
      <c r="I1341" s="35"/>
      <c r="J1341" s="37">
        <f t="shared" si="79"/>
        <v>-13960364.099999998</v>
      </c>
      <c r="K1341" s="37">
        <f t="shared" si="80"/>
        <v>5.5162487551569939E-3</v>
      </c>
      <c r="L1341" s="39"/>
      <c r="M1341" s="40"/>
      <c r="N1341" s="40"/>
      <c r="O1341" s="41"/>
    </row>
    <row r="1342" spans="1:15" s="7" customFormat="1" ht="18.75">
      <c r="A1342" s="56"/>
      <c r="B1342" s="46"/>
      <c r="C1342" s="31" t="s">
        <v>139</v>
      </c>
      <c r="D1342" s="45" t="s">
        <v>182</v>
      </c>
      <c r="E1342" s="44"/>
      <c r="F1342" s="34">
        <v>13960364.103938174</v>
      </c>
      <c r="G1342" s="35"/>
      <c r="H1342" s="47"/>
      <c r="I1342" s="35"/>
      <c r="J1342" s="37">
        <f t="shared" si="79"/>
        <v>13960364.103938174</v>
      </c>
      <c r="K1342" s="37">
        <f t="shared" si="80"/>
        <v>-13960364.094483748</v>
      </c>
      <c r="L1342" s="39"/>
      <c r="M1342" s="40"/>
      <c r="N1342" s="40"/>
      <c r="O1342" s="41"/>
    </row>
    <row r="1343" spans="1:15" s="7" customFormat="1" ht="18.75">
      <c r="A1343" s="56"/>
      <c r="B1343" s="46"/>
      <c r="C1343" s="31" t="s">
        <v>254</v>
      </c>
      <c r="D1343" s="45" t="s">
        <v>186</v>
      </c>
      <c r="E1343" s="44"/>
      <c r="F1343" s="34">
        <v>11152013.504350634</v>
      </c>
      <c r="G1343" s="35" t="s">
        <v>723</v>
      </c>
      <c r="H1343" s="47">
        <f>12720611.14+11152013.5</f>
        <v>23872624.640000001</v>
      </c>
      <c r="I1343" s="35" t="s">
        <v>256</v>
      </c>
      <c r="J1343" s="37">
        <f t="shared" si="79"/>
        <v>-12720611.135649366</v>
      </c>
      <c r="K1343" s="37">
        <f t="shared" si="80"/>
        <v>9.4544254243373871E-3</v>
      </c>
      <c r="L1343" s="39"/>
      <c r="M1343" s="40"/>
      <c r="N1343" s="40"/>
      <c r="O1343" s="41"/>
    </row>
    <row r="1344" spans="1:15" s="7" customFormat="1" ht="18.75">
      <c r="A1344" s="56"/>
      <c r="B1344" s="46"/>
      <c r="C1344" s="31" t="s">
        <v>257</v>
      </c>
      <c r="D1344" s="45" t="s">
        <v>192</v>
      </c>
      <c r="E1344" s="44"/>
      <c r="F1344" s="34">
        <v>12720611.13278823</v>
      </c>
      <c r="G1344" s="35" t="s">
        <v>1124</v>
      </c>
      <c r="H1344" s="47"/>
      <c r="I1344" s="35"/>
      <c r="J1344" s="37">
        <f t="shared" si="79"/>
        <v>12720611.13278823</v>
      </c>
      <c r="K1344" s="37">
        <f t="shared" si="80"/>
        <v>-12720611.126194941</v>
      </c>
      <c r="L1344" s="39"/>
      <c r="M1344" s="40"/>
      <c r="N1344" s="40"/>
      <c r="O1344" s="41"/>
    </row>
    <row r="1345" spans="1:15" s="7" customFormat="1" ht="18.75">
      <c r="A1345" s="56"/>
      <c r="B1345" s="46"/>
      <c r="C1345" s="31" t="s">
        <v>259</v>
      </c>
      <c r="D1345" s="45" t="s">
        <v>196</v>
      </c>
      <c r="E1345" s="44"/>
      <c r="F1345" s="34">
        <v>12956452.33520757</v>
      </c>
      <c r="G1345" s="35" t="s">
        <v>724</v>
      </c>
      <c r="H1345" s="47">
        <v>12956452.34</v>
      </c>
      <c r="I1345" s="35" t="s">
        <v>261</v>
      </c>
      <c r="J1345" s="37">
        <f t="shared" si="79"/>
        <v>-4.792429506778717E-3</v>
      </c>
      <c r="K1345" s="37">
        <f t="shared" si="80"/>
        <v>6.593288853764534E-3</v>
      </c>
      <c r="L1345" s="39"/>
      <c r="M1345" s="40"/>
      <c r="N1345" s="40"/>
      <c r="O1345" s="41"/>
    </row>
    <row r="1346" spans="1:15" s="7" customFormat="1" ht="18.75">
      <c r="A1346" s="56"/>
      <c r="B1346" s="46"/>
      <c r="C1346" s="31" t="s">
        <v>262</v>
      </c>
      <c r="D1346" s="45" t="s">
        <v>41</v>
      </c>
      <c r="E1346" s="44"/>
      <c r="F1346" s="34">
        <v>9222770.709960781</v>
      </c>
      <c r="G1346" s="35" t="s">
        <v>152</v>
      </c>
      <c r="H1346" s="47">
        <f>4195954.7+9222770.71</f>
        <v>13418725.41</v>
      </c>
      <c r="I1346" s="35" t="s">
        <v>725</v>
      </c>
      <c r="J1346" s="37">
        <f t="shared" si="79"/>
        <v>-4195954.7000392191</v>
      </c>
      <c r="K1346" s="37">
        <f t="shared" si="80"/>
        <v>1.800859346985817E-3</v>
      </c>
      <c r="L1346" s="39"/>
      <c r="M1346" s="40"/>
      <c r="N1346" s="40"/>
      <c r="O1346" s="41"/>
    </row>
    <row r="1347" spans="1:15" s="7" customFormat="1" ht="18.75">
      <c r="A1347" s="56"/>
      <c r="B1347" s="46"/>
      <c r="C1347" s="31" t="s">
        <v>264</v>
      </c>
      <c r="D1347" s="45" t="s">
        <v>359</v>
      </c>
      <c r="E1347" s="44"/>
      <c r="F1347" s="34">
        <v>4195954.70072331</v>
      </c>
      <c r="G1347" s="35" t="s">
        <v>156</v>
      </c>
      <c r="H1347" s="47"/>
      <c r="I1347" s="35"/>
      <c r="J1347" s="37">
        <f t="shared" si="79"/>
        <v>4195954.70072331</v>
      </c>
      <c r="K1347" s="37">
        <f t="shared" si="80"/>
        <v>-4195954.6982383598</v>
      </c>
      <c r="L1347" s="39"/>
      <c r="M1347" s="40"/>
      <c r="N1347" s="40"/>
      <c r="O1347" s="41"/>
    </row>
    <row r="1348" spans="1:15" s="7" customFormat="1" ht="18.75">
      <c r="A1348" s="56"/>
      <c r="B1348" s="46"/>
      <c r="C1348" s="31" t="s">
        <v>266</v>
      </c>
      <c r="D1348" s="45" t="s">
        <v>202</v>
      </c>
      <c r="E1348" s="44"/>
      <c r="F1348" s="34">
        <v>12287692.837866915</v>
      </c>
      <c r="G1348" s="35" t="s">
        <v>160</v>
      </c>
      <c r="H1348" s="47">
        <v>12287692.837866915</v>
      </c>
      <c r="I1348" s="35" t="s">
        <v>772</v>
      </c>
      <c r="J1348" s="37">
        <f t="shared" si="79"/>
        <v>0</v>
      </c>
      <c r="K1348" s="37">
        <f t="shared" si="80"/>
        <v>2.4849502369761467E-3</v>
      </c>
      <c r="L1348" s="39"/>
      <c r="M1348" s="40"/>
      <c r="N1348" s="40"/>
      <c r="O1348" s="41"/>
    </row>
    <row r="1349" spans="1:15" s="7" customFormat="1" ht="18.75">
      <c r="A1349" s="56"/>
      <c r="B1349" s="46"/>
      <c r="C1349" s="31" t="s">
        <v>162</v>
      </c>
      <c r="D1349" s="45" t="s">
        <v>204</v>
      </c>
      <c r="E1349" s="44"/>
      <c r="F1349" s="34">
        <v>13117338.81929457</v>
      </c>
      <c r="G1349" s="35" t="s">
        <v>164</v>
      </c>
      <c r="H1349" s="47">
        <v>13117338.81929457</v>
      </c>
      <c r="I1349" s="35" t="s">
        <v>1330</v>
      </c>
      <c r="J1349" s="37">
        <f t="shared" si="79"/>
        <v>0</v>
      </c>
      <c r="K1349" s="37">
        <f t="shared" si="80"/>
        <v>2.4849502369761467E-3</v>
      </c>
      <c r="L1349" s="39"/>
      <c r="M1349" s="40"/>
      <c r="N1349" s="40"/>
      <c r="O1349" s="41"/>
    </row>
    <row r="1350" spans="1:15" s="7" customFormat="1" ht="18.75">
      <c r="A1350" s="56"/>
      <c r="B1350" s="46"/>
      <c r="C1350" s="31" t="s">
        <v>166</v>
      </c>
      <c r="D1350" s="45" t="s">
        <v>208</v>
      </c>
      <c r="E1350" s="44"/>
      <c r="F1350" s="34">
        <v>9816431.3736551981</v>
      </c>
      <c r="G1350" s="35" t="s">
        <v>168</v>
      </c>
      <c r="H1350" s="47">
        <v>9816431.3699999992</v>
      </c>
      <c r="I1350" s="35" t="s">
        <v>591</v>
      </c>
      <c r="J1350" s="37">
        <f t="shared" si="79"/>
        <v>3.6551989614963531E-3</v>
      </c>
      <c r="K1350" s="37">
        <f t="shared" si="80"/>
        <v>2.4849502369761467E-3</v>
      </c>
      <c r="L1350" s="39"/>
      <c r="M1350" s="40"/>
      <c r="N1350" s="40"/>
      <c r="O1350" s="41"/>
    </row>
    <row r="1351" spans="1:15" s="7" customFormat="1" ht="18.75">
      <c r="A1351" s="56"/>
      <c r="B1351" s="46"/>
      <c r="C1351" s="31" t="s">
        <v>170</v>
      </c>
      <c r="D1351" s="45" t="s">
        <v>52</v>
      </c>
      <c r="E1351" s="44"/>
      <c r="F1351" s="34">
        <v>10613226.232206047</v>
      </c>
      <c r="G1351" s="35" t="s">
        <v>172</v>
      </c>
      <c r="H1351" s="47">
        <v>10613226.232206047</v>
      </c>
      <c r="I1351" s="35" t="s">
        <v>842</v>
      </c>
      <c r="J1351" s="37">
        <f t="shared" si="79"/>
        <v>0</v>
      </c>
      <c r="K1351" s="37">
        <f t="shared" si="80"/>
        <v>6.1401491984724998E-3</v>
      </c>
      <c r="L1351" s="39"/>
      <c r="M1351" s="40"/>
      <c r="N1351" s="40"/>
      <c r="O1351" s="41"/>
    </row>
    <row r="1352" spans="1:15" s="7" customFormat="1" ht="18.75">
      <c r="A1352" s="56"/>
      <c r="B1352" s="46"/>
      <c r="C1352" s="31" t="s">
        <v>174</v>
      </c>
      <c r="D1352" s="45" t="s">
        <v>215</v>
      </c>
      <c r="E1352" s="44"/>
      <c r="F1352" s="34">
        <v>15336900.5658435</v>
      </c>
      <c r="G1352" s="35" t="s">
        <v>176</v>
      </c>
      <c r="H1352" s="47">
        <v>15336900.57</v>
      </c>
      <c r="I1352" s="35" t="s">
        <v>324</v>
      </c>
      <c r="J1352" s="37">
        <f t="shared" si="79"/>
        <v>-4.1565001010894775E-3</v>
      </c>
      <c r="K1352" s="37">
        <f t="shared" si="80"/>
        <v>6.1401491984724998E-3</v>
      </c>
      <c r="L1352" s="39"/>
      <c r="M1352" s="40"/>
      <c r="N1352" s="40"/>
      <c r="O1352" s="41"/>
    </row>
    <row r="1353" spans="1:15" s="7" customFormat="1" ht="18.75">
      <c r="A1353" s="56"/>
      <c r="B1353" s="46"/>
      <c r="C1353" s="31" t="s">
        <v>178</v>
      </c>
      <c r="D1353" s="45" t="s">
        <v>65</v>
      </c>
      <c r="E1353" s="44"/>
      <c r="F1353" s="34">
        <v>16043368.587653926</v>
      </c>
      <c r="G1353" s="35" t="s">
        <v>179</v>
      </c>
      <c r="H1353" s="47">
        <v>16043368.587653926</v>
      </c>
      <c r="I1353" s="35" t="s">
        <v>1331</v>
      </c>
      <c r="J1353" s="37">
        <f t="shared" si="79"/>
        <v>0</v>
      </c>
      <c r="K1353" s="37">
        <f t="shared" si="80"/>
        <v>1.9836490973830223E-3</v>
      </c>
      <c r="L1353" s="39"/>
      <c r="M1353" s="40"/>
      <c r="N1353" s="40"/>
      <c r="O1353" s="41"/>
    </row>
    <row r="1354" spans="1:15" s="7" customFormat="1" ht="18.75">
      <c r="A1354" s="56"/>
      <c r="B1354" s="46"/>
      <c r="C1354" s="42" t="s">
        <v>181</v>
      </c>
      <c r="D1354" s="45" t="s">
        <v>71</v>
      </c>
      <c r="E1354" s="44"/>
      <c r="F1354" s="34">
        <v>16565566.806386849</v>
      </c>
      <c r="G1354" s="35" t="s">
        <v>183</v>
      </c>
      <c r="H1354" s="47">
        <v>16565566.806386849</v>
      </c>
      <c r="I1354" s="35" t="s">
        <v>1332</v>
      </c>
      <c r="J1354" s="37">
        <f t="shared" si="79"/>
        <v>0</v>
      </c>
      <c r="K1354" s="37">
        <f t="shared" si="80"/>
        <v>1.9836490973830223E-3</v>
      </c>
      <c r="L1354" s="39"/>
      <c r="M1354" s="40"/>
      <c r="N1354" s="40"/>
      <c r="O1354" s="41"/>
    </row>
    <row r="1355" spans="1:15" s="7" customFormat="1" ht="18.75">
      <c r="A1355" s="56"/>
      <c r="B1355" s="46"/>
      <c r="C1355" s="31" t="s">
        <v>185</v>
      </c>
      <c r="D1355" s="45" t="s">
        <v>26</v>
      </c>
      <c r="E1355" s="44"/>
      <c r="F1355" s="34">
        <v>14194845.552089997</v>
      </c>
      <c r="G1355" s="35" t="s">
        <v>187</v>
      </c>
      <c r="H1355" s="47">
        <v>14194845.552089997</v>
      </c>
      <c r="I1355" s="35" t="s">
        <v>706</v>
      </c>
      <c r="J1355" s="37">
        <f t="shared" si="79"/>
        <v>0</v>
      </c>
      <c r="K1355" s="37">
        <f t="shared" si="80"/>
        <v>1.9836490973830223E-3</v>
      </c>
      <c r="L1355" s="39"/>
      <c r="M1355" s="40"/>
      <c r="N1355" s="40"/>
      <c r="O1355" s="41"/>
    </row>
    <row r="1356" spans="1:15" s="7" customFormat="1" ht="18.75">
      <c r="A1356" s="56"/>
      <c r="B1356" s="46"/>
      <c r="C1356" s="31" t="s">
        <v>189</v>
      </c>
      <c r="D1356" s="45" t="s">
        <v>223</v>
      </c>
      <c r="E1356" s="44"/>
      <c r="F1356" s="34">
        <v>14632894.286911424</v>
      </c>
      <c r="G1356" s="35" t="s">
        <v>377</v>
      </c>
      <c r="H1356" s="159">
        <v>14632894.289999999</v>
      </c>
      <c r="I1356" s="7" t="s">
        <v>849</v>
      </c>
      <c r="J1356" s="37">
        <f t="shared" si="79"/>
        <v>-3.0885748565196991E-3</v>
      </c>
      <c r="K1356" s="37">
        <f t="shared" si="80"/>
        <v>1.9836490973830223E-3</v>
      </c>
      <c r="L1356" s="39"/>
      <c r="M1356" s="40"/>
      <c r="N1356" s="40"/>
      <c r="O1356" s="41"/>
    </row>
    <row r="1357" spans="1:15" s="7" customFormat="1" ht="18.75">
      <c r="A1357" s="56"/>
      <c r="B1357" s="46"/>
      <c r="C1357" s="31" t="s">
        <v>191</v>
      </c>
      <c r="D1357" s="45" t="s">
        <v>367</v>
      </c>
      <c r="E1357" s="44">
        <v>43986</v>
      </c>
      <c r="F1357" s="34">
        <v>18765792.647995576</v>
      </c>
      <c r="G1357" s="35" t="s">
        <v>193</v>
      </c>
      <c r="H1357" s="47">
        <v>18765792.649999999</v>
      </c>
      <c r="I1357" s="35" t="s">
        <v>1333</v>
      </c>
      <c r="J1357" s="37">
        <f t="shared" si="79"/>
        <v>-2.0044222474098206E-3</v>
      </c>
      <c r="K1357" s="37">
        <v>0</v>
      </c>
      <c r="L1357" s="39"/>
      <c r="M1357" s="40"/>
      <c r="N1357" s="40"/>
      <c r="O1357" s="41"/>
    </row>
    <row r="1358" spans="1:15" s="7" customFormat="1" ht="18.75">
      <c r="A1358" s="56"/>
      <c r="B1358" s="46"/>
      <c r="C1358" s="31" t="s">
        <v>195</v>
      </c>
      <c r="D1358" s="45" t="s">
        <v>368</v>
      </c>
      <c r="E1358" s="44" t="s">
        <v>197</v>
      </c>
      <c r="F1358" s="34">
        <v>6463591.5283553237</v>
      </c>
      <c r="G1358" s="35" t="s">
        <v>198</v>
      </c>
      <c r="H1358" s="47">
        <v>6463591.5300000003</v>
      </c>
      <c r="I1358" s="35" t="s">
        <v>1141</v>
      </c>
      <c r="J1358" s="37">
        <f t="shared" si="79"/>
        <v>-1.6446765512228012E-3</v>
      </c>
      <c r="K1358" s="37">
        <f t="shared" si="80"/>
        <v>-2.0044222474098206E-3</v>
      </c>
      <c r="L1358" s="39"/>
      <c r="M1358" s="40"/>
      <c r="N1358" s="40"/>
      <c r="O1358" s="41"/>
    </row>
    <row r="1359" spans="1:15" s="7" customFormat="1" ht="18.75">
      <c r="A1359" s="56"/>
      <c r="B1359" s="46"/>
      <c r="C1359" s="31" t="s">
        <v>199</v>
      </c>
      <c r="D1359" s="45" t="s">
        <v>370</v>
      </c>
      <c r="E1359" s="44">
        <v>44049</v>
      </c>
      <c r="F1359" s="34">
        <v>12891297.877563</v>
      </c>
      <c r="G1359" s="35">
        <v>43897</v>
      </c>
      <c r="H1359" s="47">
        <v>12891297.880000001</v>
      </c>
      <c r="I1359" s="35" t="s">
        <v>1334</v>
      </c>
      <c r="J1359" s="37">
        <f t="shared" si="79"/>
        <v>-2.4370010942220688E-3</v>
      </c>
      <c r="K1359" s="37">
        <v>0</v>
      </c>
      <c r="L1359" s="39">
        <v>15614649.539999999</v>
      </c>
      <c r="M1359" s="40" t="s">
        <v>1335</v>
      </c>
      <c r="N1359" s="40"/>
      <c r="O1359" s="41"/>
    </row>
    <row r="1360" spans="1:15" s="7" customFormat="1" ht="18.75">
      <c r="A1360" s="56"/>
      <c r="B1360" s="46"/>
      <c r="C1360" s="31" t="s">
        <v>201</v>
      </c>
      <c r="D1360" s="45" t="s">
        <v>371</v>
      </c>
      <c r="E1360" s="44">
        <v>44081</v>
      </c>
      <c r="F1360" s="34">
        <v>8073432.0863699997</v>
      </c>
      <c r="G1360" s="35">
        <v>44020</v>
      </c>
      <c r="H1360" s="47">
        <v>8073432.0899999999</v>
      </c>
      <c r="I1360" s="35" t="s">
        <v>885</v>
      </c>
      <c r="J1360" s="37">
        <f t="shared" si="79"/>
        <v>-3.6300001665949821E-3</v>
      </c>
      <c r="K1360" s="37">
        <v>0</v>
      </c>
      <c r="L1360" s="39"/>
      <c r="M1360" s="40"/>
      <c r="N1360" s="40"/>
      <c r="O1360" s="41"/>
    </row>
    <row r="1361" spans="1:15" s="7" customFormat="1" ht="18.75">
      <c r="A1361" s="56"/>
      <c r="B1361" s="46"/>
      <c r="C1361" s="31" t="s">
        <v>203</v>
      </c>
      <c r="D1361" s="45" t="s">
        <v>372</v>
      </c>
      <c r="E1361" s="44">
        <v>43990</v>
      </c>
      <c r="F1361" s="34">
        <v>18707189.671008803</v>
      </c>
      <c r="G1361" s="35" t="s">
        <v>290</v>
      </c>
      <c r="H1361" s="47">
        <v>18707189.670000002</v>
      </c>
      <c r="I1361" s="35" t="s">
        <v>1336</v>
      </c>
      <c r="J1361" s="37">
        <f t="shared" si="79"/>
        <v>1.0088011622428894E-3</v>
      </c>
      <c r="K1361" s="37">
        <v>0</v>
      </c>
      <c r="L1361" s="39"/>
      <c r="M1361" s="40"/>
      <c r="N1361" s="40"/>
      <c r="O1361" s="41"/>
    </row>
    <row r="1362" spans="1:15" s="7" customFormat="1" ht="18.75">
      <c r="A1362" s="56"/>
      <c r="B1362" s="46"/>
      <c r="C1362" s="31" t="s">
        <v>207</v>
      </c>
      <c r="D1362" s="45" t="s">
        <v>373</v>
      </c>
      <c r="E1362" s="44" t="s">
        <v>209</v>
      </c>
      <c r="F1362" s="34">
        <v>15614649.539035</v>
      </c>
      <c r="G1362" s="35" t="s">
        <v>210</v>
      </c>
      <c r="H1362" s="47">
        <v>15614649.539999999</v>
      </c>
      <c r="I1362" s="35" t="s">
        <v>1335</v>
      </c>
      <c r="J1362" s="37">
        <f t="shared" si="79"/>
        <v>-9.6499919891357422E-4</v>
      </c>
      <c r="K1362" s="37">
        <f t="shared" ref="K1362:K1369" si="81">J1361+K1361</f>
        <v>1.0088011622428894E-3</v>
      </c>
      <c r="L1362" s="39"/>
      <c r="M1362" s="40"/>
      <c r="N1362" s="40"/>
      <c r="O1362" s="41"/>
    </row>
    <row r="1363" spans="1:15" s="7" customFormat="1" ht="18.75">
      <c r="A1363" s="56"/>
      <c r="B1363" s="46"/>
      <c r="C1363" s="31" t="s">
        <v>212</v>
      </c>
      <c r="D1363" s="45" t="s">
        <v>92</v>
      </c>
      <c r="E1363" s="44">
        <v>44084</v>
      </c>
      <c r="F1363" s="34">
        <v>15781332.261951372</v>
      </c>
      <c r="G1363" s="35" t="s">
        <v>213</v>
      </c>
      <c r="H1363" s="47">
        <v>15781332.26</v>
      </c>
      <c r="I1363" s="35">
        <v>43901</v>
      </c>
      <c r="J1363" s="37">
        <f t="shared" si="79"/>
        <v>1.9513722509145737E-3</v>
      </c>
      <c r="K1363" s="37">
        <f t="shared" si="81"/>
        <v>4.3801963329315186E-5</v>
      </c>
      <c r="L1363" s="39"/>
      <c r="M1363" s="40"/>
      <c r="N1363" s="40"/>
      <c r="O1363" s="41"/>
    </row>
    <row r="1364" spans="1:15" s="7" customFormat="1" ht="18.75">
      <c r="A1364" s="56"/>
      <c r="B1364" s="46"/>
      <c r="C1364" s="31" t="s">
        <v>214</v>
      </c>
      <c r="D1364" s="45" t="s">
        <v>63</v>
      </c>
      <c r="E1364" s="44">
        <v>43962</v>
      </c>
      <c r="F1364" s="34">
        <v>16594043.706278823</v>
      </c>
      <c r="G1364" s="35" t="s">
        <v>216</v>
      </c>
      <c r="H1364" s="47">
        <v>16594043.710000001</v>
      </c>
      <c r="I1364" s="35" t="s">
        <v>1143</v>
      </c>
      <c r="J1364" s="37">
        <f t="shared" si="79"/>
        <v>-3.7211775779724121E-3</v>
      </c>
      <c r="K1364" s="37">
        <f t="shared" si="81"/>
        <v>1.9951742142438889E-3</v>
      </c>
      <c r="L1364" s="39"/>
      <c r="M1364" s="40"/>
      <c r="N1364" s="40"/>
      <c r="O1364" s="41"/>
    </row>
    <row r="1365" spans="1:15" s="7" customFormat="1" ht="18.75">
      <c r="A1365" s="56"/>
      <c r="B1365" s="46"/>
      <c r="C1365" s="31" t="s">
        <v>218</v>
      </c>
      <c r="D1365" s="45" t="s">
        <v>374</v>
      </c>
      <c r="E1365" s="44">
        <v>44024</v>
      </c>
      <c r="F1365" s="34">
        <v>29788654.446985546</v>
      </c>
      <c r="G1365" s="35">
        <v>44531</v>
      </c>
      <c r="H1365" s="47">
        <v>29788654.449999999</v>
      </c>
      <c r="I1365" s="35" t="s">
        <v>1022</v>
      </c>
      <c r="J1365" s="37">
        <f t="shared" si="79"/>
        <v>-3.0144527554512024E-3</v>
      </c>
      <c r="K1365" s="37">
        <f t="shared" si="81"/>
        <v>-1.7260033637285233E-3</v>
      </c>
      <c r="L1365" s="39"/>
      <c r="M1365" s="40"/>
      <c r="N1365" s="40"/>
      <c r="O1365" s="41"/>
    </row>
    <row r="1366" spans="1:15" s="7" customFormat="1" ht="18.75">
      <c r="A1366" s="56"/>
      <c r="B1366" s="46"/>
      <c r="C1366" s="31" t="s">
        <v>219</v>
      </c>
      <c r="D1366" s="45" t="s">
        <v>376</v>
      </c>
      <c r="E1366" s="44">
        <v>44409</v>
      </c>
      <c r="F1366" s="34">
        <v>31848889.365385726</v>
      </c>
      <c r="G1366" s="35" t="s">
        <v>220</v>
      </c>
      <c r="H1366" s="47">
        <v>31848889.370000001</v>
      </c>
      <c r="I1366" s="35" t="s">
        <v>1324</v>
      </c>
      <c r="J1366" s="37">
        <f t="shared" si="79"/>
        <v>-4.6142749488353729E-3</v>
      </c>
      <c r="K1366" s="37">
        <f t="shared" si="81"/>
        <v>-4.7404561191797256E-3</v>
      </c>
      <c r="L1366" s="39"/>
      <c r="M1366" s="40"/>
      <c r="N1366" s="40"/>
      <c r="O1366" s="41"/>
    </row>
    <row r="1367" spans="1:15" s="7" customFormat="1" ht="18.75">
      <c r="A1367" s="56"/>
      <c r="B1367" s="46"/>
      <c r="C1367" s="31" t="s">
        <v>221</v>
      </c>
      <c r="D1367" s="45" t="s">
        <v>54</v>
      </c>
      <c r="E1367" s="44">
        <v>44441</v>
      </c>
      <c r="F1367" s="34">
        <v>24621261.097373322</v>
      </c>
      <c r="G1367" s="35" t="s">
        <v>27</v>
      </c>
      <c r="H1367" s="47">
        <v>24621261.100000001</v>
      </c>
      <c r="I1367" s="35">
        <v>44412</v>
      </c>
      <c r="J1367" s="37">
        <f t="shared" si="79"/>
        <v>-2.6266798377037048E-3</v>
      </c>
      <c r="K1367" s="37">
        <f t="shared" si="81"/>
        <v>-9.3547310680150986E-3</v>
      </c>
      <c r="L1367" s="39"/>
      <c r="M1367" s="40"/>
      <c r="N1367" s="40"/>
      <c r="O1367" s="41"/>
    </row>
    <row r="1368" spans="1:15" s="7" customFormat="1" ht="18.75">
      <c r="A1368" s="56"/>
      <c r="B1368" s="46"/>
      <c r="C1368" s="31" t="s">
        <v>222</v>
      </c>
      <c r="D1368" s="45" t="s">
        <v>379</v>
      </c>
      <c r="E1368" s="44">
        <v>44411</v>
      </c>
      <c r="F1368" s="34">
        <v>30817030.453572821</v>
      </c>
      <c r="G1368" s="35" t="s">
        <v>85</v>
      </c>
      <c r="H1368" s="47">
        <v>30817030.449999999</v>
      </c>
      <c r="I1368" s="35">
        <v>44412</v>
      </c>
      <c r="J1368" s="37">
        <f t="shared" si="79"/>
        <v>3.5728216171264648E-3</v>
      </c>
      <c r="K1368" s="37">
        <f t="shared" si="81"/>
        <v>-1.1981410905718803E-2</v>
      </c>
      <c r="L1368" s="39"/>
      <c r="M1368" s="40"/>
      <c r="N1368" s="40"/>
      <c r="O1368" s="41"/>
    </row>
    <row r="1369" spans="1:15" s="7" customFormat="1" ht="18.75">
      <c r="A1369" s="56"/>
      <c r="B1369" s="46" t="s">
        <v>1337</v>
      </c>
      <c r="C1369" s="31"/>
      <c r="D1369" s="45"/>
      <c r="E1369" s="44"/>
      <c r="F1369" s="161"/>
      <c r="G1369" s="35"/>
      <c r="H1369" s="36"/>
      <c r="I1369" s="35"/>
      <c r="J1369" s="37"/>
      <c r="K1369" s="38">
        <f t="shared" si="81"/>
        <v>-8.4085892885923386E-3</v>
      </c>
      <c r="L1369" s="39"/>
      <c r="M1369" s="40"/>
      <c r="N1369" s="40"/>
      <c r="O1369" s="41"/>
    </row>
    <row r="1370" spans="1:15" s="7" customFormat="1" ht="18.75">
      <c r="A1370" s="56"/>
      <c r="B1370" s="46"/>
      <c r="C1370" s="31"/>
      <c r="D1370" s="45"/>
      <c r="E1370" s="44"/>
      <c r="F1370" s="161"/>
      <c r="G1370" s="35"/>
      <c r="H1370" s="36"/>
      <c r="I1370" s="35"/>
      <c r="J1370" s="37"/>
      <c r="K1370" s="38"/>
      <c r="L1370" s="39"/>
      <c r="M1370" s="40"/>
      <c r="N1370" s="40"/>
      <c r="O1370" s="41"/>
    </row>
    <row r="1371" spans="1:15" s="7" customFormat="1" ht="18.75">
      <c r="A1371" s="81">
        <v>36</v>
      </c>
      <c r="B1371" s="57" t="s">
        <v>1338</v>
      </c>
      <c r="C1371" s="41" t="s">
        <v>1339</v>
      </c>
      <c r="D1371" s="32" t="s">
        <v>71</v>
      </c>
      <c r="E1371" s="44"/>
      <c r="F1371" s="34">
        <v>12634860.210000001</v>
      </c>
      <c r="G1371" s="58"/>
      <c r="H1371" s="54"/>
      <c r="I1371" s="58"/>
      <c r="J1371" s="37">
        <f>F1371-H1371</f>
        <v>12634860.210000001</v>
      </c>
      <c r="K1371" s="110">
        <v>0</v>
      </c>
      <c r="L1371" s="60"/>
      <c r="M1371" s="41"/>
      <c r="N1371" s="41"/>
      <c r="O1371" s="41"/>
    </row>
    <row r="1372" spans="1:15" s="7" customFormat="1" ht="18.75">
      <c r="A1372" s="81"/>
      <c r="B1372" s="57"/>
      <c r="C1372" s="41" t="s">
        <v>406</v>
      </c>
      <c r="D1372" s="32" t="s">
        <v>26</v>
      </c>
      <c r="E1372" s="44"/>
      <c r="F1372" s="34">
        <v>96345418</v>
      </c>
      <c r="G1372" s="76" t="s">
        <v>480</v>
      </c>
      <c r="H1372" s="36"/>
      <c r="I1372" s="35"/>
      <c r="J1372" s="37">
        <f t="shared" ref="J1372:J1406" si="82">F1372-H1372</f>
        <v>96345418</v>
      </c>
      <c r="K1372" s="110">
        <f>J1371+K1371</f>
        <v>12634860.210000001</v>
      </c>
      <c r="L1372" s="60"/>
      <c r="M1372" s="41"/>
      <c r="N1372" s="41"/>
      <c r="O1372" s="41"/>
    </row>
    <row r="1373" spans="1:15" s="7" customFormat="1" ht="18.75">
      <c r="A1373" s="81"/>
      <c r="B1373" s="57"/>
      <c r="C1373" s="41" t="s">
        <v>409</v>
      </c>
      <c r="D1373" s="32" t="s">
        <v>367</v>
      </c>
      <c r="E1373" s="44"/>
      <c r="F1373" s="34">
        <v>96798666.260000005</v>
      </c>
      <c r="G1373" s="76" t="s">
        <v>1340</v>
      </c>
      <c r="H1373" s="36"/>
      <c r="I1373" s="35"/>
      <c r="J1373" s="37">
        <f t="shared" si="82"/>
        <v>96798666.260000005</v>
      </c>
      <c r="K1373" s="110">
        <f t="shared" ref="K1373:K1407" si="83">J1372+K1372</f>
        <v>108980278.21000001</v>
      </c>
      <c r="L1373" s="60"/>
      <c r="M1373" s="41"/>
      <c r="N1373" s="41"/>
      <c r="O1373" s="41"/>
    </row>
    <row r="1374" spans="1:15" s="7" customFormat="1" ht="18.75">
      <c r="A1374" s="81"/>
      <c r="B1374" s="57"/>
      <c r="C1374" s="41" t="s">
        <v>411</v>
      </c>
      <c r="D1374" s="32" t="s">
        <v>368</v>
      </c>
      <c r="E1374" s="44"/>
      <c r="F1374" s="34">
        <v>96798666.260000005</v>
      </c>
      <c r="G1374" s="76" t="s">
        <v>1341</v>
      </c>
      <c r="H1374" s="36"/>
      <c r="I1374" s="35"/>
      <c r="J1374" s="37">
        <f t="shared" si="82"/>
        <v>96798666.260000005</v>
      </c>
      <c r="K1374" s="110">
        <f t="shared" si="83"/>
        <v>205778944.47000003</v>
      </c>
      <c r="L1374" s="60"/>
      <c r="M1374" s="41"/>
      <c r="N1374" s="41"/>
      <c r="O1374" s="41"/>
    </row>
    <row r="1375" spans="1:15" s="7" customFormat="1" ht="18.75">
      <c r="A1375" s="81"/>
      <c r="B1375" s="57"/>
      <c r="C1375" s="41" t="s">
        <v>414</v>
      </c>
      <c r="D1375" s="32" t="s">
        <v>370</v>
      </c>
      <c r="E1375" s="44"/>
      <c r="F1375" s="34">
        <v>64928046.609999999</v>
      </c>
      <c r="G1375" s="76" t="s">
        <v>1342</v>
      </c>
      <c r="H1375" s="36"/>
      <c r="I1375" s="35"/>
      <c r="J1375" s="37">
        <f t="shared" si="82"/>
        <v>64928046.609999999</v>
      </c>
      <c r="K1375" s="110">
        <f t="shared" si="83"/>
        <v>302577610.73000002</v>
      </c>
      <c r="L1375" s="60"/>
      <c r="M1375" s="41"/>
      <c r="N1375" s="41"/>
      <c r="O1375" s="41"/>
    </row>
    <row r="1376" spans="1:15" s="7" customFormat="1" ht="18.75">
      <c r="A1376" s="81"/>
      <c r="B1376" s="57"/>
      <c r="C1376" s="41" t="s">
        <v>1343</v>
      </c>
      <c r="D1376" s="32" t="s">
        <v>371</v>
      </c>
      <c r="E1376" s="44"/>
      <c r="F1376" s="34">
        <v>53037557.37705601</v>
      </c>
      <c r="G1376" s="76"/>
      <c r="H1376" s="36"/>
      <c r="I1376" s="35"/>
      <c r="J1376" s="37">
        <f t="shared" si="82"/>
        <v>53037557.37705601</v>
      </c>
      <c r="K1376" s="110">
        <f t="shared" si="83"/>
        <v>367505657.34000003</v>
      </c>
      <c r="L1376" s="60"/>
      <c r="M1376" s="41"/>
      <c r="N1376" s="41"/>
      <c r="O1376" s="41"/>
    </row>
    <row r="1377" spans="1:15" s="7" customFormat="1" ht="18.75">
      <c r="A1377" s="81"/>
      <c r="B1377" s="57"/>
      <c r="C1377" s="41" t="s">
        <v>609</v>
      </c>
      <c r="D1377" s="32" t="s">
        <v>372</v>
      </c>
      <c r="E1377" s="44"/>
      <c r="F1377" s="34">
        <v>93829948.222500011</v>
      </c>
      <c r="G1377" s="76"/>
      <c r="H1377" s="36"/>
      <c r="I1377" s="35"/>
      <c r="J1377" s="37">
        <f t="shared" si="82"/>
        <v>93829948.222500011</v>
      </c>
      <c r="K1377" s="110">
        <f t="shared" si="83"/>
        <v>420543214.71705604</v>
      </c>
      <c r="L1377" s="60"/>
      <c r="M1377" s="41"/>
      <c r="N1377" s="41"/>
      <c r="O1377" s="41"/>
    </row>
    <row r="1378" spans="1:15" s="7" customFormat="1" ht="18.75">
      <c r="A1378" s="81"/>
      <c r="B1378" s="57"/>
      <c r="C1378" s="29" t="s">
        <v>611</v>
      </c>
      <c r="D1378" s="32" t="s">
        <v>643</v>
      </c>
      <c r="E1378" s="44"/>
      <c r="F1378" s="95">
        <v>83047967.579999998</v>
      </c>
      <c r="G1378" s="58" t="s">
        <v>1344</v>
      </c>
      <c r="H1378" s="36"/>
      <c r="I1378" s="35"/>
      <c r="J1378" s="37">
        <f t="shared" si="82"/>
        <v>83047967.579999998</v>
      </c>
      <c r="K1378" s="110">
        <f t="shared" si="83"/>
        <v>514373162.93955606</v>
      </c>
      <c r="L1378" s="60"/>
      <c r="M1378" s="41"/>
      <c r="N1378" s="41"/>
      <c r="O1378" s="41"/>
    </row>
    <row r="1379" spans="1:15" s="7" customFormat="1" ht="18.75">
      <c r="A1379" s="81"/>
      <c r="B1379" s="57"/>
      <c r="C1379" s="29" t="s">
        <v>614</v>
      </c>
      <c r="D1379" s="32" t="s">
        <v>92</v>
      </c>
      <c r="E1379" s="44"/>
      <c r="F1379" s="95">
        <v>97877265.319999993</v>
      </c>
      <c r="G1379" s="58" t="s">
        <v>1344</v>
      </c>
      <c r="H1379" s="36">
        <v>52821199.200000003</v>
      </c>
      <c r="I1379" s="35"/>
      <c r="J1379" s="37">
        <f t="shared" si="82"/>
        <v>45056066.11999999</v>
      </c>
      <c r="K1379" s="110">
        <f t="shared" si="83"/>
        <v>597421130.51955605</v>
      </c>
      <c r="L1379" s="60"/>
      <c r="M1379" s="41"/>
      <c r="N1379" s="41"/>
      <c r="O1379" s="41"/>
    </row>
    <row r="1380" spans="1:15" s="7" customFormat="1" ht="18.75">
      <c r="A1380" s="81"/>
      <c r="B1380" s="109"/>
      <c r="C1380" s="29" t="s">
        <v>489</v>
      </c>
      <c r="D1380" s="32" t="s">
        <v>63</v>
      </c>
      <c r="E1380" s="44"/>
      <c r="F1380" s="95">
        <v>34324424.899999999</v>
      </c>
      <c r="G1380" s="58" t="s">
        <v>1187</v>
      </c>
      <c r="H1380" s="36">
        <v>34324424.899999999</v>
      </c>
      <c r="I1380" s="35"/>
      <c r="J1380" s="37">
        <f t="shared" si="82"/>
        <v>0</v>
      </c>
      <c r="K1380" s="110">
        <f t="shared" si="83"/>
        <v>642477196.63955605</v>
      </c>
      <c r="L1380" s="60"/>
      <c r="M1380" s="41"/>
      <c r="N1380" s="41"/>
      <c r="O1380" s="41"/>
    </row>
    <row r="1381" spans="1:15" s="7" customFormat="1" ht="18.75">
      <c r="A1381" s="81"/>
      <c r="B1381" s="109"/>
      <c r="C1381" s="29" t="s">
        <v>618</v>
      </c>
      <c r="D1381" s="32" t="s">
        <v>374</v>
      </c>
      <c r="E1381" s="44"/>
      <c r="F1381" s="95">
        <v>56763832.270000003</v>
      </c>
      <c r="G1381" s="58" t="s">
        <v>1038</v>
      </c>
      <c r="H1381" s="36">
        <v>56763832.270000003</v>
      </c>
      <c r="I1381" s="35"/>
      <c r="J1381" s="37">
        <f t="shared" si="82"/>
        <v>0</v>
      </c>
      <c r="K1381" s="110">
        <f t="shared" si="83"/>
        <v>642477196.63955605</v>
      </c>
      <c r="L1381" s="60"/>
      <c r="M1381" s="41"/>
      <c r="N1381" s="41"/>
      <c r="O1381" s="41"/>
    </row>
    <row r="1382" spans="1:15" s="7" customFormat="1" ht="18.75">
      <c r="A1382" s="81"/>
      <c r="B1382" s="109"/>
      <c r="C1382" s="29" t="s">
        <v>560</v>
      </c>
      <c r="D1382" s="32" t="s">
        <v>376</v>
      </c>
      <c r="E1382" s="44"/>
      <c r="F1382" s="144">
        <v>55123120.5</v>
      </c>
      <c r="G1382" s="96">
        <v>42891</v>
      </c>
      <c r="H1382" s="36">
        <v>55123120.5</v>
      </c>
      <c r="I1382" s="35" t="s">
        <v>1046</v>
      </c>
      <c r="J1382" s="37">
        <f t="shared" si="82"/>
        <v>0</v>
      </c>
      <c r="K1382" s="110">
        <f t="shared" si="83"/>
        <v>642477196.63955605</v>
      </c>
      <c r="L1382" s="60"/>
      <c r="M1382" s="41"/>
      <c r="N1382" s="41"/>
      <c r="O1382" s="41"/>
    </row>
    <row r="1383" spans="1:15" s="7" customFormat="1" ht="18.75">
      <c r="A1383" s="81"/>
      <c r="B1383" s="109"/>
      <c r="C1383" s="29" t="s">
        <v>492</v>
      </c>
      <c r="D1383" s="32" t="s">
        <v>54</v>
      </c>
      <c r="E1383" s="44"/>
      <c r="F1383" s="144">
        <v>61058765.439999998</v>
      </c>
      <c r="G1383" s="96">
        <v>42926</v>
      </c>
      <c r="H1383" s="36"/>
      <c r="I1383" s="35"/>
      <c r="J1383" s="37">
        <f t="shared" si="82"/>
        <v>61058765.439999998</v>
      </c>
      <c r="K1383" s="110">
        <f t="shared" si="83"/>
        <v>642477196.63955605</v>
      </c>
      <c r="L1383" s="60"/>
      <c r="M1383" s="41"/>
      <c r="N1383" s="41"/>
      <c r="O1383" s="41"/>
    </row>
    <row r="1384" spans="1:15" s="7" customFormat="1" ht="18.75">
      <c r="A1384" s="81"/>
      <c r="B1384" s="109"/>
      <c r="C1384" s="29" t="s">
        <v>793</v>
      </c>
      <c r="D1384" s="32" t="s">
        <v>379</v>
      </c>
      <c r="E1384" s="44"/>
      <c r="F1384" s="94">
        <v>33125320.73</v>
      </c>
      <c r="G1384" s="96" t="s">
        <v>495</v>
      </c>
      <c r="H1384" s="36"/>
      <c r="I1384" s="35"/>
      <c r="J1384" s="37">
        <f t="shared" si="82"/>
        <v>33125320.73</v>
      </c>
      <c r="K1384" s="110">
        <f t="shared" si="83"/>
        <v>703535962.07955599</v>
      </c>
      <c r="L1384" s="60"/>
      <c r="M1384" s="41"/>
      <c r="N1384" s="41"/>
      <c r="O1384" s="41"/>
    </row>
    <row r="1385" spans="1:15" s="7" customFormat="1" ht="18.75">
      <c r="A1385" s="81"/>
      <c r="B1385" s="109"/>
      <c r="C1385" s="29" t="s">
        <v>1345</v>
      </c>
      <c r="D1385" s="32" t="s">
        <v>381</v>
      </c>
      <c r="E1385" s="44"/>
      <c r="F1385" s="94">
        <v>25725856.149999999</v>
      </c>
      <c r="G1385" s="96" t="s">
        <v>674</v>
      </c>
      <c r="H1385" s="36"/>
      <c r="I1385" s="35"/>
      <c r="J1385" s="37">
        <f t="shared" si="82"/>
        <v>25725856.149999999</v>
      </c>
      <c r="K1385" s="110">
        <f t="shared" si="83"/>
        <v>736661282.80955601</v>
      </c>
      <c r="L1385" s="60"/>
      <c r="M1385" s="41"/>
      <c r="N1385" s="41"/>
      <c r="O1385" s="41"/>
    </row>
    <row r="1386" spans="1:15" s="7" customFormat="1" ht="18.75">
      <c r="A1386" s="81"/>
      <c r="B1386" s="109"/>
      <c r="C1386" s="29" t="s">
        <v>1209</v>
      </c>
      <c r="D1386" s="32" t="s">
        <v>383</v>
      </c>
      <c r="E1386" s="44"/>
      <c r="F1386" s="94">
        <v>33215982.239999998</v>
      </c>
      <c r="G1386" s="96" t="s">
        <v>1346</v>
      </c>
      <c r="H1386" s="36"/>
      <c r="I1386" s="35"/>
      <c r="J1386" s="37">
        <f t="shared" si="82"/>
        <v>33215982.239999998</v>
      </c>
      <c r="K1386" s="110">
        <f t="shared" si="83"/>
        <v>762387138.95955598</v>
      </c>
      <c r="L1386" s="60"/>
      <c r="M1386" s="41"/>
      <c r="N1386" s="41"/>
      <c r="O1386" s="41"/>
    </row>
    <row r="1387" spans="1:15" s="7" customFormat="1" ht="18.75">
      <c r="A1387" s="81"/>
      <c r="B1387" s="109"/>
      <c r="C1387" s="29" t="s">
        <v>1347</v>
      </c>
      <c r="D1387" s="32" t="s">
        <v>384</v>
      </c>
      <c r="E1387" s="44"/>
      <c r="F1387" s="94">
        <v>22951097.190000001</v>
      </c>
      <c r="G1387" s="96" t="s">
        <v>801</v>
      </c>
      <c r="H1387" s="36">
        <v>22951097.190000001</v>
      </c>
      <c r="I1387" s="35" t="s">
        <v>1348</v>
      </c>
      <c r="J1387" s="37">
        <f t="shared" si="82"/>
        <v>0</v>
      </c>
      <c r="K1387" s="110">
        <f t="shared" si="83"/>
        <v>795603121.19955599</v>
      </c>
      <c r="L1387" s="60"/>
      <c r="M1387" s="41"/>
      <c r="N1387" s="41"/>
      <c r="O1387" s="41"/>
    </row>
    <row r="1388" spans="1:15" s="7" customFormat="1" ht="18.75">
      <c r="A1388" s="81"/>
      <c r="B1388" s="109"/>
      <c r="C1388" s="29" t="s">
        <v>1349</v>
      </c>
      <c r="D1388" s="32" t="s">
        <v>385</v>
      </c>
      <c r="E1388" s="44"/>
      <c r="F1388" s="94">
        <v>27006273.530000001</v>
      </c>
      <c r="G1388" s="96">
        <v>42867</v>
      </c>
      <c r="H1388" s="36"/>
      <c r="I1388" s="35"/>
      <c r="J1388" s="37">
        <f t="shared" si="82"/>
        <v>27006273.530000001</v>
      </c>
      <c r="K1388" s="110">
        <f t="shared" si="83"/>
        <v>795603121.19955599</v>
      </c>
      <c r="L1388" s="60"/>
      <c r="M1388" s="41"/>
      <c r="N1388" s="41"/>
      <c r="O1388" s="41"/>
    </row>
    <row r="1389" spans="1:15" s="7" customFormat="1" ht="18.75">
      <c r="A1389" s="81"/>
      <c r="B1389" s="109"/>
      <c r="C1389" s="29" t="s">
        <v>501</v>
      </c>
      <c r="D1389" s="32" t="s">
        <v>1055</v>
      </c>
      <c r="E1389" s="44"/>
      <c r="F1389" s="95">
        <v>32169782.789999999</v>
      </c>
      <c r="G1389" s="96" t="s">
        <v>502</v>
      </c>
      <c r="H1389" s="36">
        <v>32148736.199999999</v>
      </c>
      <c r="I1389" s="35" t="s">
        <v>510</v>
      </c>
      <c r="J1389" s="37">
        <f t="shared" si="82"/>
        <v>21046.589999999851</v>
      </c>
      <c r="K1389" s="110">
        <f t="shared" si="83"/>
        <v>822609394.72955596</v>
      </c>
      <c r="L1389" s="60"/>
      <c r="M1389" s="41"/>
      <c r="N1389" s="41"/>
      <c r="O1389" s="41"/>
    </row>
    <row r="1390" spans="1:15" s="7" customFormat="1" ht="18.75">
      <c r="A1390" s="81"/>
      <c r="B1390" s="109"/>
      <c r="C1390" s="29" t="s">
        <v>504</v>
      </c>
      <c r="D1390" s="32" t="s">
        <v>1056</v>
      </c>
      <c r="E1390" s="44"/>
      <c r="F1390" s="95">
        <v>16540402.189999999</v>
      </c>
      <c r="G1390" s="96">
        <v>43375</v>
      </c>
      <c r="H1390" s="36">
        <v>16540402.189999999</v>
      </c>
      <c r="I1390" s="35" t="s">
        <v>1350</v>
      </c>
      <c r="J1390" s="37">
        <f t="shared" si="82"/>
        <v>0</v>
      </c>
      <c r="K1390" s="110">
        <f t="shared" si="83"/>
        <v>822630441.319556</v>
      </c>
      <c r="L1390" s="60"/>
      <c r="M1390" s="41"/>
      <c r="N1390" s="41"/>
      <c r="O1390" s="41"/>
    </row>
    <row r="1391" spans="1:15" s="7" customFormat="1" ht="18.75">
      <c r="A1391" s="81"/>
      <c r="B1391" s="109"/>
      <c r="C1391" s="29" t="s">
        <v>1351</v>
      </c>
      <c r="D1391" s="32" t="s">
        <v>1058</v>
      </c>
      <c r="E1391" s="44"/>
      <c r="F1391" s="95">
        <v>29544138.84</v>
      </c>
      <c r="G1391" s="96" t="s">
        <v>755</v>
      </c>
      <c r="H1391" s="36">
        <v>29544138.84</v>
      </c>
      <c r="I1391" s="35" t="s">
        <v>1352</v>
      </c>
      <c r="J1391" s="37">
        <f t="shared" si="82"/>
        <v>0</v>
      </c>
      <c r="K1391" s="110">
        <f t="shared" si="83"/>
        <v>822630441.319556</v>
      </c>
      <c r="L1391" s="60"/>
      <c r="M1391" s="41"/>
      <c r="N1391" s="41"/>
      <c r="O1391" s="41"/>
    </row>
    <row r="1392" spans="1:15" s="7" customFormat="1" ht="18.75">
      <c r="A1392" s="81"/>
      <c r="B1392" s="109"/>
      <c r="C1392" s="29" t="s">
        <v>228</v>
      </c>
      <c r="D1392" s="32" t="s">
        <v>1060</v>
      </c>
      <c r="E1392" s="44"/>
      <c r="F1392" s="95">
        <v>35914318</v>
      </c>
      <c r="G1392" s="96" t="s">
        <v>755</v>
      </c>
      <c r="H1392" s="121">
        <v>35914318</v>
      </c>
      <c r="I1392" s="35" t="s">
        <v>1352</v>
      </c>
      <c r="J1392" s="37">
        <f t="shared" si="82"/>
        <v>0</v>
      </c>
      <c r="K1392" s="110">
        <f t="shared" si="83"/>
        <v>822630441.319556</v>
      </c>
      <c r="L1392" s="60"/>
      <c r="M1392" s="41"/>
      <c r="N1392" s="41"/>
      <c r="O1392" s="41"/>
    </row>
    <row r="1393" spans="1:15" s="7" customFormat="1" ht="18.75">
      <c r="A1393" s="81"/>
      <c r="B1393" s="109"/>
      <c r="C1393" s="29" t="s">
        <v>355</v>
      </c>
      <c r="D1393" s="32" t="s">
        <v>1061</v>
      </c>
      <c r="E1393" s="44"/>
      <c r="F1393" s="95">
        <v>61046729.049999997</v>
      </c>
      <c r="G1393" s="96" t="s">
        <v>755</v>
      </c>
      <c r="H1393" s="47">
        <v>99309475.920000002</v>
      </c>
      <c r="I1393" s="35" t="s">
        <v>1352</v>
      </c>
      <c r="J1393" s="37">
        <f t="shared" si="82"/>
        <v>-38262746.870000005</v>
      </c>
      <c r="K1393" s="110">
        <f t="shared" si="83"/>
        <v>822630441.319556</v>
      </c>
      <c r="L1393" s="60"/>
      <c r="M1393" s="41"/>
      <c r="N1393" s="41"/>
      <c r="O1393" s="41"/>
    </row>
    <row r="1394" spans="1:15" s="7" customFormat="1" ht="18.75">
      <c r="A1394" s="81"/>
      <c r="B1394" s="109"/>
      <c r="C1394" s="31" t="s">
        <v>234</v>
      </c>
      <c r="D1394" s="32" t="s">
        <v>1061</v>
      </c>
      <c r="E1394" s="44"/>
      <c r="F1394" s="95">
        <v>82076906.175295502</v>
      </c>
      <c r="G1394" s="75" t="s">
        <v>569</v>
      </c>
      <c r="H1394" s="47">
        <f>53037714.88+4090006.9</f>
        <v>57127721.780000001</v>
      </c>
      <c r="I1394" s="35" t="s">
        <v>366</v>
      </c>
      <c r="J1394" s="37">
        <f t="shared" si="82"/>
        <v>24949184.395295501</v>
      </c>
      <c r="K1394" s="110">
        <f t="shared" si="83"/>
        <v>784367694.44955599</v>
      </c>
      <c r="L1394" s="60"/>
      <c r="M1394" s="41"/>
      <c r="N1394" s="41"/>
      <c r="O1394" s="41"/>
    </row>
    <row r="1395" spans="1:15" s="7" customFormat="1" ht="18.75">
      <c r="A1395" s="81"/>
      <c r="B1395" s="109"/>
      <c r="C1395" s="31" t="s">
        <v>514</v>
      </c>
      <c r="D1395" s="32" t="s">
        <v>1353</v>
      </c>
      <c r="E1395" s="44"/>
      <c r="F1395" s="95">
        <v>49696959.632775009</v>
      </c>
      <c r="G1395" s="75" t="s">
        <v>684</v>
      </c>
      <c r="H1395" s="47">
        <f>25725856.15+16999842.5</f>
        <v>42725698.649999999</v>
      </c>
      <c r="I1395" s="35" t="s">
        <v>1354</v>
      </c>
      <c r="J1395" s="37">
        <f t="shared" si="82"/>
        <v>6971260.9827750102</v>
      </c>
      <c r="K1395" s="110">
        <f t="shared" si="83"/>
        <v>809316878.84485149</v>
      </c>
      <c r="L1395" s="60"/>
      <c r="M1395" s="41"/>
      <c r="N1395" s="41"/>
      <c r="O1395" s="41"/>
    </row>
    <row r="1396" spans="1:15" s="7" customFormat="1" ht="18.75">
      <c r="A1396" s="81"/>
      <c r="B1396" s="109"/>
      <c r="C1396" s="31" t="s">
        <v>148</v>
      </c>
      <c r="D1396" s="32" t="s">
        <v>530</v>
      </c>
      <c r="E1396" s="44"/>
      <c r="F1396" s="95">
        <v>4089849.40203</v>
      </c>
      <c r="G1396" s="75" t="s">
        <v>149</v>
      </c>
      <c r="H1396" s="47">
        <v>10399842.5</v>
      </c>
      <c r="I1396" s="76" t="s">
        <v>993</v>
      </c>
      <c r="J1396" s="37">
        <f t="shared" si="82"/>
        <v>-6309993.0979699995</v>
      </c>
      <c r="K1396" s="110">
        <f t="shared" si="83"/>
        <v>816288139.82762647</v>
      </c>
      <c r="L1396" s="60"/>
      <c r="M1396" s="41"/>
      <c r="N1396" s="41"/>
      <c r="O1396" s="164"/>
    </row>
    <row r="1397" spans="1:15" s="7" customFormat="1" ht="18.75">
      <c r="A1397" s="81"/>
      <c r="B1397" s="109"/>
      <c r="C1397" s="31" t="s">
        <v>151</v>
      </c>
      <c r="D1397" s="32" t="s">
        <v>532</v>
      </c>
      <c r="E1397" s="44"/>
      <c r="F1397" s="95">
        <v>62410309.798221</v>
      </c>
      <c r="G1397" s="75" t="s">
        <v>152</v>
      </c>
      <c r="H1397" s="47">
        <v>50600157.5</v>
      </c>
      <c r="I1397" s="76" t="s">
        <v>1355</v>
      </c>
      <c r="J1397" s="37">
        <f t="shared" si="82"/>
        <v>11810152.298221</v>
      </c>
      <c r="K1397" s="110">
        <f t="shared" si="83"/>
        <v>809978146.72965646</v>
      </c>
      <c r="L1397" s="60"/>
      <c r="M1397" s="41"/>
      <c r="N1397" s="41"/>
      <c r="O1397" s="164"/>
    </row>
    <row r="1398" spans="1:15" s="7" customFormat="1" ht="18.75">
      <c r="A1398" s="81"/>
      <c r="B1398" s="109"/>
      <c r="C1398" s="31" t="s">
        <v>154</v>
      </c>
      <c r="D1398" s="32" t="s">
        <v>534</v>
      </c>
      <c r="E1398" s="44"/>
      <c r="F1398" s="95">
        <v>66775853.3797215</v>
      </c>
      <c r="G1398" s="75" t="s">
        <v>156</v>
      </c>
      <c r="H1398" s="47">
        <v>10400000</v>
      </c>
      <c r="I1398" s="76" t="s">
        <v>1356</v>
      </c>
      <c r="J1398" s="37">
        <f t="shared" si="82"/>
        <v>56375853.3797215</v>
      </c>
      <c r="K1398" s="110">
        <f t="shared" si="83"/>
        <v>821788299.02787745</v>
      </c>
      <c r="L1398" s="60"/>
      <c r="M1398" s="41"/>
      <c r="N1398" s="41"/>
      <c r="O1398" s="164"/>
    </row>
    <row r="1399" spans="1:15" s="7" customFormat="1" ht="18.75">
      <c r="A1399" s="81"/>
      <c r="B1399" s="109"/>
      <c r="C1399" s="42" t="s">
        <v>158</v>
      </c>
      <c r="D1399" s="32" t="s">
        <v>535</v>
      </c>
      <c r="E1399" s="44"/>
      <c r="F1399" s="95">
        <v>49972705.049999997</v>
      </c>
      <c r="G1399" s="75" t="s">
        <v>176</v>
      </c>
      <c r="H1399" s="47">
        <v>6700000</v>
      </c>
      <c r="I1399" s="76" t="s">
        <v>832</v>
      </c>
      <c r="J1399" s="37">
        <f t="shared" si="82"/>
        <v>43272705.049999997</v>
      </c>
      <c r="K1399" s="110">
        <f t="shared" si="83"/>
        <v>878164152.40759897</v>
      </c>
      <c r="L1399" s="60"/>
      <c r="M1399" s="41"/>
      <c r="N1399" s="41"/>
      <c r="O1399" s="164"/>
    </row>
    <row r="1400" spans="1:15" s="7" customFormat="1" ht="18.75">
      <c r="A1400" s="81"/>
      <c r="B1400" s="109"/>
      <c r="C1400" s="42" t="s">
        <v>162</v>
      </c>
      <c r="D1400" s="32" t="s">
        <v>536</v>
      </c>
      <c r="E1400" s="44"/>
      <c r="F1400" s="95">
        <v>34451261.759999998</v>
      </c>
      <c r="G1400" s="75" t="s">
        <v>176</v>
      </c>
      <c r="H1400" s="47">
        <v>11800000</v>
      </c>
      <c r="I1400" s="76" t="s">
        <v>1357</v>
      </c>
      <c r="J1400" s="37">
        <f t="shared" si="82"/>
        <v>22651261.759999998</v>
      </c>
      <c r="K1400" s="110">
        <f t="shared" si="83"/>
        <v>921436857.45759892</v>
      </c>
      <c r="L1400" s="60"/>
      <c r="M1400" s="41"/>
      <c r="N1400" s="41"/>
      <c r="O1400" s="164"/>
    </row>
    <row r="1401" spans="1:15" s="7" customFormat="1" ht="18.75">
      <c r="A1401" s="81"/>
      <c r="B1401" s="109"/>
      <c r="C1401" s="42" t="s">
        <v>166</v>
      </c>
      <c r="D1401" s="32" t="s">
        <v>538</v>
      </c>
      <c r="E1401" s="44"/>
      <c r="F1401" s="95">
        <v>9408674.0299999993</v>
      </c>
      <c r="G1401" s="75" t="s">
        <v>176</v>
      </c>
      <c r="H1401" s="47">
        <v>12300000</v>
      </c>
      <c r="I1401" s="76" t="s">
        <v>1358</v>
      </c>
      <c r="J1401" s="37">
        <f t="shared" si="82"/>
        <v>-2891325.9700000007</v>
      </c>
      <c r="K1401" s="110">
        <f t="shared" si="83"/>
        <v>944088119.21759892</v>
      </c>
      <c r="L1401" s="60"/>
      <c r="M1401" s="41"/>
      <c r="N1401" s="41"/>
      <c r="O1401" s="164"/>
    </row>
    <row r="1402" spans="1:15" s="7" customFormat="1" ht="18.75">
      <c r="A1402" s="81"/>
      <c r="B1402" s="109"/>
      <c r="C1402" s="31" t="s">
        <v>170</v>
      </c>
      <c r="D1402" s="32" t="s">
        <v>43</v>
      </c>
      <c r="E1402" s="44"/>
      <c r="F1402" s="95">
        <v>8712174.9872849993</v>
      </c>
      <c r="G1402" s="75" t="s">
        <v>176</v>
      </c>
      <c r="H1402" s="47">
        <f>43000000+15000000+143000000</f>
        <v>201000000</v>
      </c>
      <c r="I1402" s="76" t="s">
        <v>288</v>
      </c>
      <c r="J1402" s="37">
        <f t="shared" si="82"/>
        <v>-192287825.01271501</v>
      </c>
      <c r="K1402" s="110">
        <f t="shared" si="83"/>
        <v>941196793.24759889</v>
      </c>
      <c r="L1402" s="60"/>
      <c r="M1402" s="41"/>
      <c r="N1402" s="41"/>
      <c r="O1402" s="164"/>
    </row>
    <row r="1403" spans="1:15" s="7" customFormat="1" ht="18.75">
      <c r="A1403" s="81"/>
      <c r="B1403" s="109"/>
      <c r="C1403" s="31" t="s">
        <v>174</v>
      </c>
      <c r="D1403" s="32" t="s">
        <v>540</v>
      </c>
      <c r="E1403" s="44"/>
      <c r="F1403" s="95">
        <v>6677484.9389009997</v>
      </c>
      <c r="G1403" s="75" t="s">
        <v>176</v>
      </c>
      <c r="H1403" s="47">
        <f>40000000+37000000</f>
        <v>77000000</v>
      </c>
      <c r="I1403" s="44">
        <v>43901</v>
      </c>
      <c r="J1403" s="37">
        <f t="shared" si="82"/>
        <v>-70322515.061098993</v>
      </c>
      <c r="K1403" s="110">
        <f t="shared" si="83"/>
        <v>748908968.2348839</v>
      </c>
      <c r="L1403" s="60"/>
      <c r="M1403" s="41"/>
      <c r="N1403" s="41"/>
      <c r="O1403" s="164"/>
    </row>
    <row r="1404" spans="1:15" s="7" customFormat="1" ht="18.75">
      <c r="A1404" s="81"/>
      <c r="B1404" s="109"/>
      <c r="C1404" s="42" t="s">
        <v>178</v>
      </c>
      <c r="D1404" s="32" t="s">
        <v>538</v>
      </c>
      <c r="E1404" s="44"/>
      <c r="F1404" s="95">
        <v>6708063.633831</v>
      </c>
      <c r="G1404" s="75" t="s">
        <v>179</v>
      </c>
      <c r="H1404" s="47">
        <v>28595000</v>
      </c>
      <c r="I1404" s="76" t="s">
        <v>1359</v>
      </c>
      <c r="J1404" s="37">
        <f t="shared" si="82"/>
        <v>-21886936.366168998</v>
      </c>
      <c r="K1404" s="110">
        <f t="shared" si="83"/>
        <v>678586453.17378497</v>
      </c>
      <c r="L1404" s="60"/>
      <c r="M1404" s="41"/>
      <c r="N1404" s="41"/>
      <c r="O1404" s="164"/>
    </row>
    <row r="1405" spans="1:15" s="7" customFormat="1" ht="18.75">
      <c r="A1405" s="81"/>
      <c r="B1405" s="109"/>
      <c r="C1405" s="42" t="s">
        <v>181</v>
      </c>
      <c r="D1405" s="32" t="s">
        <v>43</v>
      </c>
      <c r="E1405" s="44"/>
      <c r="F1405" s="95">
        <v>3395089.8831149996</v>
      </c>
      <c r="G1405" s="75" t="s">
        <v>183</v>
      </c>
      <c r="H1405" s="55">
        <v>21405000</v>
      </c>
      <c r="I1405" s="7" t="s">
        <v>391</v>
      </c>
      <c r="J1405" s="37">
        <f t="shared" si="82"/>
        <v>-18009910.116884999</v>
      </c>
      <c r="K1405" s="110">
        <f t="shared" si="83"/>
        <v>656699516.807616</v>
      </c>
      <c r="L1405" s="60"/>
      <c r="M1405" s="41"/>
      <c r="N1405" s="41"/>
      <c r="O1405" s="164"/>
    </row>
    <row r="1406" spans="1:15" s="7" customFormat="1" ht="18.75">
      <c r="A1406" s="81"/>
      <c r="B1406" s="109"/>
      <c r="C1406" s="42"/>
      <c r="D1406" s="32"/>
      <c r="E1406" s="44"/>
      <c r="F1406" s="95"/>
      <c r="G1406" s="75"/>
      <c r="J1406" s="37">
        <f t="shared" si="82"/>
        <v>0</v>
      </c>
      <c r="K1406" s="110">
        <f t="shared" si="83"/>
        <v>638689606.69073105</v>
      </c>
      <c r="L1406" s="60"/>
      <c r="M1406" s="41"/>
      <c r="N1406" s="41"/>
      <c r="O1406" s="164"/>
    </row>
    <row r="1407" spans="1:15" s="7" customFormat="1" ht="18.75">
      <c r="A1407" s="81"/>
      <c r="B1407" s="57" t="s">
        <v>1360</v>
      </c>
      <c r="C1407" s="31"/>
      <c r="D1407" s="32"/>
      <c r="E1407" s="44"/>
      <c r="F1407" s="34"/>
      <c r="G1407" s="35"/>
      <c r="H1407" s="36"/>
      <c r="I1407" s="35"/>
      <c r="J1407" s="37"/>
      <c r="K1407" s="116">
        <f t="shared" si="83"/>
        <v>638689606.69073105</v>
      </c>
      <c r="L1407" s="60"/>
      <c r="M1407" s="41"/>
      <c r="N1407" s="41"/>
      <c r="O1407" s="41"/>
    </row>
    <row r="1408" spans="1:15" s="7" customFormat="1" ht="18.75">
      <c r="A1408" s="81"/>
      <c r="B1408" s="57"/>
      <c r="C1408" s="31"/>
      <c r="D1408" s="32"/>
      <c r="E1408" s="44"/>
      <c r="F1408" s="34"/>
      <c r="G1408" s="80"/>
      <c r="H1408" s="36"/>
      <c r="I1408" s="35"/>
      <c r="J1408" s="37"/>
      <c r="K1408" s="116"/>
      <c r="L1408" s="60"/>
      <c r="M1408" s="41"/>
      <c r="N1408" s="41"/>
      <c r="O1408" s="41"/>
    </row>
    <row r="1409" spans="1:15" s="7" customFormat="1" ht="15.75">
      <c r="A1409" s="81"/>
      <c r="B1409" s="57" t="s">
        <v>79</v>
      </c>
      <c r="C1409" s="42" t="s">
        <v>214</v>
      </c>
      <c r="D1409" s="32" t="s">
        <v>140</v>
      </c>
      <c r="E1409" s="217">
        <v>43933</v>
      </c>
      <c r="F1409" s="95">
        <v>9404096.9006234258</v>
      </c>
      <c r="G1409" s="75">
        <v>43922</v>
      </c>
      <c r="H1409" s="36"/>
      <c r="I1409" s="35"/>
      <c r="J1409" s="37">
        <f>F1409-H1409</f>
        <v>9404096.9006234258</v>
      </c>
      <c r="K1409" s="116"/>
      <c r="L1409" s="60"/>
      <c r="M1409" s="41"/>
      <c r="N1409" s="41"/>
      <c r="O1409" s="41"/>
    </row>
    <row r="1410" spans="1:15" s="7" customFormat="1" ht="18.75">
      <c r="A1410" s="81"/>
      <c r="B1410" s="57"/>
      <c r="C1410" s="31" t="s">
        <v>218</v>
      </c>
      <c r="D1410" s="32" t="s">
        <v>120</v>
      </c>
      <c r="E1410" s="44" t="s">
        <v>387</v>
      </c>
      <c r="F1410" s="34">
        <v>7890912.890004375</v>
      </c>
      <c r="G1410" s="80" t="s">
        <v>1162</v>
      </c>
      <c r="H1410" s="36"/>
      <c r="I1410" s="35"/>
      <c r="J1410" s="37">
        <f>F1410-H1410</f>
        <v>7890912.890004375</v>
      </c>
      <c r="K1410" s="110">
        <f>J1409+K1409</f>
        <v>9404096.9006234258</v>
      </c>
      <c r="L1410" s="60"/>
      <c r="M1410" s="41"/>
      <c r="N1410" s="41"/>
      <c r="O1410" s="41"/>
    </row>
    <row r="1411" spans="1:15" s="7" customFormat="1" ht="18.75">
      <c r="A1411" s="81"/>
      <c r="B1411" s="57"/>
      <c r="C1411" s="31" t="s">
        <v>219</v>
      </c>
      <c r="D1411" s="32" t="s">
        <v>146</v>
      </c>
      <c r="E1411" s="44">
        <v>44531</v>
      </c>
      <c r="F1411" s="34">
        <v>10608162.742138499</v>
      </c>
      <c r="G1411" s="80" t="s">
        <v>1221</v>
      </c>
      <c r="H1411" s="36"/>
      <c r="I1411" s="35"/>
      <c r="J1411" s="37">
        <f>F1411-H1411</f>
        <v>10608162.742138499</v>
      </c>
      <c r="K1411" s="110">
        <f>J1410+K1410</f>
        <v>17295009.7906278</v>
      </c>
      <c r="L1411" s="60"/>
      <c r="M1411" s="41"/>
      <c r="N1411" s="41"/>
      <c r="O1411" s="41"/>
    </row>
    <row r="1412" spans="1:15" s="7" customFormat="1" ht="18.75">
      <c r="A1412" s="81"/>
      <c r="B1412" s="57"/>
      <c r="C1412" s="31" t="s">
        <v>221</v>
      </c>
      <c r="D1412" s="32" t="s">
        <v>80</v>
      </c>
      <c r="E1412" s="44" t="s">
        <v>81</v>
      </c>
      <c r="F1412" s="34">
        <v>12351615.330804748</v>
      </c>
      <c r="G1412" s="80" t="s">
        <v>82</v>
      </c>
      <c r="H1412" s="36"/>
      <c r="I1412" s="35"/>
      <c r="J1412" s="37">
        <f>F1412-H1412</f>
        <v>12351615.330804748</v>
      </c>
      <c r="K1412" s="110">
        <f>J1411+K1411</f>
        <v>27903172.532766297</v>
      </c>
      <c r="L1412" s="60"/>
      <c r="M1412" s="41"/>
      <c r="N1412" s="41"/>
      <c r="O1412" s="41"/>
    </row>
    <row r="1413" spans="1:15" s="7" customFormat="1" ht="18.75">
      <c r="A1413" s="81"/>
      <c r="B1413" s="57"/>
      <c r="C1413" s="31" t="s">
        <v>222</v>
      </c>
      <c r="D1413" s="32" t="s">
        <v>124</v>
      </c>
      <c r="E1413" s="44">
        <v>44472</v>
      </c>
      <c r="F1413" s="34">
        <v>21704103.754554376</v>
      </c>
      <c r="G1413" s="80">
        <v>44473</v>
      </c>
      <c r="H1413" s="36"/>
      <c r="I1413" s="35"/>
      <c r="J1413" s="37">
        <f>F1413-H1413</f>
        <v>21704103.754554376</v>
      </c>
      <c r="K1413" s="110">
        <f>J1412+K1412</f>
        <v>40254787.863571048</v>
      </c>
      <c r="L1413" s="60"/>
      <c r="M1413" s="41"/>
      <c r="N1413" s="41"/>
      <c r="O1413" s="41"/>
    </row>
    <row r="1414" spans="1:15" s="7" customFormat="1" ht="18.75">
      <c r="A1414" s="81"/>
      <c r="B1414" s="57" t="s">
        <v>1361</v>
      </c>
      <c r="C1414" s="31"/>
      <c r="D1414" s="32"/>
      <c r="E1414" s="44"/>
      <c r="F1414" s="34"/>
      <c r="G1414" s="80"/>
      <c r="H1414" s="36"/>
      <c r="I1414" s="35"/>
      <c r="J1414" s="37"/>
      <c r="K1414" s="116">
        <f>J1413+K1413</f>
        <v>61958891.618125424</v>
      </c>
      <c r="L1414" s="60"/>
      <c r="M1414" s="41"/>
      <c r="N1414" s="41"/>
      <c r="O1414" s="41"/>
    </row>
    <row r="1415" spans="1:15" s="7" customFormat="1" ht="18.75">
      <c r="A1415" s="81"/>
      <c r="B1415" s="57"/>
      <c r="C1415" s="31"/>
      <c r="D1415" s="32"/>
      <c r="E1415" s="44"/>
      <c r="F1415" s="34"/>
      <c r="G1415" s="80"/>
      <c r="H1415" s="36"/>
      <c r="I1415" s="35"/>
      <c r="J1415" s="37"/>
      <c r="K1415" s="116"/>
      <c r="L1415" s="60"/>
      <c r="M1415" s="41"/>
      <c r="N1415" s="41"/>
      <c r="O1415" s="41"/>
    </row>
    <row r="1416" spans="1:15" s="7" customFormat="1" ht="18.75">
      <c r="A1416" s="81">
        <v>37</v>
      </c>
      <c r="B1416" s="57" t="s">
        <v>83</v>
      </c>
      <c r="C1416" s="41" t="s">
        <v>489</v>
      </c>
      <c r="D1416" s="32" t="s">
        <v>390</v>
      </c>
      <c r="E1416" s="44"/>
      <c r="F1416" s="34">
        <v>47128247.920000002</v>
      </c>
      <c r="G1416" s="117" t="s">
        <v>556</v>
      </c>
      <c r="H1416" s="47">
        <v>42390935.579999998</v>
      </c>
      <c r="I1416" s="35" t="s">
        <v>1362</v>
      </c>
      <c r="J1416" s="37">
        <f t="shared" ref="J1416:J1450" si="84">F1416-H1416</f>
        <v>4737312.3400000036</v>
      </c>
      <c r="K1416" s="110">
        <v>0</v>
      </c>
      <c r="L1416" s="60"/>
      <c r="M1416" s="41"/>
      <c r="N1416" s="41"/>
      <c r="O1416" s="41"/>
    </row>
    <row r="1417" spans="1:15" s="7" customFormat="1" ht="18.75">
      <c r="A1417" s="81"/>
      <c r="B1417" s="57"/>
      <c r="C1417" s="29" t="s">
        <v>618</v>
      </c>
      <c r="D1417" s="32" t="s">
        <v>392</v>
      </c>
      <c r="E1417" s="44"/>
      <c r="F1417" s="34">
        <v>55539964.609999999</v>
      </c>
      <c r="G1417" s="35" t="s">
        <v>1038</v>
      </c>
      <c r="H1417" s="47">
        <v>55539964.609999999</v>
      </c>
      <c r="I1417" s="35" t="s">
        <v>1363</v>
      </c>
      <c r="J1417" s="37">
        <f t="shared" si="84"/>
        <v>0</v>
      </c>
      <c r="K1417" s="110">
        <f t="shared" ref="K1417:K1456" si="85">J1416+K1416</f>
        <v>4737312.3400000036</v>
      </c>
      <c r="L1417" s="60"/>
      <c r="M1417" s="41"/>
      <c r="N1417" s="41"/>
      <c r="O1417" s="41"/>
    </row>
    <row r="1418" spans="1:15" s="7" customFormat="1" ht="18.75">
      <c r="A1418" s="81"/>
      <c r="B1418" s="57"/>
      <c r="C1418" s="29" t="s">
        <v>560</v>
      </c>
      <c r="D1418" s="32" t="s">
        <v>1353</v>
      </c>
      <c r="E1418" s="44"/>
      <c r="F1418" s="95">
        <v>61121530.899999999</v>
      </c>
      <c r="G1418" s="98" t="s">
        <v>561</v>
      </c>
      <c r="H1418" s="47">
        <v>61121530.899999999</v>
      </c>
      <c r="I1418" s="35" t="s">
        <v>1363</v>
      </c>
      <c r="J1418" s="37">
        <f t="shared" si="84"/>
        <v>0</v>
      </c>
      <c r="K1418" s="110">
        <f t="shared" si="85"/>
        <v>4737312.3400000036</v>
      </c>
      <c r="L1418" s="60"/>
      <c r="M1418" s="41"/>
      <c r="N1418" s="41"/>
      <c r="O1418" s="41"/>
    </row>
    <row r="1419" spans="1:15" s="7" customFormat="1" ht="18.75">
      <c r="A1419" s="81"/>
      <c r="B1419" s="57"/>
      <c r="C1419" s="29" t="s">
        <v>562</v>
      </c>
      <c r="D1419" s="32" t="s">
        <v>1364</v>
      </c>
      <c r="E1419" s="44"/>
      <c r="F1419" s="95">
        <v>60529847.420000002</v>
      </c>
      <c r="G1419" s="98">
        <v>42926</v>
      </c>
      <c r="H1419" s="47">
        <v>60529847.420000002</v>
      </c>
      <c r="I1419" s="35" t="s">
        <v>1365</v>
      </c>
      <c r="J1419" s="37">
        <f t="shared" si="84"/>
        <v>0</v>
      </c>
      <c r="K1419" s="110">
        <f t="shared" si="85"/>
        <v>4737312.3400000036</v>
      </c>
      <c r="L1419" s="60"/>
      <c r="M1419" s="41"/>
      <c r="N1419" s="41"/>
      <c r="O1419" s="41"/>
    </row>
    <row r="1420" spans="1:15" s="7" customFormat="1" ht="18.75">
      <c r="A1420" s="81"/>
      <c r="B1420" s="57"/>
      <c r="C1420" s="29" t="s">
        <v>355</v>
      </c>
      <c r="D1420" s="32" t="s">
        <v>1366</v>
      </c>
      <c r="E1420" s="44"/>
      <c r="F1420" s="34">
        <v>30001380.449999999</v>
      </c>
      <c r="G1420" s="98" t="s">
        <v>510</v>
      </c>
      <c r="H1420" s="47">
        <v>30001380.449999999</v>
      </c>
      <c r="I1420" s="35" t="s">
        <v>1367</v>
      </c>
      <c r="J1420" s="37">
        <f t="shared" si="84"/>
        <v>0</v>
      </c>
      <c r="K1420" s="110">
        <f t="shared" si="85"/>
        <v>4737312.3400000036</v>
      </c>
      <c r="L1420" s="60"/>
      <c r="M1420" s="41"/>
      <c r="N1420" s="41"/>
      <c r="O1420" s="41"/>
    </row>
    <row r="1421" spans="1:15" s="7" customFormat="1" ht="18.75">
      <c r="A1421" s="81"/>
      <c r="B1421" s="57"/>
      <c r="C1421" s="31" t="s">
        <v>234</v>
      </c>
      <c r="D1421" s="32" t="s">
        <v>1366</v>
      </c>
      <c r="E1421" s="44"/>
      <c r="F1421" s="95">
        <v>30764957.425240502</v>
      </c>
      <c r="G1421" s="75" t="s">
        <v>1083</v>
      </c>
      <c r="H1421" s="47">
        <v>30764957.420000002</v>
      </c>
      <c r="I1421" s="35" t="s">
        <v>1368</v>
      </c>
      <c r="J1421" s="37">
        <f t="shared" si="84"/>
        <v>5.2404999732971191E-3</v>
      </c>
      <c r="K1421" s="110">
        <f t="shared" si="85"/>
        <v>4737312.3400000036</v>
      </c>
      <c r="L1421" s="60"/>
      <c r="M1421" s="41"/>
      <c r="N1421" s="41"/>
      <c r="O1421" s="41"/>
    </row>
    <row r="1422" spans="1:15" s="7" customFormat="1" ht="18.75">
      <c r="A1422" s="81"/>
      <c r="B1422" s="57"/>
      <c r="C1422" s="31" t="s">
        <v>514</v>
      </c>
      <c r="D1422" s="32" t="s">
        <v>1369</v>
      </c>
      <c r="E1422" s="44"/>
      <c r="F1422" s="95">
        <v>35930882.650981493</v>
      </c>
      <c r="G1422" s="75" t="s">
        <v>515</v>
      </c>
      <c r="H1422" s="47">
        <v>35930882.649999999</v>
      </c>
      <c r="I1422" s="35" t="s">
        <v>233</v>
      </c>
      <c r="J1422" s="37">
        <f t="shared" si="84"/>
        <v>9.8149478435516357E-4</v>
      </c>
      <c r="K1422" s="110">
        <f t="shared" si="85"/>
        <v>4737312.3452405035</v>
      </c>
      <c r="L1422" s="60"/>
      <c r="M1422" s="41"/>
      <c r="N1422" s="41"/>
      <c r="O1422" s="41"/>
    </row>
    <row r="1423" spans="1:15" s="7" customFormat="1" ht="18.75">
      <c r="A1423" s="81"/>
      <c r="B1423" s="57"/>
      <c r="C1423" s="102" t="s">
        <v>238</v>
      </c>
      <c r="D1423" s="32" t="s">
        <v>1246</v>
      </c>
      <c r="E1423" s="44"/>
      <c r="F1423" s="95">
        <v>34257116.565671995</v>
      </c>
      <c r="G1423" s="75" t="s">
        <v>516</v>
      </c>
      <c r="H1423" s="47">
        <v>34257116.57</v>
      </c>
      <c r="I1423" s="35" t="s">
        <v>1370</v>
      </c>
      <c r="J1423" s="37">
        <f t="shared" si="84"/>
        <v>-4.3280050158500671E-3</v>
      </c>
      <c r="K1423" s="110">
        <f t="shared" si="85"/>
        <v>4737312.3462219983</v>
      </c>
      <c r="L1423" s="60"/>
      <c r="M1423" s="41"/>
      <c r="N1423" s="41"/>
      <c r="O1423" s="41"/>
    </row>
    <row r="1424" spans="1:15" s="7" customFormat="1" ht="18.75">
      <c r="A1424" s="81"/>
      <c r="B1424" s="57"/>
      <c r="C1424" s="111" t="s">
        <v>240</v>
      </c>
      <c r="D1424" s="32" t="s">
        <v>1247</v>
      </c>
      <c r="E1424" s="44"/>
      <c r="F1424" s="95">
        <v>35375458.608000003</v>
      </c>
      <c r="G1424" s="75" t="s">
        <v>1087</v>
      </c>
      <c r="H1424" s="47">
        <v>33690912.960000001</v>
      </c>
      <c r="I1424" s="35" t="s">
        <v>1371</v>
      </c>
      <c r="J1424" s="37">
        <f t="shared" si="84"/>
        <v>1684545.6480000019</v>
      </c>
      <c r="K1424" s="110">
        <f t="shared" si="85"/>
        <v>4737312.3418939933</v>
      </c>
      <c r="L1424" s="60"/>
      <c r="M1424" s="41"/>
      <c r="N1424" s="41"/>
      <c r="O1424" s="41"/>
    </row>
    <row r="1425" spans="1:15" s="7" customFormat="1" ht="18.75">
      <c r="A1425" s="81"/>
      <c r="B1425" s="57"/>
      <c r="C1425" s="102" t="s">
        <v>243</v>
      </c>
      <c r="D1425" s="32" t="s">
        <v>1248</v>
      </c>
      <c r="E1425" s="44"/>
      <c r="F1425" s="95">
        <v>27504147.295379996</v>
      </c>
      <c r="G1425" s="75"/>
      <c r="H1425" s="47">
        <v>27504147.300000001</v>
      </c>
      <c r="I1425" s="35" t="s">
        <v>575</v>
      </c>
      <c r="J1425" s="37">
        <f t="shared" si="84"/>
        <v>-4.6200044453144073E-3</v>
      </c>
      <c r="K1425" s="110">
        <f t="shared" si="85"/>
        <v>6421857.9898939952</v>
      </c>
      <c r="L1425" s="232"/>
      <c r="M1425" s="41"/>
      <c r="N1425" s="41"/>
      <c r="O1425" s="41"/>
    </row>
    <row r="1426" spans="1:15" s="7" customFormat="1" ht="18.75">
      <c r="A1426" s="81"/>
      <c r="B1426" s="57"/>
      <c r="C1426" s="102" t="s">
        <v>246</v>
      </c>
      <c r="D1426" s="103" t="s">
        <v>1249</v>
      </c>
      <c r="E1426" s="44"/>
      <c r="F1426" s="104">
        <v>25157403.622764003</v>
      </c>
      <c r="G1426" s="105" t="s">
        <v>1372</v>
      </c>
      <c r="H1426" s="47">
        <v>25157403.622764003</v>
      </c>
      <c r="I1426" s="35" t="s">
        <v>1373</v>
      </c>
      <c r="J1426" s="37">
        <f t="shared" si="84"/>
        <v>0</v>
      </c>
      <c r="K1426" s="110">
        <f t="shared" si="85"/>
        <v>6421857.9852739908</v>
      </c>
      <c r="L1426" s="232"/>
      <c r="M1426" s="41"/>
      <c r="N1426" s="41"/>
      <c r="O1426" s="41"/>
    </row>
    <row r="1427" spans="1:15" s="7" customFormat="1" ht="18.75">
      <c r="A1427" s="81"/>
      <c r="B1427" s="57"/>
      <c r="C1427" s="111" t="s">
        <v>248</v>
      </c>
      <c r="D1427" s="103" t="s">
        <v>1250</v>
      </c>
      <c r="E1427" s="44"/>
      <c r="F1427" s="104">
        <v>32327652.442175996</v>
      </c>
      <c r="G1427" s="105" t="s">
        <v>1374</v>
      </c>
      <c r="H1427" s="47">
        <v>32327652.440000001</v>
      </c>
      <c r="I1427" s="35" t="s">
        <v>1375</v>
      </c>
      <c r="J1427" s="37">
        <f t="shared" si="84"/>
        <v>2.1759942173957825E-3</v>
      </c>
      <c r="K1427" s="110">
        <f t="shared" si="85"/>
        <v>6421857.9852739908</v>
      </c>
      <c r="L1427" s="232"/>
      <c r="M1427" s="41"/>
      <c r="N1427" s="41"/>
      <c r="O1427" s="41"/>
    </row>
    <row r="1428" spans="1:15" s="7" customFormat="1" ht="18.75">
      <c r="A1428" s="81"/>
      <c r="B1428" s="57"/>
      <c r="C1428" s="111" t="s">
        <v>250</v>
      </c>
      <c r="D1428" s="103" t="s">
        <v>229</v>
      </c>
      <c r="E1428" s="44"/>
      <c r="F1428" s="149">
        <v>28300225.960000001</v>
      </c>
      <c r="G1428" s="105" t="s">
        <v>525</v>
      </c>
      <c r="H1428" s="47">
        <v>28300225.960000001</v>
      </c>
      <c r="I1428" s="35" t="s">
        <v>525</v>
      </c>
      <c r="J1428" s="37">
        <f t="shared" si="84"/>
        <v>0</v>
      </c>
      <c r="K1428" s="110">
        <f t="shared" si="85"/>
        <v>6421857.987449985</v>
      </c>
      <c r="L1428" s="233"/>
      <c r="M1428" s="41"/>
      <c r="N1428" s="41"/>
      <c r="O1428" s="41"/>
    </row>
    <row r="1429" spans="1:15" s="7" customFormat="1" ht="18.75">
      <c r="A1429" s="81"/>
      <c r="B1429" s="57"/>
      <c r="C1429" s="111" t="s">
        <v>139</v>
      </c>
      <c r="D1429" s="103" t="s">
        <v>232</v>
      </c>
      <c r="E1429" s="44"/>
      <c r="F1429" s="149">
        <v>27394201.350000001</v>
      </c>
      <c r="G1429" s="105" t="s">
        <v>526</v>
      </c>
      <c r="H1429" s="47">
        <v>27394201.350000001</v>
      </c>
      <c r="I1429" s="35" t="s">
        <v>652</v>
      </c>
      <c r="J1429" s="37">
        <f t="shared" si="84"/>
        <v>0</v>
      </c>
      <c r="K1429" s="110">
        <f t="shared" si="85"/>
        <v>6421857.987449985</v>
      </c>
      <c r="L1429" s="60"/>
      <c r="M1429" s="41"/>
      <c r="N1429" s="41"/>
      <c r="O1429" s="41"/>
    </row>
    <row r="1430" spans="1:15" s="7" customFormat="1" ht="18.75">
      <c r="A1430" s="81"/>
      <c r="B1430" s="57"/>
      <c r="C1430" s="62" t="s">
        <v>142</v>
      </c>
      <c r="D1430" s="103" t="s">
        <v>235</v>
      </c>
      <c r="E1430" s="44"/>
      <c r="F1430" s="149">
        <v>40785345.967526995</v>
      </c>
      <c r="G1430" s="105"/>
      <c r="H1430" s="47">
        <v>40785345.969999999</v>
      </c>
      <c r="I1430" s="35" t="s">
        <v>1376</v>
      </c>
      <c r="J1430" s="37">
        <f t="shared" si="84"/>
        <v>-2.473004162311554E-3</v>
      </c>
      <c r="K1430" s="110">
        <f t="shared" si="85"/>
        <v>6421857.987449985</v>
      </c>
      <c r="L1430" s="60"/>
      <c r="M1430" s="41"/>
      <c r="N1430" s="41"/>
      <c r="O1430" s="41"/>
    </row>
    <row r="1431" spans="1:15" s="7" customFormat="1" ht="18.75">
      <c r="A1431" s="81"/>
      <c r="B1431" s="57"/>
      <c r="C1431" s="62" t="s">
        <v>145</v>
      </c>
      <c r="D1431" s="103" t="s">
        <v>237</v>
      </c>
      <c r="E1431" s="44"/>
      <c r="F1431" s="149">
        <v>74672899.142499015</v>
      </c>
      <c r="G1431" s="105" t="s">
        <v>363</v>
      </c>
      <c r="H1431" s="47">
        <v>74672899.140000001</v>
      </c>
      <c r="I1431" s="108" t="s">
        <v>149</v>
      </c>
      <c r="J1431" s="37">
        <f t="shared" si="84"/>
        <v>2.499014139175415E-3</v>
      </c>
      <c r="K1431" s="110">
        <f t="shared" si="85"/>
        <v>6421857.9849769808</v>
      </c>
      <c r="L1431" s="60"/>
      <c r="M1431" s="41"/>
      <c r="N1431" s="41"/>
      <c r="O1431" s="41"/>
    </row>
    <row r="1432" spans="1:15" s="7" customFormat="1" ht="18.75">
      <c r="A1432" s="81"/>
      <c r="B1432" s="57"/>
      <c r="C1432" s="62" t="s">
        <v>148</v>
      </c>
      <c r="D1432" s="103" t="s">
        <v>33</v>
      </c>
      <c r="E1432" s="44"/>
      <c r="F1432" s="149">
        <v>106182488.4292935</v>
      </c>
      <c r="G1432" s="105" t="s">
        <v>149</v>
      </c>
      <c r="H1432" s="47">
        <v>106182488.43000001</v>
      </c>
      <c r="I1432" s="35" t="s">
        <v>261</v>
      </c>
      <c r="J1432" s="37">
        <f t="shared" si="84"/>
        <v>-7.0650875568389893E-4</v>
      </c>
      <c r="K1432" s="110">
        <f t="shared" si="85"/>
        <v>6421857.987475995</v>
      </c>
      <c r="L1432" s="60"/>
      <c r="M1432" s="41"/>
      <c r="N1432" s="41"/>
      <c r="O1432" s="41"/>
    </row>
    <row r="1433" spans="1:15" s="7" customFormat="1" ht="18.75">
      <c r="A1433" s="81"/>
      <c r="B1433" s="57"/>
      <c r="C1433" s="62" t="s">
        <v>151</v>
      </c>
      <c r="D1433" s="103" t="s">
        <v>241</v>
      </c>
      <c r="E1433" s="44"/>
      <c r="F1433" s="149">
        <v>105009864.45657748</v>
      </c>
      <c r="G1433" s="105" t="s">
        <v>152</v>
      </c>
      <c r="H1433" s="47">
        <v>105009864.45999999</v>
      </c>
      <c r="I1433" s="35" t="s">
        <v>995</v>
      </c>
      <c r="J1433" s="37">
        <f t="shared" si="84"/>
        <v>-3.4225136041641235E-3</v>
      </c>
      <c r="K1433" s="110">
        <f t="shared" si="85"/>
        <v>6421857.9867694862</v>
      </c>
      <c r="L1433" s="60"/>
      <c r="M1433" s="41"/>
      <c r="N1433" s="41"/>
      <c r="O1433" s="41"/>
    </row>
    <row r="1434" spans="1:15" s="7" customFormat="1" ht="18.75">
      <c r="A1434" s="81"/>
      <c r="B1434" s="57"/>
      <c r="C1434" s="62" t="s">
        <v>154</v>
      </c>
      <c r="D1434" s="103" t="s">
        <v>244</v>
      </c>
      <c r="E1434" s="44"/>
      <c r="F1434" s="149">
        <v>151578918.07411501</v>
      </c>
      <c r="G1434" s="105" t="s">
        <v>156</v>
      </c>
      <c r="H1434" s="47">
        <v>151578918.07411501</v>
      </c>
      <c r="I1434" s="35" t="s">
        <v>369</v>
      </c>
      <c r="J1434" s="37">
        <f t="shared" si="84"/>
        <v>0</v>
      </c>
      <c r="K1434" s="110">
        <f t="shared" si="85"/>
        <v>6421857.9833469726</v>
      </c>
      <c r="L1434" s="60"/>
      <c r="M1434" s="41"/>
      <c r="N1434" s="41"/>
      <c r="O1434" s="41"/>
    </row>
    <row r="1435" spans="1:15" s="7" customFormat="1" ht="18.75">
      <c r="A1435" s="81"/>
      <c r="B1435" s="57"/>
      <c r="C1435" s="62" t="s">
        <v>158</v>
      </c>
      <c r="D1435" s="103" t="s">
        <v>57</v>
      </c>
      <c r="E1435" s="44"/>
      <c r="F1435" s="149">
        <v>116201062.20800699</v>
      </c>
      <c r="G1435" s="105" t="s">
        <v>160</v>
      </c>
      <c r="H1435" s="47">
        <v>116201062.2</v>
      </c>
      <c r="I1435" s="35" t="s">
        <v>1009</v>
      </c>
      <c r="J1435" s="37">
        <f t="shared" si="84"/>
        <v>8.0069899559020996E-3</v>
      </c>
      <c r="K1435" s="110">
        <f t="shared" si="85"/>
        <v>6421857.9833469726</v>
      </c>
      <c r="L1435" s="60"/>
      <c r="M1435" s="41"/>
      <c r="N1435" s="41"/>
      <c r="O1435" s="41"/>
    </row>
    <row r="1436" spans="1:15" s="7" customFormat="1" ht="18.75">
      <c r="A1436" s="81"/>
      <c r="B1436" s="57"/>
      <c r="C1436" s="62" t="s">
        <v>162</v>
      </c>
      <c r="D1436" s="103" t="s">
        <v>249</v>
      </c>
      <c r="E1436" s="44"/>
      <c r="F1436" s="149">
        <v>104119443.71134266</v>
      </c>
      <c r="G1436" s="105" t="s">
        <v>164</v>
      </c>
      <c r="H1436" s="47">
        <f>104119443.71+4737312.34</f>
        <v>108856756.05</v>
      </c>
      <c r="I1436" s="35" t="s">
        <v>161</v>
      </c>
      <c r="J1436" s="37">
        <f t="shared" si="84"/>
        <v>-4737312.3386573344</v>
      </c>
      <c r="K1436" s="110">
        <f t="shared" si="85"/>
        <v>6421857.9913539626</v>
      </c>
      <c r="L1436" s="60"/>
      <c r="M1436" s="41"/>
      <c r="N1436" s="41"/>
      <c r="O1436" s="41"/>
    </row>
    <row r="1437" spans="1:15" s="7" customFormat="1" ht="18.75">
      <c r="A1437" s="81"/>
      <c r="B1437" s="57"/>
      <c r="C1437" s="62" t="s">
        <v>166</v>
      </c>
      <c r="D1437" s="103" t="s">
        <v>251</v>
      </c>
      <c r="E1437" s="44"/>
      <c r="F1437" s="149">
        <v>164697850.91932201</v>
      </c>
      <c r="G1437" s="105" t="s">
        <v>168</v>
      </c>
      <c r="H1437" s="47">
        <f>164698008.42+1684388.15</f>
        <v>166382396.56999999</v>
      </c>
      <c r="I1437" s="35" t="s">
        <v>165</v>
      </c>
      <c r="J1437" s="37">
        <f t="shared" si="84"/>
        <v>-1684545.650677979</v>
      </c>
      <c r="K1437" s="110">
        <f t="shared" si="85"/>
        <v>1684545.6526966281</v>
      </c>
      <c r="L1437" s="60"/>
      <c r="M1437" s="41"/>
      <c r="N1437" s="41"/>
      <c r="O1437" s="41"/>
    </row>
    <row r="1438" spans="1:15" s="7" customFormat="1" ht="18.75">
      <c r="A1438" s="81"/>
      <c r="B1438" s="57"/>
      <c r="C1438" s="62" t="s">
        <v>170</v>
      </c>
      <c r="D1438" s="103" t="s">
        <v>253</v>
      </c>
      <c r="E1438" s="44"/>
      <c r="F1438" s="149">
        <v>130339703.612286</v>
      </c>
      <c r="G1438" s="105" t="s">
        <v>172</v>
      </c>
      <c r="H1438" s="47">
        <v>130339703.61</v>
      </c>
      <c r="I1438" s="35" t="s">
        <v>274</v>
      </c>
      <c r="J1438" s="37">
        <f t="shared" si="84"/>
        <v>2.2860020399093628E-3</v>
      </c>
      <c r="K1438" s="110">
        <f t="shared" si="85"/>
        <v>2.0186491310596466E-3</v>
      </c>
      <c r="L1438" s="60"/>
      <c r="M1438" s="41"/>
      <c r="N1438" s="41"/>
      <c r="O1438" s="41"/>
    </row>
    <row r="1439" spans="1:15" s="7" customFormat="1" ht="18.75">
      <c r="A1439" s="81"/>
      <c r="B1439" s="57"/>
      <c r="C1439" s="62" t="s">
        <v>174</v>
      </c>
      <c r="D1439" s="103" t="s">
        <v>255</v>
      </c>
      <c r="E1439" s="44"/>
      <c r="F1439" s="149">
        <v>95183052.105833992</v>
      </c>
      <c r="G1439" s="105" t="s">
        <v>176</v>
      </c>
      <c r="H1439" s="47">
        <v>95183052.109999999</v>
      </c>
      <c r="I1439" s="35" t="s">
        <v>593</v>
      </c>
      <c r="J1439" s="37">
        <f t="shared" si="84"/>
        <v>-4.1660070419311523E-3</v>
      </c>
      <c r="K1439" s="110">
        <f t="shared" si="85"/>
        <v>4.3046511709690094E-3</v>
      </c>
      <c r="L1439" s="60"/>
      <c r="M1439" s="41"/>
      <c r="N1439" s="41"/>
      <c r="O1439" s="41"/>
    </row>
    <row r="1440" spans="1:15" s="7" customFormat="1" ht="18.75">
      <c r="A1440" s="81"/>
      <c r="B1440" s="57"/>
      <c r="C1440" s="62" t="s">
        <v>178</v>
      </c>
      <c r="D1440" s="103" t="s">
        <v>258</v>
      </c>
      <c r="E1440" s="44"/>
      <c r="F1440" s="149">
        <v>118032440.0157315</v>
      </c>
      <c r="G1440" s="105" t="s">
        <v>179</v>
      </c>
      <c r="H1440" s="47">
        <v>118032440.0157315</v>
      </c>
      <c r="I1440" s="35" t="s">
        <v>1377</v>
      </c>
      <c r="J1440" s="37">
        <f t="shared" si="84"/>
        <v>0</v>
      </c>
      <c r="K1440" s="110">
        <f t="shared" si="85"/>
        <v>1.3864412903785706E-4</v>
      </c>
      <c r="L1440" s="60"/>
      <c r="M1440" s="41"/>
      <c r="N1440" s="41"/>
      <c r="O1440" s="41"/>
    </row>
    <row r="1441" spans="1:15" s="7" customFormat="1" ht="18.75">
      <c r="A1441" s="81"/>
      <c r="B1441" s="57"/>
      <c r="C1441" s="62" t="s">
        <v>181</v>
      </c>
      <c r="D1441" s="103" t="s">
        <v>260</v>
      </c>
      <c r="E1441" s="44"/>
      <c r="F1441" s="149">
        <v>66722116.020031504</v>
      </c>
      <c r="G1441" s="105" t="s">
        <v>183</v>
      </c>
      <c r="H1441" s="47">
        <v>66722116.020000003</v>
      </c>
      <c r="I1441" s="35" t="s">
        <v>1066</v>
      </c>
      <c r="J1441" s="37">
        <f t="shared" si="84"/>
        <v>3.1501054763793945E-5</v>
      </c>
      <c r="K1441" s="110">
        <f t="shared" si="85"/>
        <v>1.3864412903785706E-4</v>
      </c>
      <c r="L1441" s="60"/>
      <c r="M1441" s="41"/>
      <c r="N1441" s="41"/>
      <c r="O1441" s="41"/>
    </row>
    <row r="1442" spans="1:15" s="7" customFormat="1" ht="18.75">
      <c r="A1442" s="81"/>
      <c r="B1442" s="57"/>
      <c r="C1442" s="62" t="s">
        <v>185</v>
      </c>
      <c r="D1442" s="103" t="s">
        <v>263</v>
      </c>
      <c r="E1442" s="44"/>
      <c r="F1442" s="149">
        <v>85095130.002970487</v>
      </c>
      <c r="G1442" s="105" t="s">
        <v>187</v>
      </c>
      <c r="H1442" s="121">
        <v>85095130.002970487</v>
      </c>
      <c r="I1442" s="35" t="s">
        <v>597</v>
      </c>
      <c r="J1442" s="37">
        <f t="shared" si="84"/>
        <v>0</v>
      </c>
      <c r="K1442" s="110">
        <f t="shared" si="85"/>
        <v>1.70145183801651E-4</v>
      </c>
      <c r="L1442" s="60"/>
      <c r="M1442" s="41"/>
      <c r="N1442" s="41"/>
      <c r="O1442" s="41"/>
    </row>
    <row r="1443" spans="1:15" s="7" customFormat="1" ht="18.75">
      <c r="A1443" s="81"/>
      <c r="B1443" s="57"/>
      <c r="C1443" s="62" t="s">
        <v>189</v>
      </c>
      <c r="D1443" s="103" t="s">
        <v>265</v>
      </c>
      <c r="E1443" s="44"/>
      <c r="F1443" s="149">
        <v>98154494.347932741</v>
      </c>
      <c r="G1443" s="105" t="s">
        <v>190</v>
      </c>
      <c r="H1443" s="121">
        <v>90000000</v>
      </c>
      <c r="I1443" s="35" t="s">
        <v>784</v>
      </c>
      <c r="J1443" s="37">
        <f t="shared" si="84"/>
        <v>8154494.347932741</v>
      </c>
      <c r="K1443" s="110">
        <f t="shared" si="85"/>
        <v>1.70145183801651E-4</v>
      </c>
      <c r="L1443" s="60"/>
      <c r="M1443" s="41"/>
      <c r="N1443" s="41"/>
      <c r="O1443" s="41"/>
    </row>
    <row r="1444" spans="1:15" s="7" customFormat="1" ht="18.75">
      <c r="A1444" s="81"/>
      <c r="B1444" s="57"/>
      <c r="C1444" s="62" t="s">
        <v>191</v>
      </c>
      <c r="D1444" s="103" t="s">
        <v>267</v>
      </c>
      <c r="E1444" s="44">
        <v>43986</v>
      </c>
      <c r="F1444" s="149">
        <v>112125596.37443326</v>
      </c>
      <c r="G1444" s="105" t="s">
        <v>193</v>
      </c>
      <c r="H1444" s="121">
        <f>60000000+45609386.73</f>
        <v>105609386.72999999</v>
      </c>
      <c r="I1444" s="35" t="s">
        <v>1378</v>
      </c>
      <c r="J1444" s="37">
        <f t="shared" si="84"/>
        <v>6516209.6444332749</v>
      </c>
      <c r="K1444" s="110">
        <f t="shared" si="85"/>
        <v>8154494.3481028862</v>
      </c>
      <c r="L1444" s="60"/>
      <c r="M1444" s="41"/>
      <c r="N1444" s="41"/>
      <c r="O1444" s="41"/>
    </row>
    <row r="1445" spans="1:15" s="7" customFormat="1" ht="18.75">
      <c r="A1445" s="81"/>
      <c r="B1445" s="57"/>
      <c r="C1445" s="62" t="s">
        <v>195</v>
      </c>
      <c r="D1445" s="103" t="s">
        <v>268</v>
      </c>
      <c r="E1445" s="44" t="s">
        <v>197</v>
      </c>
      <c r="F1445" s="149">
        <v>111025131.27911623</v>
      </c>
      <c r="G1445" s="105" t="s">
        <v>198</v>
      </c>
      <c r="H1445" s="121">
        <f>52071608.96+51207582.92</f>
        <v>103279191.88</v>
      </c>
      <c r="I1445" s="35" t="s">
        <v>1378</v>
      </c>
      <c r="J1445" s="37">
        <f t="shared" si="84"/>
        <v>7745939.399116233</v>
      </c>
      <c r="K1445" s="110">
        <f t="shared" si="85"/>
        <v>14670703.992536161</v>
      </c>
      <c r="L1445" s="60"/>
      <c r="M1445" s="41"/>
      <c r="N1445" s="41"/>
      <c r="O1445" s="41"/>
    </row>
    <row r="1446" spans="1:15" s="7" customFormat="1" ht="18.75">
      <c r="A1446" s="81"/>
      <c r="B1446" s="57"/>
      <c r="C1446" s="62" t="s">
        <v>199</v>
      </c>
      <c r="D1446" s="103" t="s">
        <v>122</v>
      </c>
      <c r="E1446" s="44">
        <v>44049</v>
      </c>
      <c r="F1446" s="149">
        <v>160758065.96702999</v>
      </c>
      <c r="G1446" s="105">
        <v>43897</v>
      </c>
      <c r="H1446" s="121">
        <v>79792417.079999998</v>
      </c>
      <c r="I1446" s="35" t="s">
        <v>287</v>
      </c>
      <c r="J1446" s="37">
        <f t="shared" si="84"/>
        <v>80965648.887029991</v>
      </c>
      <c r="K1446" s="110">
        <f t="shared" si="85"/>
        <v>22416643.391652394</v>
      </c>
      <c r="L1446" s="60"/>
      <c r="M1446" s="41"/>
      <c r="N1446" s="41"/>
      <c r="O1446" s="41"/>
    </row>
    <row r="1447" spans="1:15" s="7" customFormat="1" ht="18.75">
      <c r="A1447" s="81"/>
      <c r="B1447" s="57"/>
      <c r="C1447" s="62" t="s">
        <v>201</v>
      </c>
      <c r="D1447" s="103" t="s">
        <v>271</v>
      </c>
      <c r="E1447" s="44">
        <v>44081</v>
      </c>
      <c r="F1447" s="149">
        <v>82071772.179389998</v>
      </c>
      <c r="G1447" s="105">
        <v>44020</v>
      </c>
      <c r="H1447" s="121">
        <f>21193361.96+82071772.18</f>
        <v>103265134.14000002</v>
      </c>
      <c r="I1447" s="35" t="s">
        <v>288</v>
      </c>
      <c r="J1447" s="37">
        <f t="shared" si="84"/>
        <v>-21193361.960610017</v>
      </c>
      <c r="K1447" s="110">
        <f t="shared" si="85"/>
        <v>103382292.27868238</v>
      </c>
      <c r="L1447" s="60"/>
      <c r="M1447" s="41"/>
      <c r="N1447" s="41"/>
      <c r="O1447" s="41"/>
    </row>
    <row r="1448" spans="1:15" s="7" customFormat="1" ht="18.75">
      <c r="A1448" s="81"/>
      <c r="B1448" s="57"/>
      <c r="C1448" s="62" t="s">
        <v>203</v>
      </c>
      <c r="D1448" s="103" t="s">
        <v>273</v>
      </c>
      <c r="E1448" s="44">
        <v>43990</v>
      </c>
      <c r="F1448" s="149">
        <v>99789885.598559991</v>
      </c>
      <c r="G1448" s="105" t="s">
        <v>290</v>
      </c>
      <c r="H1448" s="121">
        <v>112336440.81</v>
      </c>
      <c r="I1448" s="35" t="s">
        <v>291</v>
      </c>
      <c r="J1448" s="37">
        <f t="shared" si="84"/>
        <v>-12546555.211440012</v>
      </c>
      <c r="K1448" s="110">
        <f t="shared" si="85"/>
        <v>82188930.318072364</v>
      </c>
      <c r="L1448" s="60"/>
      <c r="M1448" s="41"/>
      <c r="N1448" s="41"/>
      <c r="O1448" s="41"/>
    </row>
    <row r="1449" spans="1:15" s="7" customFormat="1" ht="18.75">
      <c r="A1449" s="81"/>
      <c r="B1449" s="57"/>
      <c r="C1449" s="62" t="s">
        <v>207</v>
      </c>
      <c r="D1449" s="103" t="s">
        <v>275</v>
      </c>
      <c r="E1449" s="44" t="s">
        <v>292</v>
      </c>
      <c r="F1449" s="149">
        <v>56819961.133429997</v>
      </c>
      <c r="G1449" s="105" t="s">
        <v>293</v>
      </c>
      <c r="H1449" s="121">
        <v>173924160.25</v>
      </c>
      <c r="I1449" s="35" t="s">
        <v>294</v>
      </c>
      <c r="J1449" s="37">
        <f t="shared" si="84"/>
        <v>-117104199.11657</v>
      </c>
      <c r="K1449" s="110">
        <f t="shared" si="85"/>
        <v>69642375.106632352</v>
      </c>
      <c r="L1449" s="60"/>
      <c r="M1449" s="41"/>
      <c r="N1449" s="41"/>
      <c r="O1449" s="41"/>
    </row>
    <row r="1450" spans="1:15" s="7" customFormat="1" ht="18.75">
      <c r="A1450" s="81"/>
      <c r="B1450" s="57"/>
      <c r="C1450" s="62" t="s">
        <v>212</v>
      </c>
      <c r="D1450" s="103" t="s">
        <v>277</v>
      </c>
      <c r="E1450" s="44">
        <v>44084</v>
      </c>
      <c r="F1450" s="149">
        <v>119529361.88575275</v>
      </c>
      <c r="G1450" s="105" t="s">
        <v>213</v>
      </c>
      <c r="H1450" s="121">
        <v>111579555.05</v>
      </c>
      <c r="I1450" s="35" t="s">
        <v>295</v>
      </c>
      <c r="J1450" s="37">
        <f t="shared" si="84"/>
        <v>7949806.8357527554</v>
      </c>
      <c r="K1450" s="110">
        <f t="shared" si="85"/>
        <v>-47461824.009937644</v>
      </c>
      <c r="L1450" s="60"/>
      <c r="M1450" s="41"/>
      <c r="N1450" s="41"/>
      <c r="O1450" s="41"/>
    </row>
    <row r="1451" spans="1:15" s="7" customFormat="1" ht="18.75">
      <c r="A1451" s="81"/>
      <c r="B1451" s="57"/>
      <c r="C1451" s="62" t="s">
        <v>214</v>
      </c>
      <c r="D1451" s="103" t="s">
        <v>279</v>
      </c>
      <c r="E1451" s="44">
        <v>43962</v>
      </c>
      <c r="F1451" s="149">
        <v>151851898.80394548</v>
      </c>
      <c r="G1451" s="105" t="s">
        <v>216</v>
      </c>
      <c r="H1451" s="121">
        <v>111540010.15000001</v>
      </c>
      <c r="I1451" s="35" t="s">
        <v>297</v>
      </c>
      <c r="J1451" s="37">
        <f>F1451-H1451</f>
        <v>40311888.653945476</v>
      </c>
      <c r="K1451" s="110">
        <f t="shared" si="85"/>
        <v>-39512017.174184889</v>
      </c>
      <c r="L1451" s="60"/>
      <c r="M1451" s="41"/>
      <c r="N1451" s="41"/>
      <c r="O1451" s="41"/>
    </row>
    <row r="1452" spans="1:15" s="7" customFormat="1" ht="18.75">
      <c r="A1452" s="81"/>
      <c r="B1452" s="57"/>
      <c r="C1452" s="62" t="s">
        <v>218</v>
      </c>
      <c r="D1452" s="103" t="s">
        <v>281</v>
      </c>
      <c r="E1452" s="44">
        <v>44024</v>
      </c>
      <c r="F1452" s="149">
        <v>173924160.25035697</v>
      </c>
      <c r="G1452" s="105">
        <v>44531</v>
      </c>
      <c r="H1452" s="121">
        <v>104073942.56999999</v>
      </c>
      <c r="I1452" s="44">
        <v>44200</v>
      </c>
      <c r="J1452" s="37">
        <f>F1452-H1452</f>
        <v>69850217.680356979</v>
      </c>
      <c r="K1452" s="110">
        <f t="shared" si="85"/>
        <v>799871.47976058722</v>
      </c>
      <c r="L1452" s="60"/>
      <c r="M1452" s="41"/>
      <c r="N1452" s="41"/>
      <c r="O1452" s="41"/>
    </row>
    <row r="1453" spans="1:15" s="7" customFormat="1" ht="18.75">
      <c r="A1453" s="81"/>
      <c r="B1453" s="57"/>
      <c r="C1453" s="62" t="s">
        <v>219</v>
      </c>
      <c r="D1453" s="103" t="s">
        <v>283</v>
      </c>
      <c r="E1453" s="44">
        <v>44409</v>
      </c>
      <c r="F1453" s="149">
        <v>139474443.809156</v>
      </c>
      <c r="G1453" s="105" t="s">
        <v>220</v>
      </c>
      <c r="H1453" s="121">
        <v>248836957.25</v>
      </c>
      <c r="I1453" s="35" t="s">
        <v>300</v>
      </c>
      <c r="J1453" s="37">
        <f>F1453-H1453</f>
        <v>-109362513.440844</v>
      </c>
      <c r="K1453" s="110">
        <f t="shared" si="85"/>
        <v>70650089.160117567</v>
      </c>
      <c r="L1453" s="60"/>
      <c r="M1453" s="41"/>
      <c r="N1453" s="41"/>
      <c r="O1453" s="41"/>
    </row>
    <row r="1454" spans="1:15" s="7" customFormat="1" ht="18.75">
      <c r="A1454" s="81"/>
      <c r="B1454" s="57"/>
      <c r="C1454" s="62" t="s">
        <v>221</v>
      </c>
      <c r="D1454" s="103" t="s">
        <v>84</v>
      </c>
      <c r="E1454" s="44">
        <v>44410</v>
      </c>
      <c r="F1454" s="149">
        <v>135366917.74469325</v>
      </c>
      <c r="G1454" s="105" t="s">
        <v>85</v>
      </c>
      <c r="H1454" s="121"/>
      <c r="I1454" s="35"/>
      <c r="J1454" s="37">
        <f>F1454-H1454</f>
        <v>135366917.74469325</v>
      </c>
      <c r="K1454" s="110">
        <f t="shared" si="85"/>
        <v>-38712424.280726433</v>
      </c>
      <c r="L1454" s="60"/>
      <c r="M1454" s="41"/>
      <c r="N1454" s="41"/>
      <c r="O1454" s="41"/>
    </row>
    <row r="1455" spans="1:15" s="7" customFormat="1" ht="18.75">
      <c r="A1455" s="81"/>
      <c r="B1455" s="57"/>
      <c r="C1455" s="62" t="s">
        <v>222</v>
      </c>
      <c r="D1455" s="103" t="s">
        <v>286</v>
      </c>
      <c r="E1455" s="44">
        <v>44319</v>
      </c>
      <c r="F1455" s="149">
        <v>126297866.72227722</v>
      </c>
      <c r="G1455" s="105" t="s">
        <v>1442</v>
      </c>
      <c r="H1455" s="121"/>
      <c r="I1455" s="35"/>
      <c r="J1455" s="37">
        <f>F1455-H1455</f>
        <v>126297866.72227722</v>
      </c>
      <c r="K1455" s="110">
        <f t="shared" si="85"/>
        <v>96654493.463966817</v>
      </c>
      <c r="L1455" s="60"/>
      <c r="M1455" s="41"/>
      <c r="N1455" s="41"/>
      <c r="O1455" s="41"/>
    </row>
    <row r="1456" spans="1:15" s="7" customFormat="1" ht="18.75">
      <c r="A1456" s="81"/>
      <c r="B1456" s="57" t="s">
        <v>1379</v>
      </c>
      <c r="C1456" s="29"/>
      <c r="D1456" s="32"/>
      <c r="E1456" s="44"/>
      <c r="F1456" s="34"/>
      <c r="G1456" s="35"/>
      <c r="H1456" s="47"/>
      <c r="I1456" s="35"/>
      <c r="J1456" s="37"/>
      <c r="K1456" s="116">
        <f t="shared" si="85"/>
        <v>222952360.18624404</v>
      </c>
      <c r="L1456" s="60"/>
      <c r="M1456" s="41"/>
      <c r="N1456" s="41"/>
      <c r="O1456" s="41"/>
    </row>
    <row r="1457" spans="1:15" s="7" customFormat="1" ht="18.75">
      <c r="A1457" s="81"/>
      <c r="B1457" s="57"/>
      <c r="C1457" s="29"/>
      <c r="D1457" s="32"/>
      <c r="E1457" s="44"/>
      <c r="F1457" s="34"/>
      <c r="G1457" s="80"/>
      <c r="H1457" s="47"/>
      <c r="I1457" s="35"/>
      <c r="J1457" s="37"/>
      <c r="K1457" s="116"/>
      <c r="L1457" s="60"/>
      <c r="M1457" s="41"/>
      <c r="N1457" s="41"/>
      <c r="O1457" s="41"/>
    </row>
    <row r="1458" spans="1:15" s="7" customFormat="1" ht="18.75">
      <c r="A1458" s="81">
        <v>38</v>
      </c>
      <c r="B1458" s="57" t="s">
        <v>86</v>
      </c>
      <c r="C1458" s="29" t="s">
        <v>489</v>
      </c>
      <c r="D1458" s="32" t="s">
        <v>679</v>
      </c>
      <c r="E1458" s="44"/>
      <c r="F1458" s="34">
        <v>525595101.97000003</v>
      </c>
      <c r="G1458" s="117" t="s">
        <v>556</v>
      </c>
      <c r="H1458" s="47">
        <v>405960866.22000003</v>
      </c>
      <c r="I1458" s="35"/>
      <c r="J1458" s="37">
        <f>F1458-H1458</f>
        <v>119634235.75</v>
      </c>
      <c r="K1458" s="234">
        <v>0</v>
      </c>
      <c r="L1458" s="60">
        <v>95183052.109999999</v>
      </c>
      <c r="M1458" s="41"/>
      <c r="N1458" s="41"/>
      <c r="O1458" s="41"/>
    </row>
    <row r="1459" spans="1:15" s="7" customFormat="1" ht="18.75">
      <c r="A1459" s="81"/>
      <c r="B1459" s="57"/>
      <c r="C1459" s="29" t="s">
        <v>618</v>
      </c>
      <c r="D1459" s="32" t="s">
        <v>681</v>
      </c>
      <c r="E1459" s="44"/>
      <c r="F1459" s="34">
        <v>602983023.09000003</v>
      </c>
      <c r="G1459" s="35" t="s">
        <v>1038</v>
      </c>
      <c r="H1459" s="47">
        <v>500000000</v>
      </c>
      <c r="I1459" s="35"/>
      <c r="J1459" s="37">
        <f t="shared" ref="J1459:J1501" si="86">F1459-H1459</f>
        <v>102983023.09000003</v>
      </c>
      <c r="K1459" s="234">
        <f t="shared" ref="K1459:K1507" si="87">K1458+J1458</f>
        <v>119634235.75</v>
      </c>
      <c r="L1459" s="60"/>
      <c r="M1459" s="41"/>
      <c r="N1459" s="41"/>
      <c r="O1459" s="41"/>
    </row>
    <row r="1460" spans="1:15" s="7" customFormat="1" ht="18.75">
      <c r="A1460" s="81"/>
      <c r="B1460" s="57"/>
      <c r="C1460" s="29" t="s">
        <v>560</v>
      </c>
      <c r="D1460" s="32" t="s">
        <v>683</v>
      </c>
      <c r="E1460" s="44"/>
      <c r="F1460" s="95">
        <v>570389257.28999996</v>
      </c>
      <c r="G1460" s="98" t="s">
        <v>561</v>
      </c>
      <c r="H1460" s="47">
        <v>142483760.38999999</v>
      </c>
      <c r="I1460" s="35" t="s">
        <v>1380</v>
      </c>
      <c r="J1460" s="37">
        <f t="shared" si="86"/>
        <v>427905496.89999998</v>
      </c>
      <c r="K1460" s="234">
        <f t="shared" si="87"/>
        <v>222617258.84000003</v>
      </c>
      <c r="L1460" s="60"/>
      <c r="M1460" s="41"/>
      <c r="N1460" s="41"/>
      <c r="O1460" s="41"/>
    </row>
    <row r="1461" spans="1:15" s="7" customFormat="1" ht="18.75">
      <c r="A1461" s="81"/>
      <c r="B1461" s="57"/>
      <c r="C1461" s="29" t="s">
        <v>562</v>
      </c>
      <c r="D1461" s="32" t="s">
        <v>686</v>
      </c>
      <c r="E1461" s="44"/>
      <c r="F1461" s="95">
        <v>574433177.85000002</v>
      </c>
      <c r="G1461" s="98">
        <v>43015</v>
      </c>
      <c r="H1461" s="47">
        <v>574271558.39999998</v>
      </c>
      <c r="I1461" s="35" t="s">
        <v>1381</v>
      </c>
      <c r="J1461" s="37">
        <f t="shared" si="86"/>
        <v>161619.45000004768</v>
      </c>
      <c r="K1461" s="234">
        <f t="shared" si="87"/>
        <v>650522755.74000001</v>
      </c>
      <c r="L1461" s="60"/>
      <c r="M1461" s="41"/>
      <c r="N1461" s="41"/>
      <c r="O1461" s="41"/>
    </row>
    <row r="1462" spans="1:15" s="7" customFormat="1" ht="18.75">
      <c r="A1462" s="81"/>
      <c r="B1462" s="57"/>
      <c r="C1462" s="29" t="s">
        <v>494</v>
      </c>
      <c r="D1462" s="32" t="s">
        <v>689</v>
      </c>
      <c r="E1462" s="44"/>
      <c r="F1462" s="95">
        <v>570079440.00999999</v>
      </c>
      <c r="G1462" s="98">
        <v>42957</v>
      </c>
      <c r="H1462" s="47">
        <v>384289521.98000002</v>
      </c>
      <c r="I1462" s="35" t="s">
        <v>932</v>
      </c>
      <c r="J1462" s="37">
        <f t="shared" si="86"/>
        <v>185789918.02999997</v>
      </c>
      <c r="K1462" s="234">
        <f t="shared" si="87"/>
        <v>650684375.19000006</v>
      </c>
      <c r="L1462" s="60"/>
      <c r="M1462" s="41"/>
      <c r="N1462" s="41"/>
      <c r="O1462" s="41"/>
    </row>
    <row r="1463" spans="1:15" s="7" customFormat="1" ht="18.75">
      <c r="A1463" s="81"/>
      <c r="B1463" s="57"/>
      <c r="C1463" s="29" t="s">
        <v>497</v>
      </c>
      <c r="D1463" s="32" t="s">
        <v>692</v>
      </c>
      <c r="E1463" s="44"/>
      <c r="F1463" s="95">
        <v>593093814.97000003</v>
      </c>
      <c r="G1463" s="98">
        <v>42988</v>
      </c>
      <c r="H1463" s="47">
        <v>355856288.98000002</v>
      </c>
      <c r="I1463" s="35" t="s">
        <v>932</v>
      </c>
      <c r="J1463" s="37">
        <f t="shared" si="86"/>
        <v>237237525.99000001</v>
      </c>
      <c r="K1463" s="234">
        <f t="shared" si="87"/>
        <v>836474293.22000003</v>
      </c>
      <c r="L1463" s="60"/>
      <c r="M1463" s="41"/>
      <c r="N1463" s="41"/>
      <c r="O1463" s="41"/>
    </row>
    <row r="1464" spans="1:15" s="7" customFormat="1" ht="18.75">
      <c r="A1464" s="81"/>
      <c r="B1464" s="57"/>
      <c r="C1464" s="29" t="s">
        <v>498</v>
      </c>
      <c r="D1464" s="32" t="s">
        <v>1089</v>
      </c>
      <c r="E1464" s="44"/>
      <c r="F1464" s="95">
        <v>578862706.96000004</v>
      </c>
      <c r="G1464" s="98">
        <v>42988</v>
      </c>
      <c r="H1464" s="47">
        <v>165876214</v>
      </c>
      <c r="I1464" s="35" t="s">
        <v>1382</v>
      </c>
      <c r="J1464" s="37">
        <f t="shared" si="86"/>
        <v>412986492.96000004</v>
      </c>
      <c r="K1464" s="234">
        <f t="shared" si="87"/>
        <v>1073711819.21</v>
      </c>
      <c r="L1464" s="60"/>
      <c r="M1464" s="41"/>
      <c r="N1464" s="41"/>
      <c r="O1464" s="41"/>
    </row>
    <row r="1465" spans="1:15" s="7" customFormat="1" ht="18.75">
      <c r="A1465" s="81"/>
      <c r="B1465" s="57"/>
      <c r="C1465" s="29" t="s">
        <v>564</v>
      </c>
      <c r="D1465" s="32" t="s">
        <v>694</v>
      </c>
      <c r="E1465" s="44"/>
      <c r="F1465" s="95">
        <v>595093084.74000001</v>
      </c>
      <c r="G1465" s="98">
        <v>43049</v>
      </c>
      <c r="H1465" s="47">
        <v>224536653</v>
      </c>
      <c r="I1465" s="35" t="s">
        <v>1382</v>
      </c>
      <c r="J1465" s="37">
        <f t="shared" si="86"/>
        <v>370556431.74000001</v>
      </c>
      <c r="K1465" s="234">
        <f t="shared" si="87"/>
        <v>1486698312.1700001</v>
      </c>
      <c r="L1465" s="60">
        <v>45609386.729999997</v>
      </c>
      <c r="M1465" s="41"/>
      <c r="N1465" s="41"/>
      <c r="O1465" s="41"/>
    </row>
    <row r="1466" spans="1:15" s="7" customFormat="1" ht="18.75">
      <c r="A1466" s="81"/>
      <c r="B1466" s="57"/>
      <c r="C1466" s="29" t="s">
        <v>500</v>
      </c>
      <c r="D1466" s="32" t="s">
        <v>621</v>
      </c>
      <c r="E1466" s="44"/>
      <c r="F1466" s="95">
        <v>590145810.96000004</v>
      </c>
      <c r="G1466" s="98">
        <v>42778</v>
      </c>
      <c r="H1466" s="47">
        <v>202176345</v>
      </c>
      <c r="I1466" s="35" t="s">
        <v>1382</v>
      </c>
      <c r="J1466" s="37">
        <f t="shared" si="86"/>
        <v>387969465.96000004</v>
      </c>
      <c r="K1466" s="234">
        <f t="shared" si="87"/>
        <v>1857254743.9100001</v>
      </c>
      <c r="L1466" s="60">
        <v>105390613.27</v>
      </c>
      <c r="M1466" s="41"/>
      <c r="N1466" s="41"/>
      <c r="O1466" s="41"/>
    </row>
    <row r="1467" spans="1:15" s="7" customFormat="1" ht="18.75">
      <c r="A1467" s="81"/>
      <c r="B1467" s="57"/>
      <c r="C1467" s="29" t="s">
        <v>501</v>
      </c>
      <c r="D1467" s="32" t="s">
        <v>623</v>
      </c>
      <c r="E1467" s="44"/>
      <c r="F1467" s="95">
        <v>585434272.42999995</v>
      </c>
      <c r="G1467" s="98" t="s">
        <v>1383</v>
      </c>
      <c r="H1467" s="47">
        <v>142845060.43000001</v>
      </c>
      <c r="I1467" s="35" t="s">
        <v>1382</v>
      </c>
      <c r="J1467" s="37">
        <f t="shared" si="86"/>
        <v>442589211.99999994</v>
      </c>
      <c r="K1467" s="234">
        <f t="shared" si="87"/>
        <v>2245224209.8699999</v>
      </c>
      <c r="L1467" s="60">
        <v>79792417.079999998</v>
      </c>
      <c r="M1467" s="41"/>
      <c r="N1467" s="41"/>
      <c r="O1467" s="41"/>
    </row>
    <row r="1468" spans="1:15" s="7" customFormat="1" ht="18.75">
      <c r="A1468" s="81"/>
      <c r="B1468" s="57"/>
      <c r="C1468" s="29" t="s">
        <v>504</v>
      </c>
      <c r="D1468" s="32" t="s">
        <v>1196</v>
      </c>
      <c r="E1468" s="44"/>
      <c r="F1468" s="95">
        <v>580181352.36000001</v>
      </c>
      <c r="G1468" s="98">
        <v>43375</v>
      </c>
      <c r="H1468" s="47">
        <f>142176350+368003776+115855063.88+104146162.48</f>
        <v>730181352.36000001</v>
      </c>
      <c r="I1468" s="35" t="s">
        <v>1384</v>
      </c>
      <c r="J1468" s="37">
        <f t="shared" si="86"/>
        <v>-150000000</v>
      </c>
      <c r="K1468" s="234">
        <f t="shared" si="87"/>
        <v>2687813421.8699999</v>
      </c>
      <c r="L1468" s="60">
        <v>51207582.920000002</v>
      </c>
      <c r="M1468" s="41"/>
      <c r="N1468" s="41"/>
      <c r="O1468" s="41"/>
    </row>
    <row r="1469" spans="1:15" s="7" customFormat="1" ht="18.75">
      <c r="A1469" s="81"/>
      <c r="B1469" s="57"/>
      <c r="C1469" s="29" t="s">
        <v>506</v>
      </c>
      <c r="D1469" s="32" t="s">
        <v>1385</v>
      </c>
      <c r="E1469" s="44"/>
      <c r="F1469" s="95">
        <v>490767524.54000002</v>
      </c>
      <c r="G1469" s="98">
        <v>43376</v>
      </c>
      <c r="H1469" s="172">
        <f>341030231+155293408.54+8765434+223641261.5+56789543</f>
        <v>785519878.03999996</v>
      </c>
      <c r="I1469" s="35" t="s">
        <v>1386</v>
      </c>
      <c r="J1469" s="37">
        <f t="shared" si="86"/>
        <v>-294752353.49999994</v>
      </c>
      <c r="K1469" s="234">
        <f t="shared" si="87"/>
        <v>2537813421.8699999</v>
      </c>
      <c r="L1469" s="60"/>
      <c r="M1469" s="41"/>
      <c r="N1469" s="41"/>
      <c r="O1469" s="41"/>
    </row>
    <row r="1470" spans="1:15" s="7" customFormat="1" ht="18.75">
      <c r="A1470" s="81"/>
      <c r="B1470" s="57"/>
      <c r="C1470" s="29" t="s">
        <v>508</v>
      </c>
      <c r="D1470" s="32" t="s">
        <v>1387</v>
      </c>
      <c r="E1470" s="44"/>
      <c r="F1470" s="95">
        <v>531721638.35000002</v>
      </c>
      <c r="G1470" s="75" t="s">
        <v>509</v>
      </c>
      <c r="H1470" s="172">
        <v>683921638.35000002</v>
      </c>
      <c r="I1470" s="35" t="s">
        <v>1388</v>
      </c>
      <c r="J1470" s="37">
        <f t="shared" si="86"/>
        <v>-152200000</v>
      </c>
      <c r="K1470" s="234">
        <f t="shared" si="87"/>
        <v>2243061068.3699999</v>
      </c>
      <c r="L1470" s="60"/>
      <c r="M1470" s="41"/>
      <c r="N1470" s="41"/>
      <c r="O1470" s="41"/>
    </row>
    <row r="1471" spans="1:15" s="7" customFormat="1" ht="18.75">
      <c r="A1471" s="81"/>
      <c r="B1471" s="57"/>
      <c r="C1471" s="29" t="s">
        <v>355</v>
      </c>
      <c r="D1471" s="32" t="s">
        <v>625</v>
      </c>
      <c r="E1471" s="44"/>
      <c r="F1471" s="95">
        <v>564929797.82973313</v>
      </c>
      <c r="G1471" s="75" t="s">
        <v>1389</v>
      </c>
      <c r="H1471" s="172">
        <f>55342754+67654342+69678145+100234685.37+409678145</f>
        <v>702588071.37</v>
      </c>
      <c r="I1471" s="35" t="s">
        <v>1390</v>
      </c>
      <c r="J1471" s="37">
        <f t="shared" si="86"/>
        <v>-137658273.54026687</v>
      </c>
      <c r="K1471" s="234">
        <f t="shared" si="87"/>
        <v>2090861068.3699999</v>
      </c>
      <c r="L1471" s="60"/>
      <c r="M1471" s="41"/>
      <c r="N1471" s="41"/>
      <c r="O1471" s="41"/>
    </row>
    <row r="1472" spans="1:15" s="7" customFormat="1" ht="18.75">
      <c r="A1472" s="81"/>
      <c r="B1472" s="57"/>
      <c r="C1472" s="31" t="s">
        <v>234</v>
      </c>
      <c r="D1472" s="32" t="s">
        <v>627</v>
      </c>
      <c r="E1472" s="44"/>
      <c r="F1472" s="95">
        <v>564929797.82973313</v>
      </c>
      <c r="G1472" s="75"/>
      <c r="H1472" s="172">
        <v>714929797.83000004</v>
      </c>
      <c r="I1472" s="35" t="s">
        <v>1368</v>
      </c>
      <c r="J1472" s="37">
        <f t="shared" si="86"/>
        <v>-150000000.00026691</v>
      </c>
      <c r="K1472" s="234">
        <f t="shared" si="87"/>
        <v>1953202794.8297329</v>
      </c>
      <c r="L1472" s="60"/>
      <c r="M1472" s="41"/>
      <c r="N1472" s="41"/>
      <c r="O1472" s="41"/>
    </row>
    <row r="1473" spans="1:15" s="7" customFormat="1" ht="18.75">
      <c r="A1473" s="81"/>
      <c r="B1473" s="57"/>
      <c r="C1473" s="31" t="s">
        <v>514</v>
      </c>
      <c r="D1473" s="32" t="s">
        <v>629</v>
      </c>
      <c r="E1473" s="44"/>
      <c r="F1473" s="95">
        <v>589430115.55244255</v>
      </c>
      <c r="G1473" s="75" t="s">
        <v>515</v>
      </c>
      <c r="H1473" s="172">
        <v>944425828.07999992</v>
      </c>
      <c r="I1473" s="35"/>
      <c r="J1473" s="37">
        <f t="shared" si="86"/>
        <v>-354995712.52755737</v>
      </c>
      <c r="K1473" s="234">
        <f t="shared" si="87"/>
        <v>1803202794.8294659</v>
      </c>
      <c r="L1473" s="60"/>
      <c r="M1473" s="41"/>
      <c r="N1473" s="41"/>
      <c r="O1473" s="41"/>
    </row>
    <row r="1474" spans="1:15" s="7" customFormat="1" ht="18.75">
      <c r="A1474" s="81"/>
      <c r="B1474" s="57"/>
      <c r="C1474" s="102" t="s">
        <v>238</v>
      </c>
      <c r="D1474" s="32" t="s">
        <v>631</v>
      </c>
      <c r="E1474" s="44"/>
      <c r="F1474" s="104">
        <v>571222274.53672504</v>
      </c>
      <c r="G1474" s="75" t="s">
        <v>516</v>
      </c>
      <c r="H1474" s="172">
        <v>721222274.52999997</v>
      </c>
      <c r="I1474" s="35">
        <v>43351</v>
      </c>
      <c r="J1474" s="37">
        <f t="shared" si="86"/>
        <v>-149999999.99327493</v>
      </c>
      <c r="K1474" s="234">
        <f t="shared" si="87"/>
        <v>1448207082.3019085</v>
      </c>
      <c r="L1474" s="60"/>
      <c r="M1474" s="41"/>
      <c r="N1474" s="41"/>
      <c r="O1474" s="41"/>
    </row>
    <row r="1475" spans="1:15" s="7" customFormat="1" ht="18.75">
      <c r="A1475" s="81"/>
      <c r="B1475" s="57"/>
      <c r="C1475" s="111" t="s">
        <v>240</v>
      </c>
      <c r="D1475" s="32" t="s">
        <v>632</v>
      </c>
      <c r="E1475" s="44"/>
      <c r="F1475" s="104">
        <v>125056777.4447985</v>
      </c>
      <c r="G1475" s="75" t="s">
        <v>516</v>
      </c>
      <c r="H1475" s="172">
        <f>48917670.35+33690912.96+119101692.8+54269605.54+46812724.11</f>
        <v>302792605.75999999</v>
      </c>
      <c r="I1475" s="35" t="s">
        <v>1391</v>
      </c>
      <c r="J1475" s="37">
        <f t="shared" si="86"/>
        <v>-177735828.31520149</v>
      </c>
      <c r="K1475" s="234">
        <f t="shared" si="87"/>
        <v>1298207082.3086336</v>
      </c>
      <c r="L1475" s="60"/>
      <c r="M1475" s="41"/>
      <c r="N1475" s="41"/>
      <c r="O1475" s="41"/>
    </row>
    <row r="1476" spans="1:15" s="7" customFormat="1" ht="18.75">
      <c r="A1476" s="81"/>
      <c r="B1476" s="57"/>
      <c r="C1476" s="102" t="s">
        <v>243</v>
      </c>
      <c r="D1476" s="32" t="s">
        <v>634</v>
      </c>
      <c r="E1476" s="44"/>
      <c r="F1476" s="104">
        <v>130688974.94441248</v>
      </c>
      <c r="G1476" s="75"/>
      <c r="H1476" s="172">
        <f>124465690.42+98598490.36+6899089.26+2199365.55+32430115.55+9872939.28</f>
        <v>274465690.42000002</v>
      </c>
      <c r="I1476" s="35" t="s">
        <v>575</v>
      </c>
      <c r="J1476" s="37">
        <f t="shared" si="86"/>
        <v>-143776715.47558755</v>
      </c>
      <c r="K1476" s="234">
        <f t="shared" si="87"/>
        <v>1120471253.993432</v>
      </c>
      <c r="L1476" s="60"/>
      <c r="M1476" s="41"/>
      <c r="N1476" s="41"/>
      <c r="O1476" s="41"/>
    </row>
    <row r="1477" spans="1:15" s="7" customFormat="1" ht="18.75">
      <c r="A1477" s="81"/>
      <c r="B1477" s="57"/>
      <c r="C1477" s="102" t="s">
        <v>246</v>
      </c>
      <c r="D1477" s="32" t="s">
        <v>636</v>
      </c>
      <c r="E1477" s="44"/>
      <c r="F1477" s="104">
        <v>143326521.9725745</v>
      </c>
      <c r="G1477" s="75"/>
      <c r="H1477" s="172">
        <f>136501607+54972156.62+95028158.38</f>
        <v>286501922</v>
      </c>
      <c r="I1477" s="35" t="s">
        <v>1392</v>
      </c>
      <c r="J1477" s="37">
        <f t="shared" si="86"/>
        <v>-143175400.0274255</v>
      </c>
      <c r="K1477" s="234">
        <f t="shared" si="87"/>
        <v>976694538.51784444</v>
      </c>
      <c r="L1477" s="60"/>
      <c r="M1477" s="41"/>
      <c r="N1477" s="41"/>
      <c r="O1477" s="41"/>
    </row>
    <row r="1478" spans="1:15" s="7" customFormat="1" ht="18.75">
      <c r="A1478" s="81"/>
      <c r="B1478" s="57"/>
      <c r="C1478" s="111" t="s">
        <v>248</v>
      </c>
      <c r="D1478" s="103" t="s">
        <v>639</v>
      </c>
      <c r="E1478" s="44"/>
      <c r="F1478" s="104">
        <v>150825638.6073465</v>
      </c>
      <c r="G1478" s="105" t="s">
        <v>1374</v>
      </c>
      <c r="H1478" s="172">
        <f>43680279+56319721+143643465.34</f>
        <v>243643465.34</v>
      </c>
      <c r="I1478" s="35" t="s">
        <v>1375</v>
      </c>
      <c r="J1478" s="37">
        <f t="shared" si="86"/>
        <v>-92817826.732653499</v>
      </c>
      <c r="K1478" s="234">
        <f t="shared" si="87"/>
        <v>833519138.49041891</v>
      </c>
      <c r="L1478" s="60"/>
      <c r="M1478" s="41"/>
      <c r="N1478" s="41"/>
      <c r="O1478" s="41"/>
    </row>
    <row r="1479" spans="1:15" s="7" customFormat="1" ht="18.75">
      <c r="A1479" s="81"/>
      <c r="B1479" s="57"/>
      <c r="C1479" s="111" t="s">
        <v>250</v>
      </c>
      <c r="D1479" s="103" t="s">
        <v>372</v>
      </c>
      <c r="E1479" s="44"/>
      <c r="F1479" s="149">
        <v>291988584.43000001</v>
      </c>
      <c r="G1479" s="105" t="s">
        <v>525</v>
      </c>
      <c r="H1479" s="172">
        <v>278084366.12</v>
      </c>
      <c r="I1479" s="35" t="s">
        <v>525</v>
      </c>
      <c r="J1479" s="37">
        <f t="shared" si="86"/>
        <v>13904218.310000002</v>
      </c>
      <c r="K1479" s="234">
        <f t="shared" si="87"/>
        <v>740701311.75776541</v>
      </c>
      <c r="L1479" s="60"/>
      <c r="M1479" s="41"/>
      <c r="N1479" s="41"/>
      <c r="O1479" s="41"/>
    </row>
    <row r="1480" spans="1:15" s="7" customFormat="1" ht="18.75">
      <c r="A1480" s="81"/>
      <c r="B1480" s="57"/>
      <c r="C1480" s="111" t="s">
        <v>139</v>
      </c>
      <c r="D1480" s="103" t="s">
        <v>373</v>
      </c>
      <c r="E1480" s="44"/>
      <c r="F1480" s="149">
        <v>641010129.77999997</v>
      </c>
      <c r="G1480" s="105" t="s">
        <v>526</v>
      </c>
      <c r="H1480" s="172">
        <v>610485837.88999999</v>
      </c>
      <c r="I1480" s="35" t="s">
        <v>652</v>
      </c>
      <c r="J1480" s="37">
        <f t="shared" si="86"/>
        <v>30524291.889999986</v>
      </c>
      <c r="K1480" s="234">
        <f t="shared" si="87"/>
        <v>754605530.06776547</v>
      </c>
      <c r="L1480" s="60"/>
      <c r="M1480" s="41"/>
      <c r="N1480" s="41"/>
      <c r="O1480" s="41"/>
    </row>
    <row r="1481" spans="1:15" s="7" customFormat="1" ht="18.75">
      <c r="A1481" s="81"/>
      <c r="B1481" s="57"/>
      <c r="C1481" s="62" t="s">
        <v>142</v>
      </c>
      <c r="D1481" s="103" t="s">
        <v>1393</v>
      </c>
      <c r="E1481" s="44"/>
      <c r="F1481" s="149">
        <v>637919617.20085216</v>
      </c>
      <c r="G1481" s="105" t="s">
        <v>652</v>
      </c>
      <c r="H1481" s="172">
        <f>607923463.5+587823544.82</f>
        <v>1195747008.3200002</v>
      </c>
      <c r="I1481" s="35" t="s">
        <v>1376</v>
      </c>
      <c r="J1481" s="37">
        <f t="shared" si="86"/>
        <v>-557827391.11914802</v>
      </c>
      <c r="K1481" s="234">
        <f t="shared" si="87"/>
        <v>785129821.95776546</v>
      </c>
      <c r="L1481" s="60"/>
      <c r="M1481" s="41"/>
      <c r="N1481" s="41"/>
      <c r="O1481" s="41"/>
    </row>
    <row r="1482" spans="1:15" s="7" customFormat="1" ht="18.75">
      <c r="A1482" s="81"/>
      <c r="B1482" s="57"/>
      <c r="C1482" s="62" t="s">
        <v>145</v>
      </c>
      <c r="D1482" s="103" t="s">
        <v>1394</v>
      </c>
      <c r="E1482" s="44"/>
      <c r="F1482" s="149">
        <v>587823387.32262611</v>
      </c>
      <c r="G1482" s="105" t="s">
        <v>1138</v>
      </c>
      <c r="H1482" s="172">
        <v>225732016.33000001</v>
      </c>
      <c r="I1482" s="35" t="s">
        <v>261</v>
      </c>
      <c r="J1482" s="37">
        <f t="shared" si="86"/>
        <v>362091370.99262607</v>
      </c>
      <c r="K1482" s="234">
        <f t="shared" si="87"/>
        <v>227302430.83861744</v>
      </c>
      <c r="L1482" s="60"/>
      <c r="M1482" s="41"/>
      <c r="N1482" s="41"/>
      <c r="O1482" s="41"/>
    </row>
    <row r="1483" spans="1:15" s="7" customFormat="1" ht="18.75">
      <c r="A1483" s="81"/>
      <c r="B1483" s="57"/>
      <c r="C1483" s="62" t="s">
        <v>148</v>
      </c>
      <c r="D1483" s="103" t="s">
        <v>1395</v>
      </c>
      <c r="E1483" s="44"/>
      <c r="F1483" s="149">
        <v>237018617.15000001</v>
      </c>
      <c r="G1483" s="105" t="s">
        <v>769</v>
      </c>
      <c r="H1483" s="47">
        <v>50000000</v>
      </c>
      <c r="I1483" s="35" t="s">
        <v>261</v>
      </c>
      <c r="J1483" s="37">
        <f t="shared" si="86"/>
        <v>187018617.15000001</v>
      </c>
      <c r="K1483" s="234">
        <f t="shared" si="87"/>
        <v>589393801.83124352</v>
      </c>
      <c r="L1483" s="60"/>
      <c r="M1483" s="41"/>
      <c r="N1483" s="41"/>
      <c r="O1483" s="41"/>
    </row>
    <row r="1484" spans="1:15" s="7" customFormat="1" ht="18.75">
      <c r="A1484" s="81"/>
      <c r="B1484" s="57"/>
      <c r="C1484" s="62" t="s">
        <v>151</v>
      </c>
      <c r="D1484" s="103" t="s">
        <v>1396</v>
      </c>
      <c r="E1484" s="44"/>
      <c r="F1484" s="149">
        <v>142182083.52022499</v>
      </c>
      <c r="G1484" s="105" t="s">
        <v>152</v>
      </c>
      <c r="H1484" s="172">
        <f>135411508.11+50000000+50000000</f>
        <v>235411508.11000001</v>
      </c>
      <c r="I1484" s="35" t="s">
        <v>995</v>
      </c>
      <c r="J1484" s="37">
        <f t="shared" si="86"/>
        <v>-93229424.589775026</v>
      </c>
      <c r="K1484" s="234">
        <f t="shared" si="87"/>
        <v>776412418.98124349</v>
      </c>
      <c r="L1484" s="60"/>
      <c r="M1484" s="41"/>
      <c r="N1484" s="41"/>
      <c r="O1484" s="41"/>
    </row>
    <row r="1485" spans="1:15" s="7" customFormat="1" ht="18.75">
      <c r="A1485" s="81"/>
      <c r="B1485" s="57"/>
      <c r="C1485" s="62" t="s">
        <v>154</v>
      </c>
      <c r="D1485" s="103" t="s">
        <v>54</v>
      </c>
      <c r="E1485" s="44"/>
      <c r="F1485" s="149">
        <v>157222362.34066951</v>
      </c>
      <c r="G1485" s="105" t="s">
        <v>156</v>
      </c>
      <c r="H1485" s="172">
        <f>100000000+157222362.34</f>
        <v>257222362.34</v>
      </c>
      <c r="I1485" s="35" t="s">
        <v>369</v>
      </c>
      <c r="J1485" s="37">
        <f t="shared" si="86"/>
        <v>-99999999.999330491</v>
      </c>
      <c r="K1485" s="234">
        <f t="shared" si="87"/>
        <v>683182994.39146852</v>
      </c>
      <c r="L1485" s="60"/>
      <c r="M1485" s="41"/>
      <c r="N1485" s="41"/>
      <c r="O1485" s="59">
        <v>1684388.1461336501</v>
      </c>
    </row>
    <row r="1486" spans="1:15" s="7" customFormat="1" ht="18.75">
      <c r="A1486" s="81"/>
      <c r="B1486" s="57"/>
      <c r="C1486" s="62" t="s">
        <v>158</v>
      </c>
      <c r="D1486" s="103" t="s">
        <v>379</v>
      </c>
      <c r="E1486" s="44"/>
      <c r="F1486" s="149">
        <v>141712532.88738</v>
      </c>
      <c r="G1486" s="105" t="s">
        <v>160</v>
      </c>
      <c r="H1486" s="172">
        <f>141712532.89+100000000</f>
        <v>241712532.88999999</v>
      </c>
      <c r="I1486" s="35" t="s">
        <v>1009</v>
      </c>
      <c r="J1486" s="37">
        <f t="shared" si="86"/>
        <v>-100000000.00261998</v>
      </c>
      <c r="K1486" s="234">
        <f t="shared" si="87"/>
        <v>583182994.392138</v>
      </c>
      <c r="L1486" s="60"/>
      <c r="M1486" s="41"/>
      <c r="N1486" s="41"/>
      <c r="O1486" s="110">
        <f>L1485-O1485</f>
        <v>-1684388.1461336501</v>
      </c>
    </row>
    <row r="1487" spans="1:15" s="7" customFormat="1" ht="18.75">
      <c r="A1487" s="81"/>
      <c r="B1487" s="57"/>
      <c r="C1487" s="62" t="s">
        <v>162</v>
      </c>
      <c r="D1487" s="103" t="s">
        <v>381</v>
      </c>
      <c r="E1487" s="44"/>
      <c r="F1487" s="149">
        <v>172661989.51404902</v>
      </c>
      <c r="G1487" s="105" t="s">
        <v>164</v>
      </c>
      <c r="H1487" s="172">
        <v>272662304.50999999</v>
      </c>
      <c r="I1487" s="35" t="s">
        <v>161</v>
      </c>
      <c r="J1487" s="37">
        <f t="shared" si="86"/>
        <v>-100000314.99595097</v>
      </c>
      <c r="K1487" s="234">
        <f t="shared" si="87"/>
        <v>483182994.38951802</v>
      </c>
      <c r="L1487" s="60"/>
      <c r="M1487" s="41"/>
      <c r="N1487" s="41"/>
      <c r="O1487" s="41">
        <v>102435060.75386636</v>
      </c>
    </row>
    <row r="1488" spans="1:15" s="7" customFormat="1" ht="18.75">
      <c r="A1488" s="81"/>
      <c r="B1488" s="57"/>
      <c r="C1488" s="62" t="s">
        <v>166</v>
      </c>
      <c r="D1488" s="103" t="s">
        <v>383</v>
      </c>
      <c r="E1488" s="44"/>
      <c r="F1488" s="149">
        <v>121916250.89062649</v>
      </c>
      <c r="G1488" s="105" t="s">
        <v>168</v>
      </c>
      <c r="H1488" s="172">
        <f>121916408.39+102435060.75</f>
        <v>224351469.13999999</v>
      </c>
      <c r="I1488" s="35" t="s">
        <v>165</v>
      </c>
      <c r="J1488" s="37">
        <f t="shared" si="86"/>
        <v>-102435218.2493735</v>
      </c>
      <c r="K1488" s="234">
        <f t="shared" si="87"/>
        <v>383182679.39356709</v>
      </c>
      <c r="L1488" s="60"/>
      <c r="M1488" s="41"/>
      <c r="N1488" s="41"/>
      <c r="O1488" s="41"/>
    </row>
    <row r="1489" spans="1:15" s="7" customFormat="1" ht="18.75">
      <c r="A1489" s="81"/>
      <c r="B1489" s="57"/>
      <c r="C1489" s="62" t="s">
        <v>170</v>
      </c>
      <c r="D1489" s="103" t="s">
        <v>384</v>
      </c>
      <c r="E1489" s="44"/>
      <c r="F1489" s="149">
        <v>153517498.175769</v>
      </c>
      <c r="G1489" s="105" t="s">
        <v>172</v>
      </c>
      <c r="H1489" s="172">
        <f>153517498.18+100000000</f>
        <v>253517498.18000001</v>
      </c>
      <c r="I1489" s="35" t="s">
        <v>274</v>
      </c>
      <c r="J1489" s="37">
        <f t="shared" si="86"/>
        <v>-100000000.00423101</v>
      </c>
      <c r="K1489" s="234">
        <f t="shared" si="87"/>
        <v>280747461.14419359</v>
      </c>
      <c r="L1489" s="60"/>
      <c r="M1489" s="41"/>
      <c r="N1489" s="41"/>
      <c r="O1489" s="41"/>
    </row>
    <row r="1490" spans="1:15" s="7" customFormat="1" ht="18.75">
      <c r="A1490" s="81"/>
      <c r="B1490" s="57"/>
      <c r="C1490" s="62" t="s">
        <v>174</v>
      </c>
      <c r="D1490" s="103" t="s">
        <v>385</v>
      </c>
      <c r="E1490" s="44"/>
      <c r="F1490" s="149">
        <v>116254241.32398301</v>
      </c>
      <c r="G1490" s="105" t="s">
        <v>176</v>
      </c>
      <c r="H1490" s="172">
        <f>50000000+116254241.32</f>
        <v>166254241.31999999</v>
      </c>
      <c r="I1490" s="35" t="s">
        <v>593</v>
      </c>
      <c r="J1490" s="37">
        <f t="shared" si="86"/>
        <v>-49999999.996016979</v>
      </c>
      <c r="K1490" s="234">
        <f t="shared" si="87"/>
        <v>180747461.13996258</v>
      </c>
      <c r="L1490" s="60"/>
      <c r="M1490" s="41"/>
      <c r="N1490" s="41"/>
      <c r="O1490" s="41"/>
    </row>
    <row r="1491" spans="1:15" s="7" customFormat="1" ht="18.75">
      <c r="A1491" s="81"/>
      <c r="B1491" s="57"/>
      <c r="C1491" s="62" t="s">
        <v>178</v>
      </c>
      <c r="D1491" s="103" t="s">
        <v>386</v>
      </c>
      <c r="E1491" s="44"/>
      <c r="F1491" s="149">
        <v>151150473.30206251</v>
      </c>
      <c r="G1491" s="105" t="s">
        <v>179</v>
      </c>
      <c r="H1491" s="172">
        <f>151150473.31+50000000</f>
        <v>201150473.31</v>
      </c>
      <c r="I1491" s="35" t="s">
        <v>1377</v>
      </c>
      <c r="J1491" s="37">
        <f t="shared" si="86"/>
        <v>-50000000.007937491</v>
      </c>
      <c r="K1491" s="234">
        <f t="shared" si="87"/>
        <v>130747461.1439456</v>
      </c>
      <c r="L1491" s="60"/>
      <c r="M1491" s="41"/>
      <c r="N1491" s="41"/>
      <c r="O1491" s="41"/>
    </row>
    <row r="1492" spans="1:15" s="7" customFormat="1" ht="18.75">
      <c r="A1492" s="81"/>
      <c r="B1492" s="57"/>
      <c r="C1492" s="62" t="s">
        <v>181</v>
      </c>
      <c r="D1492" s="103" t="s">
        <v>388</v>
      </c>
      <c r="E1492" s="44"/>
      <c r="F1492" s="149">
        <v>123316266.41916752</v>
      </c>
      <c r="G1492" s="105" t="s">
        <v>183</v>
      </c>
      <c r="H1492" s="172">
        <f>11984811.38+38015188.62+123316266.42</f>
        <v>173316266.42000002</v>
      </c>
      <c r="I1492" s="35" t="s">
        <v>1066</v>
      </c>
      <c r="J1492" s="37">
        <f t="shared" si="86"/>
        <v>-50000000.000832498</v>
      </c>
      <c r="K1492" s="234">
        <f t="shared" si="87"/>
        <v>80747461.136008114</v>
      </c>
      <c r="L1492" s="60"/>
      <c r="M1492" s="41"/>
      <c r="N1492" s="41"/>
      <c r="O1492" s="41"/>
    </row>
    <row r="1493" spans="1:15" s="7" customFormat="1" ht="18.75">
      <c r="A1493" s="81"/>
      <c r="B1493" s="57"/>
      <c r="C1493" s="62" t="s">
        <v>185</v>
      </c>
      <c r="D1493" s="103" t="s">
        <v>39</v>
      </c>
      <c r="E1493" s="44"/>
      <c r="F1493" s="149">
        <v>251363810.96433598</v>
      </c>
      <c r="G1493" s="105" t="s">
        <v>187</v>
      </c>
      <c r="H1493" s="121">
        <v>251363810.96433598</v>
      </c>
      <c r="I1493" s="35" t="s">
        <v>597</v>
      </c>
      <c r="J1493" s="37">
        <f t="shared" si="86"/>
        <v>0</v>
      </c>
      <c r="K1493" s="234">
        <f t="shared" si="87"/>
        <v>30747461.135175616</v>
      </c>
      <c r="L1493" s="60"/>
      <c r="M1493" s="41"/>
      <c r="N1493" s="41"/>
      <c r="O1493" s="41"/>
    </row>
    <row r="1494" spans="1:15" s="7" customFormat="1" ht="18.75">
      <c r="A1494" s="81"/>
      <c r="B1494" s="57"/>
      <c r="C1494" s="62" t="s">
        <v>189</v>
      </c>
      <c r="D1494" s="103" t="s">
        <v>390</v>
      </c>
      <c r="E1494" s="44"/>
      <c r="F1494" s="149">
        <v>418091426.22671098</v>
      </c>
      <c r="G1494" s="105" t="s">
        <v>190</v>
      </c>
      <c r="H1494" s="121">
        <f>100000000+290000000</f>
        <v>390000000</v>
      </c>
      <c r="I1494" s="35" t="s">
        <v>784</v>
      </c>
      <c r="J1494" s="37">
        <f t="shared" si="86"/>
        <v>28091426.226710975</v>
      </c>
      <c r="K1494" s="234">
        <f t="shared" si="87"/>
        <v>30747461.135175616</v>
      </c>
      <c r="L1494" s="60"/>
      <c r="M1494" s="41"/>
      <c r="N1494" s="41"/>
      <c r="O1494" s="41"/>
    </row>
    <row r="1495" spans="1:15" s="7" customFormat="1" ht="18.75">
      <c r="A1495" s="81"/>
      <c r="B1495" s="57"/>
      <c r="C1495" s="62" t="s">
        <v>191</v>
      </c>
      <c r="D1495" s="103" t="s">
        <v>392</v>
      </c>
      <c r="E1495" s="44">
        <v>43986</v>
      </c>
      <c r="F1495" s="149">
        <v>193411625.96245345</v>
      </c>
      <c r="G1495" s="105" t="s">
        <v>193</v>
      </c>
      <c r="H1495" s="121">
        <f>89662538.03+89177510.52</f>
        <v>178840048.55000001</v>
      </c>
      <c r="I1495" s="35" t="s">
        <v>1378</v>
      </c>
      <c r="J1495" s="37">
        <f t="shared" si="86"/>
        <v>14571577.412453443</v>
      </c>
      <c r="K1495" s="234">
        <f t="shared" si="87"/>
        <v>58838887.361886591</v>
      </c>
      <c r="L1495" s="60"/>
      <c r="M1495" s="41"/>
      <c r="N1495" s="41"/>
      <c r="O1495" s="41"/>
    </row>
    <row r="1496" spans="1:15" s="7" customFormat="1" ht="18.75">
      <c r="A1496" s="81"/>
      <c r="B1496" s="57"/>
      <c r="C1496" s="62" t="s">
        <v>195</v>
      </c>
      <c r="D1496" s="103" t="s">
        <v>393</v>
      </c>
      <c r="E1496" s="44" t="s">
        <v>197</v>
      </c>
      <c r="F1496" s="149">
        <v>85056461.9365125</v>
      </c>
      <c r="G1496" s="105" t="s">
        <v>198</v>
      </c>
      <c r="H1496" s="121">
        <f>33512903.44+45609386.73</f>
        <v>79122290.170000002</v>
      </c>
      <c r="I1496" s="35" t="s">
        <v>1378</v>
      </c>
      <c r="J1496" s="37">
        <f t="shared" si="86"/>
        <v>5934171.7665124983</v>
      </c>
      <c r="K1496" s="234">
        <f t="shared" si="87"/>
        <v>73410464.774340034</v>
      </c>
      <c r="L1496" s="60"/>
      <c r="M1496" s="41"/>
      <c r="N1496" s="41"/>
      <c r="O1496" s="41"/>
    </row>
    <row r="1497" spans="1:15" s="7" customFormat="1" ht="18.75">
      <c r="A1497" s="81"/>
      <c r="B1497" s="57"/>
      <c r="C1497" s="62" t="s">
        <v>199</v>
      </c>
      <c r="D1497" s="103" t="s">
        <v>528</v>
      </c>
      <c r="E1497" s="44">
        <v>44049</v>
      </c>
      <c r="F1497" s="149">
        <v>148912038.16608003</v>
      </c>
      <c r="G1497" s="105">
        <v>43897</v>
      </c>
      <c r="H1497" s="121">
        <v>105390613.27</v>
      </c>
      <c r="I1497" s="35" t="s">
        <v>287</v>
      </c>
      <c r="J1497" s="37">
        <f t="shared" si="86"/>
        <v>43521424.896080032</v>
      </c>
      <c r="K1497" s="234">
        <f t="shared" si="87"/>
        <v>79344636.540852532</v>
      </c>
      <c r="L1497" s="60"/>
      <c r="M1497" s="41"/>
      <c r="N1497" s="41"/>
      <c r="O1497" s="41"/>
    </row>
    <row r="1498" spans="1:15" s="7" customFormat="1" ht="18.75">
      <c r="A1498" s="81"/>
      <c r="B1498" s="57"/>
      <c r="C1498" s="62" t="s">
        <v>201</v>
      </c>
      <c r="D1498" s="103" t="s">
        <v>35</v>
      </c>
      <c r="E1498" s="44" t="s">
        <v>449</v>
      </c>
      <c r="F1498" s="149">
        <v>90025228.171409994</v>
      </c>
      <c r="G1498" s="105">
        <v>43929</v>
      </c>
      <c r="H1498" s="121">
        <v>90025228.170000002</v>
      </c>
      <c r="I1498" s="35" t="s">
        <v>288</v>
      </c>
      <c r="J1498" s="37">
        <f t="shared" si="86"/>
        <v>1.4099925756454468E-3</v>
      </c>
      <c r="K1498" s="234">
        <f t="shared" si="87"/>
        <v>122866061.43693256</v>
      </c>
      <c r="L1498" s="60"/>
      <c r="M1498" s="41"/>
      <c r="N1498" s="41"/>
      <c r="O1498" s="41"/>
    </row>
    <row r="1499" spans="1:15" s="7" customFormat="1" ht="18.75">
      <c r="A1499" s="81"/>
      <c r="B1499" s="57"/>
      <c r="C1499" s="62" t="s">
        <v>203</v>
      </c>
      <c r="D1499" s="103" t="s">
        <v>530</v>
      </c>
      <c r="E1499" s="44">
        <v>44112</v>
      </c>
      <c r="F1499" s="149">
        <v>113030426.15313226</v>
      </c>
      <c r="G1499" s="105" t="s">
        <v>205</v>
      </c>
      <c r="H1499" s="121">
        <v>113030426.16</v>
      </c>
      <c r="I1499" s="35" t="s">
        <v>291</v>
      </c>
      <c r="J1499" s="37">
        <f t="shared" si="86"/>
        <v>-6.8677365779876709E-3</v>
      </c>
      <c r="K1499" s="234">
        <f t="shared" si="87"/>
        <v>122866061.43834256</v>
      </c>
      <c r="L1499" s="60"/>
      <c r="M1499" s="41"/>
      <c r="N1499" s="41"/>
      <c r="O1499" s="41"/>
    </row>
    <row r="1500" spans="1:15" s="7" customFormat="1" ht="18.75">
      <c r="A1500" s="81"/>
      <c r="B1500" s="57"/>
      <c r="C1500" s="62" t="s">
        <v>207</v>
      </c>
      <c r="D1500" s="103" t="s">
        <v>532</v>
      </c>
      <c r="E1500" s="44" t="s">
        <v>292</v>
      </c>
      <c r="F1500" s="149">
        <v>56411787.516480006</v>
      </c>
      <c r="G1500" s="105" t="s">
        <v>293</v>
      </c>
      <c r="H1500" s="121">
        <v>179633971.44</v>
      </c>
      <c r="I1500" s="35" t="s">
        <v>294</v>
      </c>
      <c r="J1500" s="37">
        <f t="shared" si="86"/>
        <v>-123222183.92352</v>
      </c>
      <c r="K1500" s="234">
        <f t="shared" si="87"/>
        <v>122866061.43147482</v>
      </c>
      <c r="L1500" s="60"/>
      <c r="M1500" s="41"/>
      <c r="N1500" s="41"/>
      <c r="O1500" s="41"/>
    </row>
    <row r="1501" spans="1:15" s="7" customFormat="1" ht="18.75">
      <c r="A1501" s="81"/>
      <c r="B1501" s="57"/>
      <c r="C1501" s="62" t="s">
        <v>212</v>
      </c>
      <c r="D1501" s="103" t="s">
        <v>534</v>
      </c>
      <c r="E1501" s="44">
        <v>44084</v>
      </c>
      <c r="F1501" s="149">
        <v>65170932.084744744</v>
      </c>
      <c r="G1501" s="105" t="s">
        <v>213</v>
      </c>
      <c r="H1501" s="121">
        <v>27894888.760000002</v>
      </c>
      <c r="I1501" s="35" t="s">
        <v>295</v>
      </c>
      <c r="J1501" s="37">
        <f t="shared" si="86"/>
        <v>37276043.324744746</v>
      </c>
      <c r="K1501" s="234">
        <f t="shared" si="87"/>
        <v>-356122.49204517901</v>
      </c>
      <c r="L1501" s="60"/>
      <c r="M1501" s="41"/>
      <c r="N1501" s="41"/>
      <c r="O1501" s="41"/>
    </row>
    <row r="1502" spans="1:15" s="7" customFormat="1" ht="18.75">
      <c r="A1502" s="81"/>
      <c r="B1502" s="57"/>
      <c r="C1502" s="62" t="s">
        <v>214</v>
      </c>
      <c r="D1502" s="103" t="s">
        <v>535</v>
      </c>
      <c r="E1502" s="44">
        <v>43962</v>
      </c>
      <c r="F1502" s="149">
        <v>100485500.66878952</v>
      </c>
      <c r="G1502" s="105" t="s">
        <v>216</v>
      </c>
      <c r="H1502" s="121">
        <v>157518416.09</v>
      </c>
      <c r="I1502" s="35" t="s">
        <v>295</v>
      </c>
      <c r="J1502" s="37">
        <f>F1502-H1502</f>
        <v>-57032915.421210483</v>
      </c>
      <c r="K1502" s="234">
        <f t="shared" si="87"/>
        <v>36919920.832699567</v>
      </c>
      <c r="L1502" s="60"/>
      <c r="M1502" s="41"/>
      <c r="N1502" s="41"/>
      <c r="O1502" s="41"/>
    </row>
    <row r="1503" spans="1:15" s="7" customFormat="1" ht="18.75">
      <c r="A1503" s="81"/>
      <c r="B1503" s="57"/>
      <c r="C1503" s="62" t="s">
        <v>218</v>
      </c>
      <c r="D1503" s="103" t="s">
        <v>536</v>
      </c>
      <c r="E1503" s="44">
        <v>44024</v>
      </c>
      <c r="F1503" s="149">
        <v>179633971.44175726</v>
      </c>
      <c r="G1503" s="105">
        <v>44531</v>
      </c>
      <c r="H1503" s="121">
        <v>193417944.81</v>
      </c>
      <c r="I1503" s="35" t="s">
        <v>297</v>
      </c>
      <c r="J1503" s="37">
        <f>F1503-H1503</f>
        <v>-13783973.368242741</v>
      </c>
      <c r="K1503" s="234">
        <f t="shared" si="87"/>
        <v>-20112994.588510916</v>
      </c>
      <c r="L1503" s="60"/>
      <c r="M1503" s="41"/>
      <c r="N1503" s="41"/>
      <c r="O1503" s="41"/>
    </row>
    <row r="1504" spans="1:15" s="7" customFormat="1" ht="18.75">
      <c r="A1504" s="81"/>
      <c r="B1504" s="57"/>
      <c r="C1504" s="62" t="s">
        <v>219</v>
      </c>
      <c r="D1504" s="103" t="s">
        <v>538</v>
      </c>
      <c r="E1504" s="44">
        <v>44409</v>
      </c>
      <c r="F1504" s="149">
        <v>157518416.08384201</v>
      </c>
      <c r="G1504" s="105" t="s">
        <v>220</v>
      </c>
      <c r="H1504" s="121">
        <v>177139631.50999999</v>
      </c>
      <c r="I1504" s="44">
        <v>44200</v>
      </c>
      <c r="J1504" s="37">
        <f>F1504-H1504</f>
        <v>-19621215.426157981</v>
      </c>
      <c r="K1504" s="234">
        <f t="shared" si="87"/>
        <v>-33896967.956753656</v>
      </c>
      <c r="L1504" s="60"/>
      <c r="M1504" s="41"/>
      <c r="N1504" s="41"/>
      <c r="O1504" s="41"/>
    </row>
    <row r="1505" spans="1:15" s="7" customFormat="1" ht="18.75">
      <c r="A1505" s="81"/>
      <c r="B1505" s="57"/>
      <c r="C1505" s="62" t="s">
        <v>221</v>
      </c>
      <c r="D1505" s="103" t="s">
        <v>43</v>
      </c>
      <c r="E1505" s="44">
        <v>44441</v>
      </c>
      <c r="F1505" s="149">
        <v>193417844.81557724</v>
      </c>
      <c r="G1505" s="105" t="s">
        <v>27</v>
      </c>
      <c r="H1505" s="121">
        <v>57164652.829999998</v>
      </c>
      <c r="I1505" s="35" t="s">
        <v>300</v>
      </c>
      <c r="J1505" s="37">
        <f>F1505-H1505</f>
        <v>136253191.98557723</v>
      </c>
      <c r="K1505" s="234">
        <f t="shared" si="87"/>
        <v>-53518183.382911637</v>
      </c>
      <c r="L1505" s="60"/>
      <c r="M1505" s="41"/>
      <c r="N1505" s="41"/>
      <c r="O1505" s="41"/>
    </row>
    <row r="1506" spans="1:15" s="7" customFormat="1" ht="18.75">
      <c r="A1506" s="81"/>
      <c r="B1506" s="57"/>
      <c r="C1506" s="62" t="s">
        <v>222</v>
      </c>
      <c r="D1506" s="103" t="s">
        <v>540</v>
      </c>
      <c r="E1506" s="44">
        <v>44472</v>
      </c>
      <c r="F1506" s="149">
        <v>177139631.51225549</v>
      </c>
      <c r="G1506" s="105" t="s">
        <v>391</v>
      </c>
      <c r="H1506" s="121"/>
      <c r="I1506" s="35"/>
      <c r="J1506" s="37">
        <f>F1506-H1506</f>
        <v>177139631.51225549</v>
      </c>
      <c r="K1506" s="234">
        <f t="shared" si="87"/>
        <v>82735008.602665588</v>
      </c>
      <c r="L1506" s="60"/>
      <c r="M1506" s="41"/>
      <c r="N1506" s="41"/>
      <c r="O1506" s="41"/>
    </row>
    <row r="1507" spans="1:15" s="7" customFormat="1" ht="18.75">
      <c r="A1507" s="81"/>
      <c r="B1507" s="57" t="s">
        <v>1397</v>
      </c>
      <c r="C1507" s="57"/>
      <c r="D1507" s="32"/>
      <c r="E1507" s="44"/>
      <c r="F1507" s="34"/>
      <c r="G1507" s="35"/>
      <c r="H1507" s="47"/>
      <c r="I1507" s="35"/>
      <c r="J1507" s="37"/>
      <c r="K1507" s="235">
        <f t="shared" si="87"/>
        <v>259874640.11492109</v>
      </c>
      <c r="L1507" s="60"/>
      <c r="M1507" s="41"/>
      <c r="N1507" s="41"/>
      <c r="O1507" s="41"/>
    </row>
    <row r="1508" spans="1:15" s="7" customFormat="1" ht="18.75">
      <c r="A1508" s="81"/>
      <c r="B1508" s="57"/>
      <c r="C1508" s="57"/>
      <c r="D1508" s="32"/>
      <c r="E1508" s="44"/>
      <c r="F1508" s="34"/>
      <c r="G1508" s="35"/>
      <c r="H1508" s="47"/>
      <c r="I1508" s="35"/>
      <c r="J1508" s="37"/>
      <c r="K1508" s="235"/>
      <c r="L1508" s="60"/>
      <c r="M1508" s="41"/>
      <c r="N1508" s="41"/>
      <c r="O1508" s="41"/>
    </row>
    <row r="1509" spans="1:15" s="7" customFormat="1" ht="18.75">
      <c r="A1509" s="56">
        <v>39</v>
      </c>
      <c r="B1509" s="57" t="s">
        <v>1398</v>
      </c>
      <c r="C1509" s="31" t="s">
        <v>1399</v>
      </c>
      <c r="D1509" s="32" t="s">
        <v>1400</v>
      </c>
      <c r="E1509" s="44"/>
      <c r="F1509" s="34">
        <v>9601505.2158650085</v>
      </c>
      <c r="G1509" s="35"/>
      <c r="H1509" s="36">
        <v>0</v>
      </c>
      <c r="I1509" s="35"/>
      <c r="J1509" s="37">
        <f>F1509-H1509</f>
        <v>9601505.2158650085</v>
      </c>
      <c r="K1509" s="79"/>
      <c r="L1509" s="39"/>
      <c r="M1509" s="40"/>
      <c r="N1509" s="40"/>
      <c r="O1509" s="41"/>
    </row>
    <row r="1510" spans="1:15" s="7" customFormat="1" ht="18.75">
      <c r="A1510" s="56"/>
      <c r="B1510" s="57"/>
      <c r="C1510" s="31" t="s">
        <v>1401</v>
      </c>
      <c r="D1510" s="32" t="s">
        <v>775</v>
      </c>
      <c r="E1510" s="44"/>
      <c r="F1510" s="34">
        <v>22528721.229000002</v>
      </c>
      <c r="G1510" s="35" t="s">
        <v>1402</v>
      </c>
      <c r="H1510" s="47">
        <v>18938047.379999999</v>
      </c>
      <c r="I1510" s="35"/>
      <c r="J1510" s="37">
        <f>F1510-H1510</f>
        <v>3590673.8490000032</v>
      </c>
      <c r="K1510" s="73">
        <f>K1509+J1509</f>
        <v>9601505.2158650085</v>
      </c>
      <c r="L1510" s="39"/>
      <c r="M1510" s="40"/>
      <c r="N1510" s="40"/>
      <c r="O1510" s="41"/>
    </row>
    <row r="1511" spans="1:15" s="7" customFormat="1" ht="18.75">
      <c r="A1511" s="56"/>
      <c r="B1511" s="236"/>
      <c r="C1511" s="41" t="s">
        <v>398</v>
      </c>
      <c r="D1511" s="32" t="s">
        <v>289</v>
      </c>
      <c r="E1511" s="44"/>
      <c r="F1511" s="34">
        <v>21075254.550000001</v>
      </c>
      <c r="G1511" s="76" t="s">
        <v>400</v>
      </c>
      <c r="H1511" s="36">
        <v>15476472.289999999</v>
      </c>
      <c r="I1511" s="35"/>
      <c r="J1511" s="37">
        <f t="shared" ref="J1511:J1571" si="88">F1511-H1511</f>
        <v>5598782.2600000016</v>
      </c>
      <c r="K1511" s="73">
        <f>K1510+J1510</f>
        <v>13192179.064865012</v>
      </c>
      <c r="L1511" s="39"/>
      <c r="M1511" s="40"/>
      <c r="N1511" s="40"/>
      <c r="O1511" s="41"/>
    </row>
    <row r="1512" spans="1:15" s="7" customFormat="1" ht="18.75">
      <c r="A1512" s="56"/>
      <c r="B1512" s="57"/>
      <c r="C1512" s="41" t="s">
        <v>1403</v>
      </c>
      <c r="D1512" s="32" t="s">
        <v>777</v>
      </c>
      <c r="E1512" s="44"/>
      <c r="F1512" s="34">
        <v>22528721.23</v>
      </c>
      <c r="G1512" s="76" t="s">
        <v>1404</v>
      </c>
      <c r="H1512" s="47">
        <v>13279717.73</v>
      </c>
      <c r="I1512" s="35"/>
      <c r="J1512" s="37">
        <f t="shared" si="88"/>
        <v>9249003.5</v>
      </c>
      <c r="K1512" s="73">
        <f t="shared" ref="K1512:K1572" si="89">K1511+J1511</f>
        <v>18790961.324865013</v>
      </c>
      <c r="L1512" s="39"/>
      <c r="M1512" s="40"/>
      <c r="N1512" s="40"/>
      <c r="O1512" s="41"/>
    </row>
    <row r="1513" spans="1:15" s="7" customFormat="1" ht="18.75">
      <c r="A1513" s="56"/>
      <c r="B1513" s="57"/>
      <c r="C1513" s="41" t="s">
        <v>401</v>
      </c>
      <c r="D1513" s="32" t="s">
        <v>74</v>
      </c>
      <c r="E1513" s="44"/>
      <c r="F1513" s="34">
        <v>21801987.890000001</v>
      </c>
      <c r="G1513" s="76" t="s">
        <v>1405</v>
      </c>
      <c r="H1513" s="47">
        <v>14673128.439999999</v>
      </c>
      <c r="I1513" s="35"/>
      <c r="J1513" s="37">
        <f t="shared" si="88"/>
        <v>7128859.4500000011</v>
      </c>
      <c r="K1513" s="73">
        <f t="shared" si="89"/>
        <v>28039964.824865013</v>
      </c>
      <c r="L1513" s="39"/>
      <c r="M1513" s="40"/>
      <c r="N1513" s="40"/>
      <c r="O1513" s="41"/>
    </row>
    <row r="1514" spans="1:15" s="7" customFormat="1" ht="18.75">
      <c r="A1514" s="56"/>
      <c r="B1514" s="57"/>
      <c r="C1514" s="74" t="s">
        <v>404</v>
      </c>
      <c r="D1514" s="32" t="s">
        <v>296</v>
      </c>
      <c r="E1514" s="44"/>
      <c r="F1514" s="34">
        <v>22528721.23</v>
      </c>
      <c r="G1514" s="76" t="s">
        <v>1406</v>
      </c>
      <c r="H1514" s="237">
        <v>14200688.5</v>
      </c>
      <c r="I1514" s="238"/>
      <c r="J1514" s="37">
        <f t="shared" si="88"/>
        <v>8328032.7300000004</v>
      </c>
      <c r="K1514" s="73">
        <f t="shared" si="89"/>
        <v>35168824.274865016</v>
      </c>
      <c r="L1514" s="39"/>
      <c r="M1514" s="40"/>
      <c r="N1514" s="40"/>
      <c r="O1514" s="41"/>
    </row>
    <row r="1515" spans="1:15" s="7" customFormat="1" ht="18.75">
      <c r="A1515" s="56"/>
      <c r="B1515" s="57"/>
      <c r="C1515" s="41" t="s">
        <v>406</v>
      </c>
      <c r="D1515" s="32" t="s">
        <v>296</v>
      </c>
      <c r="E1515" s="44"/>
      <c r="F1515" s="34">
        <v>22739981.02</v>
      </c>
      <c r="G1515" s="76" t="s">
        <v>1407</v>
      </c>
      <c r="H1515" s="47">
        <v>15803344.17</v>
      </c>
      <c r="I1515" s="35"/>
      <c r="J1515" s="37">
        <f t="shared" si="88"/>
        <v>6936636.8499999996</v>
      </c>
      <c r="K1515" s="73">
        <f t="shared" si="89"/>
        <v>43496857.004865021</v>
      </c>
      <c r="L1515" s="39"/>
      <c r="M1515" s="40"/>
      <c r="N1515" s="40"/>
      <c r="O1515" s="41"/>
    </row>
    <row r="1516" spans="1:15" s="7" customFormat="1" ht="18.75">
      <c r="A1516" s="56"/>
      <c r="B1516" s="57"/>
      <c r="C1516" s="41" t="s">
        <v>409</v>
      </c>
      <c r="D1516" s="32" t="s">
        <v>298</v>
      </c>
      <c r="E1516" s="44"/>
      <c r="F1516" s="34">
        <v>27136692.460000001</v>
      </c>
      <c r="G1516" s="76" t="s">
        <v>1408</v>
      </c>
      <c r="H1516" s="47">
        <v>17201161.510000002</v>
      </c>
      <c r="I1516" s="35">
        <v>42684</v>
      </c>
      <c r="J1516" s="37">
        <f t="shared" si="88"/>
        <v>9935530.9499999993</v>
      </c>
      <c r="K1516" s="73">
        <f t="shared" si="89"/>
        <v>50433493.854865022</v>
      </c>
      <c r="L1516" s="39"/>
      <c r="M1516" s="40"/>
      <c r="N1516" s="40"/>
      <c r="O1516" s="41"/>
    </row>
    <row r="1517" spans="1:15" s="7" customFormat="1" ht="18.75">
      <c r="A1517" s="56"/>
      <c r="B1517" s="57"/>
      <c r="C1517" s="41" t="s">
        <v>411</v>
      </c>
      <c r="D1517" s="32" t="s">
        <v>299</v>
      </c>
      <c r="E1517" s="44"/>
      <c r="F1517" s="34">
        <v>30751581.530000001</v>
      </c>
      <c r="G1517" s="76" t="s">
        <v>1409</v>
      </c>
      <c r="H1517" s="47">
        <v>19844616.66</v>
      </c>
      <c r="I1517" s="35">
        <v>42685</v>
      </c>
      <c r="J1517" s="37">
        <f t="shared" si="88"/>
        <v>10906964.870000001</v>
      </c>
      <c r="K1517" s="73">
        <f t="shared" si="89"/>
        <v>60369024.804865018</v>
      </c>
      <c r="L1517" s="39"/>
      <c r="M1517" s="40"/>
      <c r="N1517" s="40"/>
      <c r="O1517" s="41"/>
    </row>
    <row r="1518" spans="1:15" s="7" customFormat="1" ht="18.75">
      <c r="A1518" s="56"/>
      <c r="B1518" s="57"/>
      <c r="C1518" s="239" t="s">
        <v>1410</v>
      </c>
      <c r="D1518" s="32" t="s">
        <v>29</v>
      </c>
      <c r="E1518" s="44"/>
      <c r="F1518" s="34">
        <v>33812572.93</v>
      </c>
      <c r="G1518" s="76" t="s">
        <v>1411</v>
      </c>
      <c r="H1518" s="47">
        <v>13321792.380000001</v>
      </c>
      <c r="I1518" s="35">
        <v>42594</v>
      </c>
      <c r="J1518" s="37">
        <f t="shared" si="88"/>
        <v>20490780.549999997</v>
      </c>
      <c r="K1518" s="73">
        <f t="shared" si="89"/>
        <v>71275989.674865022</v>
      </c>
      <c r="L1518" s="39"/>
      <c r="M1518" s="40"/>
      <c r="N1518" s="40"/>
      <c r="O1518" s="41"/>
    </row>
    <row r="1519" spans="1:15" s="7" customFormat="1" ht="18.75">
      <c r="A1519" s="56"/>
      <c r="B1519" s="57"/>
      <c r="C1519" s="41" t="s">
        <v>1412</v>
      </c>
      <c r="D1519" s="32" t="s">
        <v>301</v>
      </c>
      <c r="E1519" s="44"/>
      <c r="F1519" s="34">
        <v>34939659.32</v>
      </c>
      <c r="G1519" s="75">
        <v>42563</v>
      </c>
      <c r="H1519" s="47">
        <v>13088743.4</v>
      </c>
      <c r="I1519" s="35" t="s">
        <v>1413</v>
      </c>
      <c r="J1519" s="37">
        <f t="shared" si="88"/>
        <v>21850915.920000002</v>
      </c>
      <c r="K1519" s="73">
        <f t="shared" si="89"/>
        <v>91766770.224865019</v>
      </c>
      <c r="L1519" s="39"/>
      <c r="M1519" s="40"/>
      <c r="N1519" s="40"/>
      <c r="O1519" s="41"/>
    </row>
    <row r="1520" spans="1:15" s="7" customFormat="1" ht="18.75">
      <c r="A1520" s="56"/>
      <c r="B1520" s="57"/>
      <c r="C1520" s="66" t="s">
        <v>609</v>
      </c>
      <c r="D1520" s="32" t="s">
        <v>313</v>
      </c>
      <c r="E1520" s="44"/>
      <c r="F1520" s="34">
        <v>33840235.656989999</v>
      </c>
      <c r="G1520" s="75"/>
      <c r="H1520" s="47">
        <v>15486091.060000001</v>
      </c>
      <c r="I1520" s="35" t="s">
        <v>1414</v>
      </c>
      <c r="J1520" s="37">
        <f t="shared" si="88"/>
        <v>18354144.596989997</v>
      </c>
      <c r="K1520" s="73">
        <f t="shared" si="89"/>
        <v>113617686.14486502</v>
      </c>
      <c r="L1520" s="39"/>
      <c r="M1520" s="40"/>
      <c r="N1520" s="40"/>
      <c r="O1520" s="41"/>
    </row>
    <row r="1521" spans="1:15" s="7" customFormat="1" ht="18.75">
      <c r="A1521" s="56"/>
      <c r="B1521" s="57"/>
      <c r="C1521" s="41" t="s">
        <v>611</v>
      </c>
      <c r="D1521" s="32" t="s">
        <v>314</v>
      </c>
      <c r="E1521" s="44"/>
      <c r="F1521" s="34">
        <v>37428441.670000002</v>
      </c>
      <c r="G1521" s="75"/>
      <c r="H1521" s="240">
        <v>24153327.34</v>
      </c>
      <c r="I1521" s="35" t="s">
        <v>1415</v>
      </c>
      <c r="J1521" s="37">
        <f t="shared" si="88"/>
        <v>13275114.330000002</v>
      </c>
      <c r="K1521" s="73">
        <f t="shared" si="89"/>
        <v>131971830.74185503</v>
      </c>
      <c r="L1521" s="39"/>
      <c r="M1521" s="40"/>
      <c r="N1521" s="40"/>
      <c r="O1521" s="41"/>
    </row>
    <row r="1522" spans="1:15" s="7" customFormat="1" ht="18.75">
      <c r="A1522" s="56"/>
      <c r="B1522" s="57"/>
      <c r="C1522" s="29" t="s">
        <v>614</v>
      </c>
      <c r="D1522" s="32" t="s">
        <v>316</v>
      </c>
      <c r="E1522" s="44"/>
      <c r="F1522" s="34">
        <v>35242130.210000001</v>
      </c>
      <c r="G1522" s="119" t="s">
        <v>612</v>
      </c>
      <c r="H1522" s="47">
        <v>43616528.039999999</v>
      </c>
      <c r="I1522" s="35">
        <v>42852</v>
      </c>
      <c r="J1522" s="37">
        <f t="shared" si="88"/>
        <v>-8374397.8299999982</v>
      </c>
      <c r="K1522" s="73">
        <f t="shared" si="89"/>
        <v>145246945.07185504</v>
      </c>
      <c r="L1522" s="39"/>
      <c r="M1522" s="40"/>
      <c r="N1522" s="40"/>
      <c r="O1522" s="41"/>
    </row>
    <row r="1523" spans="1:15" s="7" customFormat="1" ht="18.75">
      <c r="A1523" s="56"/>
      <c r="B1523" s="57"/>
      <c r="C1523" s="29" t="s">
        <v>489</v>
      </c>
      <c r="D1523" s="32" t="s">
        <v>317</v>
      </c>
      <c r="E1523" s="44"/>
      <c r="F1523" s="34">
        <v>30862778.960989498</v>
      </c>
      <c r="G1523" s="58"/>
      <c r="H1523" s="47">
        <v>46835402</v>
      </c>
      <c r="I1523" s="35"/>
      <c r="J1523" s="37">
        <f t="shared" si="88"/>
        <v>-15972623.039010502</v>
      </c>
      <c r="K1523" s="73">
        <f t="shared" si="89"/>
        <v>136872547.24185503</v>
      </c>
      <c r="L1523" s="39"/>
      <c r="M1523" s="40"/>
      <c r="N1523" s="40"/>
      <c r="O1523" s="41"/>
    </row>
    <row r="1524" spans="1:15" s="7" customFormat="1" ht="18.75">
      <c r="A1524" s="56"/>
      <c r="B1524" s="57"/>
      <c r="C1524" s="29" t="s">
        <v>667</v>
      </c>
      <c r="D1524" s="32" t="s">
        <v>319</v>
      </c>
      <c r="E1524" s="44"/>
      <c r="F1524" s="34">
        <v>32131075.729032002</v>
      </c>
      <c r="G1524" s="58"/>
      <c r="H1524" s="241">
        <v>91702458.769999981</v>
      </c>
      <c r="I1524" s="35"/>
      <c r="J1524" s="37">
        <f t="shared" si="88"/>
        <v>-59571383.040967979</v>
      </c>
      <c r="K1524" s="73">
        <f t="shared" si="89"/>
        <v>120899924.20284453</v>
      </c>
      <c r="L1524" s="39"/>
      <c r="M1524" s="40"/>
      <c r="N1524" s="40"/>
      <c r="O1524" s="41"/>
    </row>
    <row r="1525" spans="1:15" s="7" customFormat="1" ht="18.75">
      <c r="A1525" s="56"/>
      <c r="B1525" s="57"/>
      <c r="C1525" s="99" t="s">
        <v>1416</v>
      </c>
      <c r="D1525" s="32" t="s">
        <v>321</v>
      </c>
      <c r="E1525" s="44"/>
      <c r="F1525" s="34">
        <v>27494136.953366999</v>
      </c>
      <c r="G1525" s="58"/>
      <c r="H1525" s="47">
        <v>27494136.953366999</v>
      </c>
      <c r="I1525" s="242" t="s">
        <v>1417</v>
      </c>
      <c r="J1525" s="37">
        <f t="shared" si="88"/>
        <v>0</v>
      </c>
      <c r="K1525" s="73">
        <f t="shared" si="89"/>
        <v>61328541.161876552</v>
      </c>
      <c r="L1525" s="39"/>
      <c r="M1525" s="40"/>
      <c r="N1525" s="40"/>
      <c r="O1525" s="41"/>
    </row>
    <row r="1526" spans="1:15" s="7" customFormat="1" ht="18.75">
      <c r="A1526" s="56"/>
      <c r="B1526" s="57"/>
      <c r="C1526" s="99" t="s">
        <v>1190</v>
      </c>
      <c r="D1526" s="32" t="s">
        <v>323</v>
      </c>
      <c r="E1526" s="44"/>
      <c r="F1526" s="34">
        <v>19685608.920000002</v>
      </c>
      <c r="G1526" s="58"/>
      <c r="H1526" s="47">
        <v>19685608.920000002</v>
      </c>
      <c r="I1526" s="35"/>
      <c r="J1526" s="37">
        <f t="shared" si="88"/>
        <v>0</v>
      </c>
      <c r="K1526" s="73">
        <f t="shared" si="89"/>
        <v>61328541.161876552</v>
      </c>
      <c r="L1526" s="39"/>
      <c r="M1526" s="40"/>
      <c r="N1526" s="40"/>
      <c r="O1526" s="41"/>
    </row>
    <row r="1527" spans="1:15" s="7" customFormat="1" ht="18.75">
      <c r="A1527" s="56"/>
      <c r="B1527" s="57"/>
      <c r="C1527" s="99" t="s">
        <v>1293</v>
      </c>
      <c r="D1527" s="32" t="s">
        <v>44</v>
      </c>
      <c r="E1527" s="44"/>
      <c r="F1527" s="34">
        <v>20080086.68</v>
      </c>
      <c r="G1527" s="58"/>
      <c r="H1527" s="47">
        <v>20080086.68</v>
      </c>
      <c r="I1527" s="35"/>
      <c r="J1527" s="37">
        <f t="shared" si="88"/>
        <v>0</v>
      </c>
      <c r="K1527" s="73">
        <f t="shared" si="89"/>
        <v>61328541.161876552</v>
      </c>
      <c r="L1527" s="39"/>
      <c r="M1527" s="40"/>
      <c r="N1527" s="40"/>
      <c r="O1527" s="41"/>
    </row>
    <row r="1528" spans="1:15" s="7" customFormat="1" ht="18.75">
      <c r="A1528" s="56"/>
      <c r="B1528" s="57"/>
      <c r="C1528" s="99" t="s">
        <v>1294</v>
      </c>
      <c r="D1528" s="32" t="s">
        <v>326</v>
      </c>
      <c r="E1528" s="44"/>
      <c r="F1528" s="34">
        <v>14720823.789999999</v>
      </c>
      <c r="G1528" s="58"/>
      <c r="H1528" s="47">
        <v>14720823.789999999</v>
      </c>
      <c r="I1528" s="35"/>
      <c r="J1528" s="37">
        <f t="shared" si="88"/>
        <v>0</v>
      </c>
      <c r="K1528" s="73">
        <f t="shared" si="89"/>
        <v>61328541.161876552</v>
      </c>
      <c r="L1528" s="39"/>
      <c r="M1528" s="40"/>
      <c r="N1528" s="40"/>
      <c r="O1528" s="41"/>
    </row>
    <row r="1529" spans="1:15" s="7" customFormat="1" ht="18.75">
      <c r="A1529" s="56"/>
      <c r="B1529" s="57"/>
      <c r="C1529" s="229" t="s">
        <v>1418</v>
      </c>
      <c r="D1529" s="32" t="s">
        <v>328</v>
      </c>
      <c r="E1529" s="44"/>
      <c r="F1529" s="34">
        <v>15527732.439999999</v>
      </c>
      <c r="G1529" s="58"/>
      <c r="H1529" s="47">
        <v>15527732.439999999</v>
      </c>
      <c r="I1529" s="35"/>
      <c r="J1529" s="37">
        <f t="shared" si="88"/>
        <v>0</v>
      </c>
      <c r="K1529" s="73">
        <f t="shared" si="89"/>
        <v>61328541.161876552</v>
      </c>
      <c r="L1529" s="39"/>
      <c r="M1529" s="40"/>
      <c r="N1529" s="40"/>
      <c r="O1529" s="41"/>
    </row>
    <row r="1530" spans="1:15" s="7" customFormat="1" ht="18.75">
      <c r="A1530" s="56"/>
      <c r="B1530" s="57"/>
      <c r="C1530" s="99" t="s">
        <v>1419</v>
      </c>
      <c r="D1530" s="32" t="s">
        <v>330</v>
      </c>
      <c r="E1530" s="44"/>
      <c r="F1530" s="34">
        <v>26233890.640000001</v>
      </c>
      <c r="G1530" s="58"/>
      <c r="H1530" s="47">
        <v>26233890.640000001</v>
      </c>
      <c r="I1530" s="35"/>
      <c r="J1530" s="37">
        <f t="shared" si="88"/>
        <v>0</v>
      </c>
      <c r="K1530" s="73">
        <f t="shared" si="89"/>
        <v>61328541.161876552</v>
      </c>
      <c r="L1530" s="39"/>
      <c r="M1530" s="40"/>
      <c r="N1530" s="40"/>
      <c r="O1530" s="41"/>
    </row>
    <row r="1531" spans="1:15" s="7" customFormat="1" ht="18.75">
      <c r="A1531" s="56"/>
      <c r="B1531" s="57"/>
      <c r="C1531" s="99" t="s">
        <v>1420</v>
      </c>
      <c r="D1531" s="32" t="s">
        <v>332</v>
      </c>
      <c r="E1531" s="44"/>
      <c r="F1531" s="34">
        <v>23195103.100000001</v>
      </c>
      <c r="G1531" s="58"/>
      <c r="H1531" s="47">
        <v>23195103.100000001</v>
      </c>
      <c r="I1531" s="35"/>
      <c r="J1531" s="37">
        <f t="shared" si="88"/>
        <v>0</v>
      </c>
      <c r="K1531" s="73">
        <f t="shared" si="89"/>
        <v>61328541.161876552</v>
      </c>
      <c r="L1531" s="39"/>
      <c r="M1531" s="40"/>
      <c r="N1531" s="40"/>
      <c r="O1531" s="41"/>
    </row>
    <row r="1532" spans="1:15" s="7" customFormat="1" ht="18.75">
      <c r="A1532" s="56"/>
      <c r="B1532" s="57"/>
      <c r="C1532" s="99" t="s">
        <v>1421</v>
      </c>
      <c r="D1532" s="32" t="s">
        <v>333</v>
      </c>
      <c r="E1532" s="44"/>
      <c r="F1532" s="34">
        <v>21929345.120000001</v>
      </c>
      <c r="G1532" s="58"/>
      <c r="H1532" s="47">
        <v>21929345.120000001</v>
      </c>
      <c r="I1532" s="243"/>
      <c r="J1532" s="37">
        <f t="shared" si="88"/>
        <v>0</v>
      </c>
      <c r="K1532" s="73">
        <f t="shared" si="89"/>
        <v>61328541.161876552</v>
      </c>
      <c r="L1532" s="39"/>
      <c r="M1532" s="40"/>
      <c r="N1532" s="40"/>
      <c r="O1532" s="41"/>
    </row>
    <row r="1533" spans="1:15" s="7" customFormat="1" ht="18.75">
      <c r="A1533" s="56"/>
      <c r="B1533" s="57"/>
      <c r="C1533" s="99" t="s">
        <v>1422</v>
      </c>
      <c r="D1533" s="32" t="s">
        <v>335</v>
      </c>
      <c r="E1533" s="44"/>
      <c r="F1533" s="34">
        <v>20410626.350000001</v>
      </c>
      <c r="G1533" s="58"/>
      <c r="H1533" s="47">
        <f>10000000+10000000+410626.35</f>
        <v>20410626.350000001</v>
      </c>
      <c r="I1533" s="35"/>
      <c r="J1533" s="37">
        <f t="shared" si="88"/>
        <v>0</v>
      </c>
      <c r="K1533" s="73">
        <f t="shared" si="89"/>
        <v>61328541.161876552</v>
      </c>
      <c r="L1533" s="39"/>
      <c r="M1533" s="40"/>
      <c r="N1533" s="40"/>
      <c r="O1533" s="41"/>
    </row>
    <row r="1534" spans="1:15" s="7" customFormat="1" ht="18.75">
      <c r="A1534" s="56"/>
      <c r="B1534" s="57"/>
      <c r="C1534" s="29" t="s">
        <v>506</v>
      </c>
      <c r="D1534" s="32" t="s">
        <v>1423</v>
      </c>
      <c r="E1534" s="44"/>
      <c r="F1534" s="34">
        <v>23641261.5</v>
      </c>
      <c r="G1534" s="75">
        <v>43222</v>
      </c>
      <c r="H1534" s="47">
        <v>23641261.5</v>
      </c>
      <c r="I1534" s="243"/>
      <c r="J1534" s="37">
        <f t="shared" si="88"/>
        <v>0</v>
      </c>
      <c r="K1534" s="73">
        <f t="shared" si="89"/>
        <v>61328541.161876552</v>
      </c>
      <c r="L1534" s="39"/>
      <c r="M1534" s="40"/>
      <c r="N1534" s="40"/>
      <c r="O1534" s="41"/>
    </row>
    <row r="1535" spans="1:15" s="7" customFormat="1" ht="18.75">
      <c r="A1535" s="56"/>
      <c r="B1535" s="57"/>
      <c r="C1535" s="29" t="s">
        <v>1424</v>
      </c>
      <c r="D1535" s="32" t="s">
        <v>338</v>
      </c>
      <c r="E1535" s="44"/>
      <c r="F1535" s="34">
        <v>20602572.73</v>
      </c>
      <c r="G1535" s="75"/>
      <c r="H1535" s="244">
        <v>20602572.73</v>
      </c>
      <c r="I1535" s="245"/>
      <c r="J1535" s="37">
        <f t="shared" si="88"/>
        <v>0</v>
      </c>
      <c r="K1535" s="73">
        <f t="shared" si="89"/>
        <v>61328541.161876552</v>
      </c>
      <c r="L1535" s="39"/>
      <c r="M1535" s="40"/>
      <c r="N1535" s="40"/>
      <c r="O1535" s="41"/>
    </row>
    <row r="1536" spans="1:15" s="7" customFormat="1" ht="18.75">
      <c r="A1536" s="56"/>
      <c r="B1536" s="57"/>
      <c r="C1536" s="29" t="s">
        <v>1425</v>
      </c>
      <c r="D1536" s="32" t="s">
        <v>340</v>
      </c>
      <c r="E1536" s="44"/>
      <c r="F1536" s="34">
        <v>25730158.121345997</v>
      </c>
      <c r="G1536" s="75"/>
      <c r="H1536" s="244">
        <v>25730158.120000001</v>
      </c>
      <c r="I1536" s="35"/>
      <c r="J1536" s="37">
        <f t="shared" si="88"/>
        <v>1.3459958136081696E-3</v>
      </c>
      <c r="K1536" s="73">
        <f t="shared" si="89"/>
        <v>61328541.161876552</v>
      </c>
      <c r="L1536" s="39"/>
      <c r="M1536" s="40"/>
      <c r="N1536" s="40"/>
      <c r="O1536" s="41"/>
    </row>
    <row r="1537" spans="1:15" s="7" customFormat="1" ht="18.75">
      <c r="A1537" s="56"/>
      <c r="B1537" s="57"/>
      <c r="C1537" s="29" t="s">
        <v>1426</v>
      </c>
      <c r="D1537" s="32" t="s">
        <v>341</v>
      </c>
      <c r="E1537" s="44"/>
      <c r="F1537" s="34">
        <v>31622535.680347502</v>
      </c>
      <c r="G1537" s="75"/>
      <c r="H1537" s="244">
        <v>31622535.68</v>
      </c>
      <c r="I1537" s="35"/>
      <c r="J1537" s="37">
        <f t="shared" si="88"/>
        <v>3.4750252962112427E-4</v>
      </c>
      <c r="K1537" s="73">
        <f t="shared" si="89"/>
        <v>61328541.163222551</v>
      </c>
      <c r="L1537" s="39"/>
      <c r="M1537" s="40"/>
      <c r="N1537" s="40"/>
      <c r="O1537" s="41"/>
    </row>
    <row r="1538" spans="1:15" s="7" customFormat="1" ht="18.75">
      <c r="A1538" s="56"/>
      <c r="B1538" s="57"/>
      <c r="C1538" s="29" t="s">
        <v>1427</v>
      </c>
      <c r="D1538" s="32" t="s">
        <v>343</v>
      </c>
      <c r="E1538" s="44"/>
      <c r="F1538" s="34">
        <v>35861713.693942502</v>
      </c>
      <c r="G1538" s="75"/>
      <c r="H1538" s="244">
        <v>35861713.689999998</v>
      </c>
      <c r="I1538" s="35"/>
      <c r="J1538" s="37">
        <f t="shared" si="88"/>
        <v>3.9425045251846313E-3</v>
      </c>
      <c r="K1538" s="73">
        <f t="shared" si="89"/>
        <v>61328541.163570054</v>
      </c>
      <c r="L1538" s="39"/>
      <c r="M1538" s="40"/>
      <c r="N1538" s="40"/>
      <c r="O1538" s="41"/>
    </row>
    <row r="1539" spans="1:15" s="7" customFormat="1" ht="18.75">
      <c r="A1539" s="56"/>
      <c r="B1539" s="57"/>
      <c r="C1539" s="29" t="s">
        <v>1428</v>
      </c>
      <c r="D1539" s="32" t="s">
        <v>344</v>
      </c>
      <c r="E1539" s="44"/>
      <c r="F1539" s="34">
        <v>32069563.973832</v>
      </c>
      <c r="G1539" s="75"/>
      <c r="H1539" s="244">
        <v>32069563.973832</v>
      </c>
      <c r="I1539" s="35"/>
      <c r="J1539" s="37">
        <f t="shared" si="88"/>
        <v>0</v>
      </c>
      <c r="K1539" s="73">
        <f t="shared" si="89"/>
        <v>61328541.167512558</v>
      </c>
      <c r="L1539" s="39"/>
      <c r="M1539" s="40"/>
      <c r="N1539" s="40"/>
      <c r="O1539" s="41"/>
    </row>
    <row r="1540" spans="1:15" s="7" customFormat="1" ht="18.75">
      <c r="A1540" s="56"/>
      <c r="B1540" s="57"/>
      <c r="C1540" s="29" t="s">
        <v>1429</v>
      </c>
      <c r="D1540" s="32" t="s">
        <v>345</v>
      </c>
      <c r="E1540" s="44"/>
      <c r="F1540" s="34">
        <v>27940596.476940002</v>
      </c>
      <c r="G1540" s="75"/>
      <c r="H1540" s="237">
        <v>27940596.476940002</v>
      </c>
      <c r="I1540" s="35"/>
      <c r="J1540" s="37">
        <f t="shared" si="88"/>
        <v>0</v>
      </c>
      <c r="K1540" s="73">
        <f t="shared" si="89"/>
        <v>61328541.167512558</v>
      </c>
      <c r="L1540" s="39"/>
      <c r="M1540" s="40"/>
      <c r="N1540" s="40"/>
      <c r="O1540" s="41"/>
    </row>
    <row r="1541" spans="1:15" s="7" customFormat="1" ht="18.75">
      <c r="A1541" s="56"/>
      <c r="B1541" s="57"/>
      <c r="C1541" s="29" t="s">
        <v>1430</v>
      </c>
      <c r="D1541" s="32" t="s">
        <v>346</v>
      </c>
      <c r="E1541" s="44"/>
      <c r="F1541" s="34">
        <v>35843200.480499998</v>
      </c>
      <c r="G1541" s="75"/>
      <c r="H1541" s="244">
        <v>35843200.479999997</v>
      </c>
      <c r="I1541" s="35" t="s">
        <v>1431</v>
      </c>
      <c r="J1541" s="37">
        <f t="shared" si="88"/>
        <v>5.0000101327896118E-4</v>
      </c>
      <c r="K1541" s="73">
        <f t="shared" si="89"/>
        <v>61328541.167512558</v>
      </c>
      <c r="L1541" s="39"/>
      <c r="M1541" s="40"/>
      <c r="N1541" s="40"/>
      <c r="O1541" s="41"/>
    </row>
    <row r="1542" spans="1:15" s="7" customFormat="1" ht="18.75">
      <c r="A1542" s="56"/>
      <c r="B1542" s="57"/>
      <c r="C1542" s="29" t="s">
        <v>1432</v>
      </c>
      <c r="D1542" s="32" t="s">
        <v>347</v>
      </c>
      <c r="E1542" s="44"/>
      <c r="F1542" s="34">
        <v>30246460.504512005</v>
      </c>
      <c r="G1542" s="58"/>
      <c r="H1542" s="244">
        <v>30248818</v>
      </c>
      <c r="I1542" s="245"/>
      <c r="J1542" s="37">
        <f t="shared" si="88"/>
        <v>-2357.4954879954457</v>
      </c>
      <c r="K1542" s="73">
        <f t="shared" si="89"/>
        <v>61328541.168012559</v>
      </c>
      <c r="L1542" s="39"/>
      <c r="M1542" s="40"/>
      <c r="N1542" s="40"/>
      <c r="O1542" s="41"/>
    </row>
    <row r="1543" spans="1:15" s="7" customFormat="1" ht="18.75">
      <c r="A1543" s="56"/>
      <c r="B1543" s="57"/>
      <c r="C1543" s="29" t="s">
        <v>1343</v>
      </c>
      <c r="D1543" s="32" t="s">
        <v>350</v>
      </c>
      <c r="E1543" s="44"/>
      <c r="F1543" s="34">
        <v>23351791.332482334</v>
      </c>
      <c r="G1543" s="58"/>
      <c r="H1543" s="244">
        <v>23351791.329999998</v>
      </c>
      <c r="I1543" s="245"/>
      <c r="J1543" s="37">
        <f t="shared" si="88"/>
        <v>2.482336014509201E-3</v>
      </c>
      <c r="K1543" s="73">
        <f t="shared" si="89"/>
        <v>61326183.672524564</v>
      </c>
      <c r="L1543" s="39"/>
      <c r="M1543" s="40"/>
      <c r="N1543" s="40"/>
      <c r="O1543" s="41"/>
    </row>
    <row r="1544" spans="1:15" s="7" customFormat="1" ht="18.75">
      <c r="A1544" s="56"/>
      <c r="B1544" s="57"/>
      <c r="C1544" s="29" t="s">
        <v>1433</v>
      </c>
      <c r="D1544" s="32" t="s">
        <v>1106</v>
      </c>
      <c r="E1544" s="44"/>
      <c r="F1544" s="34">
        <v>33643522.109999999</v>
      </c>
      <c r="G1544" s="58"/>
      <c r="H1544" s="244">
        <v>33643522.109999999</v>
      </c>
      <c r="I1544" s="245"/>
      <c r="J1544" s="37">
        <f t="shared" si="88"/>
        <v>0</v>
      </c>
      <c r="K1544" s="73">
        <f t="shared" si="89"/>
        <v>61326183.675006896</v>
      </c>
      <c r="L1544" s="39"/>
      <c r="M1544" s="40"/>
      <c r="N1544" s="40"/>
      <c r="O1544" s="41"/>
    </row>
    <row r="1545" spans="1:15" s="7" customFormat="1" ht="18.75">
      <c r="A1545" s="56"/>
      <c r="B1545" s="57"/>
      <c r="C1545" s="29" t="s">
        <v>1175</v>
      </c>
      <c r="D1545" s="32" t="s">
        <v>1107</v>
      </c>
      <c r="E1545" s="44"/>
      <c r="F1545" s="34">
        <v>34796296.776307501</v>
      </c>
      <c r="G1545" s="58"/>
      <c r="H1545" s="244">
        <v>34796296.776307501</v>
      </c>
      <c r="I1545" s="245"/>
      <c r="J1545" s="37">
        <f t="shared" si="88"/>
        <v>0</v>
      </c>
      <c r="K1545" s="73">
        <f t="shared" si="89"/>
        <v>61326183.675006896</v>
      </c>
      <c r="L1545" s="39"/>
      <c r="M1545" s="40"/>
      <c r="N1545" s="40"/>
      <c r="O1545" s="59"/>
    </row>
    <row r="1546" spans="1:15" s="7" customFormat="1" ht="18.75">
      <c r="A1546" s="56"/>
      <c r="B1546" s="57"/>
      <c r="C1546" s="29" t="s">
        <v>1434</v>
      </c>
      <c r="D1546" s="32" t="s">
        <v>1108</v>
      </c>
      <c r="E1546" s="44"/>
      <c r="F1546" s="34">
        <v>35579072.520117007</v>
      </c>
      <c r="G1546" s="96">
        <v>43468</v>
      </c>
      <c r="H1546" s="244">
        <v>35579072.520000003</v>
      </c>
      <c r="I1546" s="245" t="s">
        <v>256</v>
      </c>
      <c r="J1546" s="37">
        <f t="shared" si="88"/>
        <v>1.170039176940918E-4</v>
      </c>
      <c r="K1546" s="73">
        <f t="shared" si="89"/>
        <v>61326183.675006896</v>
      </c>
      <c r="L1546" s="39"/>
      <c r="M1546" s="40"/>
      <c r="N1546" s="40"/>
      <c r="O1546" s="41"/>
    </row>
    <row r="1547" spans="1:15" s="7" customFormat="1" ht="18.75">
      <c r="A1547" s="56"/>
      <c r="B1547" s="57"/>
      <c r="C1547" s="29" t="s">
        <v>1424</v>
      </c>
      <c r="D1547" s="32" t="s">
        <v>1109</v>
      </c>
      <c r="E1547" s="44"/>
      <c r="F1547" s="34">
        <v>26469350.503596</v>
      </c>
      <c r="G1547" s="96">
        <v>43469</v>
      </c>
      <c r="H1547" s="244">
        <v>26469350.503596</v>
      </c>
      <c r="I1547" s="245" t="s">
        <v>365</v>
      </c>
      <c r="J1547" s="37">
        <f t="shared" si="88"/>
        <v>0</v>
      </c>
      <c r="K1547" s="73">
        <f t="shared" si="89"/>
        <v>61326183.6751239</v>
      </c>
      <c r="L1547" s="39"/>
      <c r="M1547" s="40"/>
      <c r="N1547" s="40"/>
      <c r="O1547" s="41"/>
    </row>
    <row r="1548" spans="1:15" s="7" customFormat="1" ht="18.75">
      <c r="A1548" s="56"/>
      <c r="B1548" s="57"/>
      <c r="C1548" s="29" t="s">
        <v>1425</v>
      </c>
      <c r="D1548" s="32" t="s">
        <v>1110</v>
      </c>
      <c r="E1548" s="44"/>
      <c r="F1548" s="34">
        <v>24493605.326788496</v>
      </c>
      <c r="G1548" s="96">
        <v>43470</v>
      </c>
      <c r="H1548" s="244">
        <v>24493605.329999998</v>
      </c>
      <c r="I1548" s="35">
        <v>43600</v>
      </c>
      <c r="J1548" s="37">
        <f t="shared" si="88"/>
        <v>-3.2115019857883453E-3</v>
      </c>
      <c r="K1548" s="73">
        <f t="shared" si="89"/>
        <v>61326183.6751239</v>
      </c>
      <c r="L1548" s="39"/>
      <c r="M1548" s="40"/>
      <c r="N1548" s="40"/>
      <c r="O1548" s="41"/>
    </row>
    <row r="1549" spans="1:15" s="7" customFormat="1" ht="18.75">
      <c r="A1549" s="56"/>
      <c r="B1549" s="57"/>
      <c r="C1549" s="29" t="s">
        <v>1426</v>
      </c>
      <c r="D1549" s="32" t="s">
        <v>1111</v>
      </c>
      <c r="E1549" s="44"/>
      <c r="F1549" s="34">
        <v>30891251.840053499</v>
      </c>
      <c r="G1549" s="96">
        <v>43471</v>
      </c>
      <c r="H1549" s="244">
        <v>30891251.84</v>
      </c>
      <c r="I1549" s="35" t="s">
        <v>832</v>
      </c>
      <c r="J1549" s="37">
        <f t="shared" si="88"/>
        <v>5.3498893976211548E-5</v>
      </c>
      <c r="K1549" s="73">
        <f t="shared" si="89"/>
        <v>61326183.671912402</v>
      </c>
      <c r="L1549" s="39"/>
      <c r="M1549" s="40"/>
      <c r="N1549" s="40"/>
      <c r="O1549" s="41"/>
    </row>
    <row r="1550" spans="1:15" s="7" customFormat="1" ht="18.75">
      <c r="A1550" s="56"/>
      <c r="B1550" s="57"/>
      <c r="C1550" s="29" t="s">
        <v>1427</v>
      </c>
      <c r="D1550" s="32" t="s">
        <v>1435</v>
      </c>
      <c r="E1550" s="44"/>
      <c r="F1550" s="34">
        <v>32455829.401537497</v>
      </c>
      <c r="G1550" s="246">
        <v>43472</v>
      </c>
      <c r="H1550" s="244">
        <v>32455829.401537497</v>
      </c>
      <c r="I1550" s="35" t="s">
        <v>527</v>
      </c>
      <c r="J1550" s="37">
        <f t="shared" si="88"/>
        <v>0</v>
      </c>
      <c r="K1550" s="73">
        <f t="shared" si="89"/>
        <v>61326183.671965897</v>
      </c>
      <c r="L1550" s="39"/>
      <c r="M1550" s="40"/>
      <c r="N1550" s="40"/>
      <c r="O1550" s="41"/>
    </row>
    <row r="1551" spans="1:15" s="7" customFormat="1" ht="18.75">
      <c r="A1551" s="56"/>
      <c r="B1551" s="57"/>
      <c r="C1551" s="29" t="s">
        <v>158</v>
      </c>
      <c r="D1551" s="32" t="s">
        <v>1112</v>
      </c>
      <c r="E1551" s="44"/>
      <c r="F1551" s="34">
        <v>28243305.876555</v>
      </c>
      <c r="G1551" s="75" t="s">
        <v>160</v>
      </c>
      <c r="H1551" s="244">
        <v>28243305.879999999</v>
      </c>
      <c r="I1551" s="35" t="s">
        <v>1436</v>
      </c>
      <c r="J1551" s="37">
        <f t="shared" si="88"/>
        <v>-3.4449994564056396E-3</v>
      </c>
      <c r="K1551" s="73">
        <f t="shared" si="89"/>
        <v>61326183.671965897</v>
      </c>
      <c r="L1551" s="39"/>
      <c r="M1551" s="40"/>
      <c r="N1551" s="40"/>
      <c r="O1551" s="41"/>
    </row>
    <row r="1552" spans="1:15" s="7" customFormat="1" ht="18.75">
      <c r="A1552" s="56"/>
      <c r="B1552" s="57"/>
      <c r="C1552" s="29" t="s">
        <v>162</v>
      </c>
      <c r="D1552" s="32" t="s">
        <v>1113</v>
      </c>
      <c r="E1552" s="44"/>
      <c r="F1552" s="34">
        <v>32026162.706433002</v>
      </c>
      <c r="G1552" s="75" t="s">
        <v>164</v>
      </c>
      <c r="H1552" s="244">
        <v>32026162.706433002</v>
      </c>
      <c r="I1552" s="35" t="s">
        <v>839</v>
      </c>
      <c r="J1552" s="37">
        <f t="shared" si="88"/>
        <v>0</v>
      </c>
      <c r="K1552" s="73">
        <f t="shared" si="89"/>
        <v>61326183.668520898</v>
      </c>
      <c r="L1552" s="39"/>
      <c r="M1552" s="40"/>
      <c r="N1552" s="40"/>
      <c r="O1552" s="41"/>
    </row>
    <row r="1553" spans="1:15" s="7" customFormat="1" ht="18.75">
      <c r="A1553" s="56"/>
      <c r="B1553" s="57"/>
      <c r="C1553" s="29" t="s">
        <v>166</v>
      </c>
      <c r="D1553" s="32" t="s">
        <v>1114</v>
      </c>
      <c r="E1553" s="44"/>
      <c r="F1553" s="34">
        <v>24370249.984416001</v>
      </c>
      <c r="G1553" s="75" t="s">
        <v>168</v>
      </c>
      <c r="H1553" s="244">
        <v>24370249.984416001</v>
      </c>
      <c r="I1553" s="35" t="s">
        <v>161</v>
      </c>
      <c r="J1553" s="37">
        <f t="shared" si="88"/>
        <v>0</v>
      </c>
      <c r="K1553" s="73">
        <f t="shared" si="89"/>
        <v>61326183.668520898</v>
      </c>
      <c r="L1553" s="39"/>
      <c r="M1553" s="40"/>
      <c r="N1553" s="40"/>
      <c r="O1553" s="41"/>
    </row>
    <row r="1554" spans="1:15" s="7" customFormat="1" ht="18.75">
      <c r="A1554" s="56"/>
      <c r="B1554" s="57"/>
      <c r="C1554" s="29" t="s">
        <v>170</v>
      </c>
      <c r="D1554" s="32" t="s">
        <v>1115</v>
      </c>
      <c r="E1554" s="44"/>
      <c r="F1554" s="34">
        <v>30359864.144820001</v>
      </c>
      <c r="G1554" s="75" t="s">
        <v>172</v>
      </c>
      <c r="H1554" s="244">
        <v>30359864.144820001</v>
      </c>
      <c r="I1554" s="35" t="s">
        <v>272</v>
      </c>
      <c r="J1554" s="37">
        <f t="shared" si="88"/>
        <v>0</v>
      </c>
      <c r="K1554" s="73">
        <f t="shared" si="89"/>
        <v>61326183.668520898</v>
      </c>
      <c r="L1554" s="39"/>
      <c r="M1554" s="40"/>
      <c r="N1554" s="40"/>
      <c r="O1554" s="41"/>
    </row>
    <row r="1555" spans="1:15" s="7" customFormat="1" ht="18.75">
      <c r="A1555" s="56"/>
      <c r="B1555" s="57"/>
      <c r="C1555" s="29" t="s">
        <v>174</v>
      </c>
      <c r="D1555" s="32" t="s">
        <v>1116</v>
      </c>
      <c r="E1555" s="44"/>
      <c r="F1555" s="34">
        <v>929065.30737300008</v>
      </c>
      <c r="G1555" s="75" t="s">
        <v>176</v>
      </c>
      <c r="H1555" s="244">
        <v>929065.31</v>
      </c>
      <c r="I1555" s="35" t="s">
        <v>727</v>
      </c>
      <c r="J1555" s="37">
        <f t="shared" si="88"/>
        <v>-2.6269999798387289E-3</v>
      </c>
      <c r="K1555" s="73">
        <f t="shared" si="89"/>
        <v>61326183.668520898</v>
      </c>
      <c r="L1555" s="39"/>
      <c r="M1555" s="40"/>
      <c r="N1555" s="40"/>
      <c r="O1555" s="41"/>
    </row>
    <row r="1556" spans="1:15" s="7" customFormat="1" ht="18.75">
      <c r="A1556" s="56"/>
      <c r="B1556" s="57"/>
      <c r="C1556" s="99" t="s">
        <v>178</v>
      </c>
      <c r="D1556" s="32" t="s">
        <v>1437</v>
      </c>
      <c r="E1556" s="44"/>
      <c r="F1556" s="34">
        <v>27849525.326500498</v>
      </c>
      <c r="G1556" s="75" t="s">
        <v>179</v>
      </c>
      <c r="H1556" s="244">
        <v>27849525.326500498</v>
      </c>
      <c r="I1556" s="35" t="s">
        <v>658</v>
      </c>
      <c r="J1556" s="37">
        <f t="shared" si="88"/>
        <v>0</v>
      </c>
      <c r="K1556" s="73">
        <f t="shared" si="89"/>
        <v>61326183.665893897</v>
      </c>
      <c r="L1556" s="39"/>
      <c r="M1556" s="40"/>
      <c r="N1556" s="40"/>
      <c r="O1556" s="41"/>
    </row>
    <row r="1557" spans="1:15" s="7" customFormat="1" ht="18.75">
      <c r="A1557" s="56"/>
      <c r="B1557" s="57"/>
      <c r="C1557" s="99" t="s">
        <v>181</v>
      </c>
      <c r="D1557" s="32" t="s">
        <v>1118</v>
      </c>
      <c r="E1557" s="44"/>
      <c r="F1557" s="34">
        <v>34419129.783822</v>
      </c>
      <c r="G1557" s="75" t="s">
        <v>183</v>
      </c>
      <c r="H1557" s="244">
        <v>34419129.783822</v>
      </c>
      <c r="I1557" s="35" t="s">
        <v>1377</v>
      </c>
      <c r="J1557" s="37">
        <f t="shared" si="88"/>
        <v>0</v>
      </c>
      <c r="K1557" s="73">
        <f t="shared" si="89"/>
        <v>61326183.665893897</v>
      </c>
      <c r="L1557" s="39"/>
      <c r="M1557" s="40"/>
      <c r="N1557" s="40"/>
      <c r="O1557" s="41"/>
    </row>
    <row r="1558" spans="1:15" s="7" customFormat="1" ht="18.75">
      <c r="A1558" s="56"/>
      <c r="B1558" s="57"/>
      <c r="C1558" s="29" t="s">
        <v>185</v>
      </c>
      <c r="D1558" s="32" t="s">
        <v>1119</v>
      </c>
      <c r="E1558" s="44"/>
      <c r="F1558" s="34">
        <v>41661823.165031999</v>
      </c>
      <c r="G1558" s="75" t="s">
        <v>187</v>
      </c>
      <c r="H1558" s="244">
        <v>41661823.165031999</v>
      </c>
      <c r="I1558" s="35" t="s">
        <v>731</v>
      </c>
      <c r="J1558" s="37">
        <f t="shared" si="88"/>
        <v>0</v>
      </c>
      <c r="K1558" s="73">
        <f t="shared" si="89"/>
        <v>61326183.665893897</v>
      </c>
      <c r="L1558" s="39"/>
      <c r="M1558" s="40"/>
      <c r="N1558" s="40"/>
      <c r="O1558" s="41"/>
    </row>
    <row r="1559" spans="1:15" s="7" customFormat="1" ht="18.75">
      <c r="A1559" s="56"/>
      <c r="B1559" s="57"/>
      <c r="C1559" s="29" t="s">
        <v>189</v>
      </c>
      <c r="D1559" s="32" t="s">
        <v>827</v>
      </c>
      <c r="E1559" s="44"/>
      <c r="F1559" s="34">
        <v>36913065.392847002</v>
      </c>
      <c r="G1559" s="75" t="s">
        <v>190</v>
      </c>
      <c r="H1559" s="244">
        <v>36913065.390000001</v>
      </c>
      <c r="I1559" s="35" t="s">
        <v>1438</v>
      </c>
      <c r="J1559" s="37">
        <f t="shared" si="88"/>
        <v>2.8470009565353394E-3</v>
      </c>
      <c r="K1559" s="73">
        <f t="shared" si="89"/>
        <v>61326183.665893897</v>
      </c>
      <c r="L1559" s="39"/>
      <c r="M1559" s="40"/>
      <c r="N1559" s="40"/>
      <c r="O1559" s="41"/>
    </row>
    <row r="1560" spans="1:15" s="7" customFormat="1" ht="18.75">
      <c r="A1560" s="56"/>
      <c r="B1560" s="57"/>
      <c r="C1560" s="29" t="s">
        <v>191</v>
      </c>
      <c r="D1560" s="32" t="s">
        <v>829</v>
      </c>
      <c r="E1560" s="44">
        <v>43986</v>
      </c>
      <c r="F1560" s="34">
        <v>30244002.884523753</v>
      </c>
      <c r="G1560" s="75" t="s">
        <v>193</v>
      </c>
      <c r="H1560" s="244">
        <v>30244002.879999999</v>
      </c>
      <c r="I1560" s="35" t="s">
        <v>198</v>
      </c>
      <c r="J1560" s="37">
        <f t="shared" si="88"/>
        <v>4.5237541198730469E-3</v>
      </c>
      <c r="K1560" s="73">
        <f t="shared" si="89"/>
        <v>61326183.668740898</v>
      </c>
      <c r="L1560" s="39"/>
      <c r="M1560" s="40"/>
      <c r="N1560" s="40"/>
      <c r="O1560" s="41"/>
    </row>
    <row r="1561" spans="1:15" s="7" customFormat="1" ht="18.75">
      <c r="A1561" s="56"/>
      <c r="B1561" s="57"/>
      <c r="C1561" s="29" t="s">
        <v>199</v>
      </c>
      <c r="D1561" s="32" t="s">
        <v>830</v>
      </c>
      <c r="E1561" s="44">
        <v>44049</v>
      </c>
      <c r="F1561" s="34">
        <v>27291025.056960002</v>
      </c>
      <c r="G1561" s="75">
        <v>43897</v>
      </c>
      <c r="H1561" s="244">
        <v>27291025.059999999</v>
      </c>
      <c r="I1561" s="35" t="s">
        <v>1439</v>
      </c>
      <c r="J1561" s="37">
        <f t="shared" si="88"/>
        <v>-3.0399970710277557E-3</v>
      </c>
      <c r="K1561" s="73">
        <f t="shared" si="89"/>
        <v>61326183.673264652</v>
      </c>
      <c r="L1561" s="39"/>
      <c r="M1561" s="40"/>
      <c r="N1561" s="40"/>
      <c r="O1561" s="41"/>
    </row>
    <row r="1562" spans="1:15" s="7" customFormat="1" ht="18.75">
      <c r="A1562" s="56"/>
      <c r="B1562" s="57"/>
      <c r="C1562" s="29" t="s">
        <v>201</v>
      </c>
      <c r="D1562" s="32" t="s">
        <v>831</v>
      </c>
      <c r="E1562" s="44">
        <v>44081</v>
      </c>
      <c r="F1562" s="34">
        <v>39487964.502420001</v>
      </c>
      <c r="G1562" s="75">
        <v>44020</v>
      </c>
      <c r="H1562" s="244">
        <v>39487964.5</v>
      </c>
      <c r="I1562" s="35" t="s">
        <v>586</v>
      </c>
      <c r="J1562" s="37">
        <f t="shared" si="88"/>
        <v>2.4200007319450378E-3</v>
      </c>
      <c r="K1562" s="73">
        <f t="shared" si="89"/>
        <v>61326183.670224652</v>
      </c>
      <c r="L1562" s="39">
        <v>27976103.879999999</v>
      </c>
      <c r="M1562" s="40" t="s">
        <v>1440</v>
      </c>
      <c r="N1562" s="40"/>
      <c r="O1562" s="41"/>
    </row>
    <row r="1563" spans="1:15" s="7" customFormat="1" ht="18.75">
      <c r="A1563" s="56"/>
      <c r="B1563" s="57"/>
      <c r="C1563" s="29" t="s">
        <v>203</v>
      </c>
      <c r="D1563" s="32" t="s">
        <v>61</v>
      </c>
      <c r="E1563" s="44">
        <v>43990</v>
      </c>
      <c r="F1563" s="34">
        <v>47869486.020247996</v>
      </c>
      <c r="G1563" s="75" t="s">
        <v>290</v>
      </c>
      <c r="H1563" s="244">
        <v>47869486.020000003</v>
      </c>
      <c r="I1563" s="44">
        <v>43870</v>
      </c>
      <c r="J1563" s="37">
        <f t="shared" si="88"/>
        <v>2.4799257516860962E-4</v>
      </c>
      <c r="K1563" s="73">
        <f t="shared" si="89"/>
        <v>61326183.672644652</v>
      </c>
      <c r="L1563" s="39"/>
      <c r="M1563" s="40"/>
      <c r="N1563" s="40"/>
      <c r="O1563" s="41"/>
    </row>
    <row r="1564" spans="1:15" s="7" customFormat="1" ht="18.75">
      <c r="A1564" s="56"/>
      <c r="B1564" s="57"/>
      <c r="C1564" s="29" t="s">
        <v>207</v>
      </c>
      <c r="D1564" s="32" t="s">
        <v>835</v>
      </c>
      <c r="E1564" s="44" t="s">
        <v>292</v>
      </c>
      <c r="F1564" s="34">
        <v>33573846.288929999</v>
      </c>
      <c r="G1564" s="75" t="s">
        <v>293</v>
      </c>
      <c r="H1564" s="244">
        <v>33573846.289999999</v>
      </c>
      <c r="I1564" s="35" t="s">
        <v>1441</v>
      </c>
      <c r="J1564" s="37">
        <f t="shared" si="88"/>
        <v>-1.0700002312660217E-3</v>
      </c>
      <c r="K1564" s="73">
        <f t="shared" si="89"/>
        <v>61326183.672892645</v>
      </c>
      <c r="L1564" s="39"/>
      <c r="M1564" s="40"/>
      <c r="N1564" s="40"/>
      <c r="O1564" s="41"/>
    </row>
    <row r="1565" spans="1:15" s="7" customFormat="1" ht="18.75">
      <c r="A1565" s="56"/>
      <c r="B1565" s="57"/>
      <c r="C1565" s="29" t="s">
        <v>212</v>
      </c>
      <c r="D1565" s="32" t="s">
        <v>836</v>
      </c>
      <c r="E1565" s="44">
        <v>44084</v>
      </c>
      <c r="F1565" s="34">
        <v>50419702.325979747</v>
      </c>
      <c r="G1565" s="75" t="s">
        <v>213</v>
      </c>
      <c r="H1565" s="244">
        <v>50419702.329999998</v>
      </c>
      <c r="I1565" s="35" t="s">
        <v>1143</v>
      </c>
      <c r="J1565" s="37">
        <f t="shared" si="88"/>
        <v>-4.0202513337135315E-3</v>
      </c>
      <c r="K1565" s="73">
        <f t="shared" si="89"/>
        <v>61326183.671822645</v>
      </c>
      <c r="L1565" s="39"/>
      <c r="M1565" s="40"/>
      <c r="N1565" s="40"/>
      <c r="O1565" s="41"/>
    </row>
    <row r="1566" spans="1:15" s="7" customFormat="1" ht="18.75">
      <c r="A1566" s="56"/>
      <c r="B1566" s="57"/>
      <c r="C1566" s="29" t="s">
        <v>214</v>
      </c>
      <c r="D1566" s="32" t="s">
        <v>838</v>
      </c>
      <c r="E1566" s="44">
        <v>43962</v>
      </c>
      <c r="F1566" s="34">
        <v>39059696.278841503</v>
      </c>
      <c r="G1566" s="75" t="s">
        <v>216</v>
      </c>
      <c r="H1566" s="244">
        <v>39059696.280000001</v>
      </c>
      <c r="I1566" s="35" t="s">
        <v>382</v>
      </c>
      <c r="J1566" s="37">
        <f t="shared" si="88"/>
        <v>-1.158498227596283E-3</v>
      </c>
      <c r="K1566" s="73">
        <f t="shared" si="89"/>
        <v>61326183.667802393</v>
      </c>
      <c r="L1566" s="39"/>
      <c r="M1566" s="40"/>
      <c r="N1566" s="40"/>
      <c r="O1566" s="41"/>
    </row>
    <row r="1567" spans="1:15" s="7" customFormat="1" ht="18.75">
      <c r="A1567" s="56"/>
      <c r="B1567" s="57"/>
      <c r="C1567" s="29" t="s">
        <v>218</v>
      </c>
      <c r="D1567" s="32" t="s">
        <v>840</v>
      </c>
      <c r="E1567" s="44">
        <v>44024</v>
      </c>
      <c r="F1567" s="34">
        <v>27976103.877334248</v>
      </c>
      <c r="G1567" s="75">
        <v>44531</v>
      </c>
      <c r="H1567" s="244">
        <v>27976103.879999999</v>
      </c>
      <c r="I1567" s="35" t="s">
        <v>1440</v>
      </c>
      <c r="J1567" s="37">
        <f t="shared" si="88"/>
        <v>-2.6657506823539734E-3</v>
      </c>
      <c r="K1567" s="73">
        <f t="shared" si="89"/>
        <v>61326183.666643895</v>
      </c>
      <c r="L1567" s="39"/>
      <c r="M1567" s="40"/>
      <c r="N1567" s="40"/>
      <c r="O1567" s="41"/>
    </row>
    <row r="1568" spans="1:15" s="7" customFormat="1" ht="18.75">
      <c r="A1568" s="56"/>
      <c r="B1568" s="57"/>
      <c r="C1568" s="29" t="s">
        <v>219</v>
      </c>
      <c r="D1568" s="32" t="s">
        <v>841</v>
      </c>
      <c r="E1568" s="44">
        <v>44409</v>
      </c>
      <c r="F1568" s="34">
        <v>40197687.284130752</v>
      </c>
      <c r="G1568" s="75" t="s">
        <v>220</v>
      </c>
      <c r="H1568" s="244">
        <v>40197687.280000001</v>
      </c>
      <c r="I1568" s="35" t="s">
        <v>604</v>
      </c>
      <c r="J1568" s="37">
        <f t="shared" si="88"/>
        <v>4.1307508945465088E-3</v>
      </c>
      <c r="K1568" s="73">
        <f t="shared" si="89"/>
        <v>61326183.663978145</v>
      </c>
      <c r="L1568" s="39"/>
      <c r="M1568" s="40"/>
      <c r="N1568" s="40"/>
      <c r="O1568" s="41"/>
    </row>
    <row r="1569" spans="1:15" s="7" customFormat="1" ht="18.75">
      <c r="A1569" s="56"/>
      <c r="B1569" s="57"/>
      <c r="C1569" s="29" t="s">
        <v>221</v>
      </c>
      <c r="D1569" s="32" t="s">
        <v>844</v>
      </c>
      <c r="E1569" s="44" t="s">
        <v>47</v>
      </c>
      <c r="F1569" s="34">
        <v>55894873.978943996</v>
      </c>
      <c r="G1569" s="75" t="s">
        <v>1442</v>
      </c>
      <c r="H1569" s="244">
        <v>55894873.979999997</v>
      </c>
      <c r="I1569" s="35" t="s">
        <v>297</v>
      </c>
      <c r="J1569" s="37">
        <f t="shared" si="88"/>
        <v>-1.0560005903244019E-3</v>
      </c>
      <c r="K1569" s="73">
        <f t="shared" si="89"/>
        <v>61326183.668108895</v>
      </c>
      <c r="L1569" s="39"/>
      <c r="M1569" s="40"/>
      <c r="N1569" s="40"/>
      <c r="O1569" s="41"/>
    </row>
    <row r="1570" spans="1:15" s="7" customFormat="1" ht="18.75">
      <c r="A1570" s="56"/>
      <c r="B1570" s="57"/>
      <c r="C1570" s="29" t="s">
        <v>222</v>
      </c>
      <c r="D1570" s="32" t="s">
        <v>846</v>
      </c>
      <c r="E1570" s="44">
        <v>44319</v>
      </c>
      <c r="F1570" s="34">
        <v>47643829.658617504</v>
      </c>
      <c r="G1570" s="75" t="s">
        <v>224</v>
      </c>
      <c r="H1570" s="244">
        <v>47643829.659999996</v>
      </c>
      <c r="I1570" s="35" t="s">
        <v>789</v>
      </c>
      <c r="J1570" s="37">
        <f t="shared" si="88"/>
        <v>-1.3824924826622009E-3</v>
      </c>
      <c r="K1570" s="73">
        <f t="shared" si="89"/>
        <v>61326183.667052895</v>
      </c>
      <c r="L1570" s="39">
        <v>61387094.939999998</v>
      </c>
      <c r="M1570" s="40" t="s">
        <v>1033</v>
      </c>
      <c r="N1570" s="40"/>
      <c r="O1570" s="41"/>
    </row>
    <row r="1571" spans="1:15" s="7" customFormat="1" ht="18.75">
      <c r="A1571" s="56"/>
      <c r="B1571" s="57"/>
      <c r="C1571" s="29" t="s">
        <v>349</v>
      </c>
      <c r="D1571" s="32" t="s">
        <v>847</v>
      </c>
      <c r="E1571" s="44">
        <v>44381</v>
      </c>
      <c r="F1571" s="34">
        <v>61387094.934742503</v>
      </c>
      <c r="G1571" s="75" t="s">
        <v>351</v>
      </c>
      <c r="H1571" s="244">
        <v>61387094.939999998</v>
      </c>
      <c r="I1571" s="35" t="s">
        <v>1033</v>
      </c>
      <c r="J1571" s="37">
        <f t="shared" si="88"/>
        <v>-5.2574947476387024E-3</v>
      </c>
      <c r="K1571" s="73">
        <f t="shared" si="89"/>
        <v>61326183.665670402</v>
      </c>
      <c r="L1571" s="39"/>
      <c r="M1571" s="40"/>
      <c r="N1571" s="40"/>
      <c r="O1571" s="41"/>
    </row>
    <row r="1572" spans="1:15" s="7" customFormat="1" ht="18.75">
      <c r="A1572" s="56"/>
      <c r="B1572" s="30" t="s">
        <v>1443</v>
      </c>
      <c r="C1572" s="41"/>
      <c r="D1572" s="32"/>
      <c r="E1572" s="44"/>
      <c r="F1572" s="34"/>
      <c r="G1572" s="76"/>
      <c r="H1572" s="247"/>
      <c r="I1572" s="35"/>
      <c r="J1572" s="37"/>
      <c r="K1572" s="79">
        <f t="shared" si="89"/>
        <v>61326183.660412908</v>
      </c>
      <c r="L1572" s="39"/>
      <c r="M1572" s="40"/>
      <c r="N1572" s="40"/>
      <c r="O1572" s="41"/>
    </row>
    <row r="1573" spans="1:15" s="7" customFormat="1" ht="18.75">
      <c r="A1573" s="56"/>
      <c r="B1573" s="236"/>
      <c r="C1573" s="41"/>
      <c r="D1573" s="32"/>
      <c r="E1573" s="44"/>
      <c r="F1573" s="34"/>
      <c r="G1573" s="76"/>
      <c r="H1573" s="247"/>
      <c r="I1573" s="35"/>
      <c r="J1573" s="37"/>
      <c r="K1573" s="79"/>
      <c r="L1573" s="39"/>
      <c r="M1573" s="40"/>
      <c r="N1573" s="40"/>
      <c r="O1573" s="41"/>
    </row>
    <row r="1574" spans="1:15" s="7" customFormat="1" ht="18.75">
      <c r="A1574" s="56">
        <v>40</v>
      </c>
      <c r="B1574" s="30" t="s">
        <v>88</v>
      </c>
      <c r="C1574" s="42" t="s">
        <v>142</v>
      </c>
      <c r="D1574" s="32" t="s">
        <v>1444</v>
      </c>
      <c r="E1574" s="44"/>
      <c r="F1574" s="86">
        <v>29812594.284376677</v>
      </c>
      <c r="G1574" s="35" t="s">
        <v>579</v>
      </c>
      <c r="H1574" s="115"/>
      <c r="I1574" s="35"/>
      <c r="J1574" s="37">
        <f>F1574-H1574</f>
        <v>29812594.284376677</v>
      </c>
      <c r="K1574" s="38"/>
      <c r="L1574" s="39"/>
      <c r="M1574" s="40"/>
      <c r="N1574" s="40"/>
      <c r="O1574" s="41"/>
    </row>
    <row r="1575" spans="1:15" s="7" customFormat="1" ht="18.75">
      <c r="A1575" s="56"/>
      <c r="B1575" s="30"/>
      <c r="C1575" s="42" t="s">
        <v>145</v>
      </c>
      <c r="D1575" s="32" t="s">
        <v>1445</v>
      </c>
      <c r="E1575" s="44"/>
      <c r="F1575" s="86">
        <v>44956831.832718752</v>
      </c>
      <c r="G1575" s="310"/>
      <c r="H1575" s="115"/>
      <c r="I1575" s="35"/>
      <c r="J1575" s="37">
        <f>F1575-H1575</f>
        <v>44956831.832718752</v>
      </c>
      <c r="K1575" s="37">
        <f>J1574+K1574</f>
        <v>29812594.284376677</v>
      </c>
      <c r="L1575" s="39"/>
      <c r="M1575" s="40"/>
      <c r="N1575" s="40"/>
      <c r="O1575" s="41"/>
    </row>
    <row r="1576" spans="1:15" s="7" customFormat="1" ht="18.75">
      <c r="A1576" s="56"/>
      <c r="B1576" s="30"/>
      <c r="C1576" s="42" t="s">
        <v>148</v>
      </c>
      <c r="D1576" s="32" t="s">
        <v>80</v>
      </c>
      <c r="E1576" s="44"/>
      <c r="F1576" s="86">
        <v>65237793.340175822</v>
      </c>
      <c r="G1576" s="35" t="s">
        <v>366</v>
      </c>
      <c r="H1576" s="115">
        <v>67206898.799999997</v>
      </c>
      <c r="I1576" s="35" t="s">
        <v>531</v>
      </c>
      <c r="J1576" s="37">
        <f>F1576-H1576</f>
        <v>-1969105.4598241746</v>
      </c>
      <c r="K1576" s="37">
        <f>J1575+K1575</f>
        <v>74769426.117095426</v>
      </c>
      <c r="L1576" s="39"/>
      <c r="M1576" s="40"/>
      <c r="N1576" s="40"/>
      <c r="O1576" s="41"/>
    </row>
    <row r="1577" spans="1:15" s="7" customFormat="1" ht="18.75">
      <c r="A1577" s="56"/>
      <c r="B1577" s="30"/>
      <c r="C1577" s="42"/>
      <c r="D1577" s="32"/>
      <c r="E1577" s="44"/>
      <c r="F1577" s="86"/>
      <c r="G1577" s="35"/>
      <c r="H1577" s="115"/>
      <c r="I1577" s="35"/>
      <c r="J1577" s="37"/>
      <c r="K1577" s="37">
        <f>J1576+K1576</f>
        <v>72800320.657271251</v>
      </c>
      <c r="L1577" s="39"/>
      <c r="M1577" s="40"/>
      <c r="N1577" s="40"/>
      <c r="O1577" s="41"/>
    </row>
    <row r="1578" spans="1:15" s="7" customFormat="1" ht="18.75">
      <c r="A1578" s="56"/>
      <c r="B1578" s="30" t="s">
        <v>1446</v>
      </c>
      <c r="C1578" s="31"/>
      <c r="D1578" s="32"/>
      <c r="E1578" s="44"/>
      <c r="F1578" s="86"/>
      <c r="G1578" s="35"/>
      <c r="H1578" s="115"/>
      <c r="I1578" s="35"/>
      <c r="J1578" s="37"/>
      <c r="K1578" s="38">
        <f>J1577+K1577</f>
        <v>72800320.657271251</v>
      </c>
      <c r="L1578" s="39"/>
      <c r="M1578" s="40"/>
      <c r="N1578" s="40"/>
      <c r="O1578" s="41"/>
    </row>
    <row r="1579" spans="1:15" s="7" customFormat="1" ht="18.75">
      <c r="A1579" s="56"/>
      <c r="B1579" s="30"/>
      <c r="C1579" s="31"/>
      <c r="D1579" s="32"/>
      <c r="E1579" s="44"/>
      <c r="F1579" s="86"/>
      <c r="G1579" s="35"/>
      <c r="H1579" s="115"/>
      <c r="I1579" s="35"/>
      <c r="J1579" s="37"/>
      <c r="K1579" s="38"/>
      <c r="L1579" s="39"/>
      <c r="M1579" s="40"/>
      <c r="N1579" s="40"/>
      <c r="O1579" s="41"/>
    </row>
    <row r="1580" spans="1:15" s="7" customFormat="1" ht="18.75">
      <c r="A1580" s="56">
        <v>41</v>
      </c>
      <c r="B1580" s="85" t="s">
        <v>89</v>
      </c>
      <c r="C1580" s="29" t="s">
        <v>609</v>
      </c>
      <c r="D1580" s="32" t="s">
        <v>359</v>
      </c>
      <c r="E1580" s="44"/>
      <c r="F1580" s="86">
        <v>26795638.52</v>
      </c>
      <c r="G1580" s="75">
        <v>42826</v>
      </c>
      <c r="H1580" s="208">
        <v>9579332.400000006</v>
      </c>
      <c r="I1580" s="248"/>
      <c r="J1580" s="37">
        <f t="shared" ref="J1580:J1593" si="90">F1580-H1580</f>
        <v>17216306.119999994</v>
      </c>
      <c r="K1580" s="249">
        <v>0</v>
      </c>
      <c r="L1580" s="71"/>
      <c r="M1580" s="40"/>
      <c r="N1580" s="40"/>
      <c r="O1580" s="41"/>
    </row>
    <row r="1581" spans="1:15" s="7" customFormat="1" ht="18.75">
      <c r="A1581" s="56"/>
      <c r="B1581" s="85"/>
      <c r="C1581" s="41" t="s">
        <v>611</v>
      </c>
      <c r="D1581" s="32" t="s">
        <v>202</v>
      </c>
      <c r="E1581" s="44"/>
      <c r="F1581" s="86">
        <v>27643435.170000002</v>
      </c>
      <c r="G1581" s="76"/>
      <c r="H1581" s="208"/>
      <c r="I1581" s="70"/>
      <c r="J1581" s="37">
        <f t="shared" si="90"/>
        <v>27643435.170000002</v>
      </c>
      <c r="K1581" s="249">
        <f>J1580+K1580</f>
        <v>17216306.119999994</v>
      </c>
      <c r="L1581" s="71"/>
      <c r="M1581" s="40"/>
      <c r="N1581" s="40"/>
      <c r="O1581" s="41"/>
    </row>
    <row r="1582" spans="1:15" s="7" customFormat="1" ht="18.75">
      <c r="A1582" s="56"/>
      <c r="B1582" s="109"/>
      <c r="C1582" s="29" t="s">
        <v>614</v>
      </c>
      <c r="D1582" s="32" t="s">
        <v>204</v>
      </c>
      <c r="E1582" s="44"/>
      <c r="F1582" s="118">
        <v>27905697.280000001</v>
      </c>
      <c r="G1582" s="119" t="s">
        <v>612</v>
      </c>
      <c r="H1582" s="208"/>
      <c r="I1582" s="70"/>
      <c r="J1582" s="37">
        <f t="shared" si="90"/>
        <v>27905697.280000001</v>
      </c>
      <c r="K1582" s="249">
        <f t="shared" ref="K1582:K1595" si="91">J1581+K1581</f>
        <v>44859741.289999992</v>
      </c>
      <c r="L1582" s="71"/>
      <c r="M1582" s="40"/>
      <c r="N1582" s="40"/>
      <c r="O1582" s="41"/>
    </row>
    <row r="1583" spans="1:15" s="7" customFormat="1" ht="18.75">
      <c r="A1583" s="56"/>
      <c r="B1583" s="109"/>
      <c r="C1583" s="29" t="s">
        <v>489</v>
      </c>
      <c r="D1583" s="32" t="s">
        <v>208</v>
      </c>
      <c r="E1583" s="44"/>
      <c r="F1583" s="118">
        <v>18452637.690000001</v>
      </c>
      <c r="G1583" s="98" t="s">
        <v>1447</v>
      </c>
      <c r="H1583" s="208"/>
      <c r="I1583" s="70"/>
      <c r="J1583" s="37">
        <f t="shared" si="90"/>
        <v>18452637.690000001</v>
      </c>
      <c r="K1583" s="249">
        <f t="shared" si="91"/>
        <v>72765438.569999993</v>
      </c>
      <c r="L1583" s="71"/>
      <c r="M1583" s="40"/>
      <c r="N1583" s="40"/>
      <c r="O1583" s="41"/>
    </row>
    <row r="1584" spans="1:15" s="7" customFormat="1" ht="18.75">
      <c r="A1584" s="56"/>
      <c r="B1584" s="109"/>
      <c r="C1584" s="29" t="s">
        <v>618</v>
      </c>
      <c r="D1584" s="32" t="s">
        <v>52</v>
      </c>
      <c r="E1584" s="44"/>
      <c r="F1584" s="118">
        <v>19602601.920000002</v>
      </c>
      <c r="G1584" s="98" t="s">
        <v>559</v>
      </c>
      <c r="H1584" s="208"/>
      <c r="I1584" s="70"/>
      <c r="J1584" s="37">
        <f t="shared" si="90"/>
        <v>19602601.920000002</v>
      </c>
      <c r="K1584" s="249">
        <f t="shared" si="91"/>
        <v>91218076.25999999</v>
      </c>
      <c r="L1584" s="71"/>
      <c r="M1584" s="40"/>
      <c r="N1584" s="40"/>
      <c r="O1584" s="41"/>
    </row>
    <row r="1585" spans="1:15" s="7" customFormat="1" ht="18.75">
      <c r="A1585" s="56"/>
      <c r="B1585" s="109"/>
      <c r="C1585" s="29" t="s">
        <v>560</v>
      </c>
      <c r="D1585" s="32" t="s">
        <v>215</v>
      </c>
      <c r="E1585" s="44"/>
      <c r="F1585" s="250">
        <v>18385127.219999999</v>
      </c>
      <c r="G1585" s="98">
        <v>42911</v>
      </c>
      <c r="H1585" s="208"/>
      <c r="I1585" s="70"/>
      <c r="J1585" s="37">
        <f t="shared" si="90"/>
        <v>18385127.219999999</v>
      </c>
      <c r="K1585" s="249">
        <f t="shared" si="91"/>
        <v>110820678.17999999</v>
      </c>
      <c r="L1585" s="71"/>
      <c r="M1585" s="40"/>
      <c r="N1585" s="40"/>
      <c r="O1585" s="41"/>
    </row>
    <row r="1586" spans="1:15" s="7" customFormat="1" ht="18.75">
      <c r="A1586" s="56"/>
      <c r="B1586" s="109"/>
      <c r="C1586" s="29" t="s">
        <v>562</v>
      </c>
      <c r="D1586" s="32" t="s">
        <v>65</v>
      </c>
      <c r="E1586" s="44"/>
      <c r="F1586" s="250">
        <v>19297788.420000002</v>
      </c>
      <c r="G1586" s="98">
        <v>42931</v>
      </c>
      <c r="H1586" s="208"/>
      <c r="I1586" s="70"/>
      <c r="J1586" s="37">
        <f t="shared" si="90"/>
        <v>19297788.420000002</v>
      </c>
      <c r="K1586" s="249">
        <f t="shared" si="91"/>
        <v>129205805.39999999</v>
      </c>
      <c r="L1586" s="71"/>
      <c r="M1586" s="40"/>
      <c r="N1586" s="40"/>
      <c r="O1586" s="41"/>
    </row>
    <row r="1587" spans="1:15" s="7" customFormat="1" ht="18.75">
      <c r="A1587" s="56"/>
      <c r="B1587" s="109"/>
      <c r="C1587" s="29" t="s">
        <v>494</v>
      </c>
      <c r="D1587" s="32" t="s">
        <v>71</v>
      </c>
      <c r="E1587" s="44"/>
      <c r="F1587" s="250">
        <v>17460155.609999999</v>
      </c>
      <c r="G1587" s="98"/>
      <c r="H1587" s="208"/>
      <c r="I1587" s="70"/>
      <c r="J1587" s="37">
        <f t="shared" si="90"/>
        <v>17460155.609999999</v>
      </c>
      <c r="K1587" s="249">
        <f t="shared" si="91"/>
        <v>148503593.81999999</v>
      </c>
      <c r="L1587" s="71"/>
      <c r="M1587" s="40"/>
      <c r="N1587" s="40"/>
      <c r="O1587" s="41"/>
    </row>
    <row r="1588" spans="1:15" s="7" customFormat="1" ht="18.75">
      <c r="A1588" s="56"/>
      <c r="B1588" s="109"/>
      <c r="C1588" s="29" t="s">
        <v>1157</v>
      </c>
      <c r="D1588" s="32" t="s">
        <v>26</v>
      </c>
      <c r="E1588" s="44"/>
      <c r="F1588" s="250">
        <v>13632088.800000001</v>
      </c>
      <c r="G1588" s="98"/>
      <c r="H1588" s="208"/>
      <c r="I1588" s="70"/>
      <c r="J1588" s="37">
        <f t="shared" si="90"/>
        <v>13632088.800000001</v>
      </c>
      <c r="K1588" s="249">
        <f t="shared" si="91"/>
        <v>165963749.43000001</v>
      </c>
      <c r="L1588" s="71"/>
      <c r="M1588" s="40"/>
      <c r="N1588" s="40"/>
      <c r="O1588" s="41"/>
    </row>
    <row r="1589" spans="1:15" s="7" customFormat="1" ht="18.75">
      <c r="A1589" s="56"/>
      <c r="B1589" s="109"/>
      <c r="C1589" s="29" t="s">
        <v>1209</v>
      </c>
      <c r="D1589" s="32" t="s">
        <v>223</v>
      </c>
      <c r="E1589" s="44"/>
      <c r="F1589" s="250">
        <v>15725523.26</v>
      </c>
      <c r="G1589" s="98"/>
      <c r="H1589" s="208"/>
      <c r="I1589" s="70"/>
      <c r="J1589" s="37">
        <f t="shared" si="90"/>
        <v>15725523.26</v>
      </c>
      <c r="K1589" s="249">
        <f t="shared" si="91"/>
        <v>179595838.23000002</v>
      </c>
      <c r="L1589" s="71"/>
      <c r="M1589" s="40"/>
      <c r="N1589" s="40"/>
      <c r="O1589" s="41"/>
    </row>
    <row r="1590" spans="1:15" s="7" customFormat="1" ht="18.75">
      <c r="A1590" s="56"/>
      <c r="B1590" s="109"/>
      <c r="C1590" s="29" t="s">
        <v>1347</v>
      </c>
      <c r="D1590" s="32" t="s">
        <v>367</v>
      </c>
      <c r="E1590" s="44"/>
      <c r="F1590" s="250">
        <v>10497978.1</v>
      </c>
      <c r="G1590" s="98" t="s">
        <v>1193</v>
      </c>
      <c r="H1590" s="208"/>
      <c r="I1590" s="70"/>
      <c r="J1590" s="37">
        <f t="shared" si="90"/>
        <v>10497978.1</v>
      </c>
      <c r="K1590" s="249">
        <f t="shared" si="91"/>
        <v>195321361.49000001</v>
      </c>
      <c r="L1590" s="71"/>
      <c r="M1590" s="40"/>
      <c r="N1590" s="40"/>
      <c r="O1590" s="41"/>
    </row>
    <row r="1591" spans="1:15" s="7" customFormat="1" ht="18.75">
      <c r="A1591" s="56"/>
      <c r="B1591" s="109"/>
      <c r="C1591" s="29" t="s">
        <v>500</v>
      </c>
      <c r="D1591" s="32" t="s">
        <v>368</v>
      </c>
      <c r="E1591" s="44"/>
      <c r="F1591" s="250">
        <v>11604313.09</v>
      </c>
      <c r="G1591" s="98"/>
      <c r="H1591" s="208"/>
      <c r="I1591" s="70"/>
      <c r="J1591" s="37">
        <f t="shared" si="90"/>
        <v>11604313.09</v>
      </c>
      <c r="K1591" s="249">
        <f t="shared" si="91"/>
        <v>205819339.59</v>
      </c>
      <c r="L1591" s="71"/>
      <c r="M1591" s="40"/>
      <c r="N1591" s="40"/>
      <c r="O1591" s="41"/>
    </row>
    <row r="1592" spans="1:15" s="7" customFormat="1" ht="18.75">
      <c r="A1592" s="56"/>
      <c r="B1592" s="109"/>
      <c r="C1592" s="29" t="s">
        <v>501</v>
      </c>
      <c r="D1592" s="32" t="s">
        <v>370</v>
      </c>
      <c r="E1592" s="44"/>
      <c r="F1592" s="250">
        <v>10163243.18</v>
      </c>
      <c r="G1592" s="98"/>
      <c r="H1592" s="208"/>
      <c r="I1592" s="70"/>
      <c r="J1592" s="37">
        <f t="shared" si="90"/>
        <v>10163243.18</v>
      </c>
      <c r="K1592" s="249">
        <f t="shared" si="91"/>
        <v>217423652.68000001</v>
      </c>
      <c r="L1592" s="71"/>
      <c r="M1592" s="40"/>
      <c r="N1592" s="40"/>
      <c r="O1592" s="41"/>
    </row>
    <row r="1593" spans="1:15" s="7" customFormat="1" ht="18.75">
      <c r="A1593" s="56"/>
      <c r="B1593" s="109"/>
      <c r="C1593" s="29" t="s">
        <v>504</v>
      </c>
      <c r="D1593" s="32" t="s">
        <v>371</v>
      </c>
      <c r="E1593" s="44"/>
      <c r="F1593" s="250">
        <v>1994671.38</v>
      </c>
      <c r="G1593" s="98"/>
      <c r="H1593" s="208"/>
      <c r="I1593" s="70"/>
      <c r="J1593" s="37">
        <f t="shared" si="90"/>
        <v>1994671.38</v>
      </c>
      <c r="K1593" s="249">
        <f t="shared" si="91"/>
        <v>227586895.86000001</v>
      </c>
      <c r="L1593" s="71"/>
      <c r="M1593" s="40"/>
      <c r="N1593" s="40"/>
      <c r="O1593" s="41"/>
    </row>
    <row r="1594" spans="1:15" s="7" customFormat="1" ht="18.75">
      <c r="A1594" s="56"/>
      <c r="B1594" s="109"/>
      <c r="C1594" s="29"/>
      <c r="D1594" s="32"/>
      <c r="E1594" s="44"/>
      <c r="F1594" s="250"/>
      <c r="G1594" s="98"/>
      <c r="H1594" s="208"/>
      <c r="I1594" s="70"/>
      <c r="J1594" s="37"/>
      <c r="K1594" s="249">
        <f t="shared" si="91"/>
        <v>229581567.24000001</v>
      </c>
      <c r="L1594" s="71"/>
      <c r="M1594" s="40"/>
      <c r="N1594" s="40"/>
      <c r="O1594" s="41"/>
    </row>
    <row r="1595" spans="1:15" s="7" customFormat="1" ht="18.75">
      <c r="A1595" s="56"/>
      <c r="B1595" s="85" t="s">
        <v>1448</v>
      </c>
      <c r="C1595" s="251"/>
      <c r="D1595" s="32"/>
      <c r="E1595" s="44"/>
      <c r="F1595" s="86"/>
      <c r="G1595" s="35"/>
      <c r="H1595" s="54"/>
      <c r="I1595" s="35"/>
      <c r="J1595" s="37">
        <f>F1595-H1595</f>
        <v>0</v>
      </c>
      <c r="K1595" s="88">
        <f t="shared" si="91"/>
        <v>229581567.24000001</v>
      </c>
      <c r="L1595" s="39"/>
      <c r="M1595" s="40"/>
      <c r="N1595" s="40"/>
      <c r="O1595" s="41"/>
    </row>
    <row r="1596" spans="1:15" s="7" customFormat="1" ht="18.75">
      <c r="A1596" s="56"/>
      <c r="B1596" s="252"/>
      <c r="C1596" s="251"/>
      <c r="D1596" s="45"/>
      <c r="E1596" s="44"/>
      <c r="F1596" s="86"/>
      <c r="G1596" s="35"/>
      <c r="H1596" s="54"/>
      <c r="I1596" s="35"/>
      <c r="J1596" s="37"/>
      <c r="K1596" s="88"/>
      <c r="L1596" s="39"/>
      <c r="M1596" s="40"/>
      <c r="N1596" s="40"/>
      <c r="O1596" s="41"/>
    </row>
    <row r="1597" spans="1:15" s="7" customFormat="1" ht="18.75">
      <c r="A1597" s="56">
        <v>42</v>
      </c>
      <c r="B1597" s="46" t="s">
        <v>90</v>
      </c>
      <c r="C1597" s="31" t="s">
        <v>226</v>
      </c>
      <c r="D1597" s="45" t="s">
        <v>528</v>
      </c>
      <c r="E1597" s="44"/>
      <c r="F1597" s="34">
        <v>12257113.42</v>
      </c>
      <c r="G1597" s="35"/>
      <c r="H1597" s="47">
        <v>12257113.42</v>
      </c>
      <c r="I1597" s="35"/>
      <c r="J1597" s="37">
        <f>F1597-H1597</f>
        <v>0</v>
      </c>
      <c r="K1597" s="37">
        <f>J1597</f>
        <v>0</v>
      </c>
      <c r="L1597" s="39"/>
      <c r="M1597" s="40"/>
      <c r="N1597" s="40"/>
      <c r="O1597" s="41"/>
    </row>
    <row r="1598" spans="1:15" s="7" customFormat="1" ht="18.75">
      <c r="A1598" s="56"/>
      <c r="B1598" s="46"/>
      <c r="C1598" s="31" t="s">
        <v>228</v>
      </c>
      <c r="D1598" s="45" t="s">
        <v>35</v>
      </c>
      <c r="E1598" s="44"/>
      <c r="F1598" s="34">
        <v>15797500.16</v>
      </c>
      <c r="G1598" s="35"/>
      <c r="H1598" s="47">
        <v>15797500.16</v>
      </c>
      <c r="I1598" s="35"/>
      <c r="J1598" s="37">
        <f t="shared" ref="J1598:J1635" si="92">F1598-H1598</f>
        <v>0</v>
      </c>
      <c r="K1598" s="37">
        <f>J1598+K1597</f>
        <v>0</v>
      </c>
      <c r="L1598" s="39"/>
      <c r="M1598" s="40"/>
      <c r="N1598" s="40"/>
      <c r="O1598" s="41"/>
    </row>
    <row r="1599" spans="1:15" s="7" customFormat="1" ht="18.75">
      <c r="A1599" s="56"/>
      <c r="B1599" s="46"/>
      <c r="C1599" s="31" t="s">
        <v>231</v>
      </c>
      <c r="D1599" s="45" t="s">
        <v>530</v>
      </c>
      <c r="E1599" s="44"/>
      <c r="F1599" s="34">
        <v>8382751.3090019999</v>
      </c>
      <c r="G1599" s="35"/>
      <c r="H1599" s="47">
        <v>8382751.3090019999</v>
      </c>
      <c r="I1599" s="35"/>
      <c r="J1599" s="37">
        <f t="shared" si="92"/>
        <v>0</v>
      </c>
      <c r="K1599" s="37">
        <f t="shared" ref="K1599:K1624" si="93">J1599+K1598</f>
        <v>0</v>
      </c>
      <c r="L1599" s="39"/>
      <c r="M1599" s="40"/>
      <c r="N1599" s="40"/>
      <c r="O1599" s="41"/>
    </row>
    <row r="1600" spans="1:15" s="7" customFormat="1" ht="18.75">
      <c r="A1600" s="56"/>
      <c r="B1600" s="46"/>
      <c r="C1600" s="31" t="s">
        <v>234</v>
      </c>
      <c r="D1600" s="45" t="s">
        <v>532</v>
      </c>
      <c r="E1600" s="44"/>
      <c r="F1600" s="34">
        <v>16761013.018175999</v>
      </c>
      <c r="G1600" s="35"/>
      <c r="H1600" s="47">
        <v>16761013.018175999</v>
      </c>
      <c r="I1600" s="35"/>
      <c r="J1600" s="37">
        <f t="shared" si="92"/>
        <v>0</v>
      </c>
      <c r="K1600" s="37">
        <f t="shared" si="93"/>
        <v>0</v>
      </c>
      <c r="L1600" s="39"/>
      <c r="M1600" s="40"/>
      <c r="N1600" s="40"/>
      <c r="O1600" s="41"/>
    </row>
    <row r="1601" spans="1:15" s="7" customFormat="1" ht="18.75">
      <c r="A1601" s="56"/>
      <c r="B1601" s="46"/>
      <c r="C1601" s="31" t="s">
        <v>236</v>
      </c>
      <c r="D1601" s="45" t="s">
        <v>534</v>
      </c>
      <c r="E1601" s="44"/>
      <c r="F1601" s="34">
        <v>19293418.6365375</v>
      </c>
      <c r="G1601" s="35"/>
      <c r="H1601" s="48">
        <v>19293418.6365375</v>
      </c>
      <c r="I1601" s="35"/>
      <c r="J1601" s="37">
        <f t="shared" si="92"/>
        <v>0</v>
      </c>
      <c r="K1601" s="37">
        <f t="shared" si="93"/>
        <v>0</v>
      </c>
      <c r="L1601" s="39"/>
      <c r="M1601" s="40"/>
      <c r="N1601" s="40"/>
      <c r="O1601" s="41"/>
    </row>
    <row r="1602" spans="1:15" s="7" customFormat="1" ht="18.75">
      <c r="A1602" s="56"/>
      <c r="B1602" s="46"/>
      <c r="C1602" s="31" t="s">
        <v>238</v>
      </c>
      <c r="D1602" s="45" t="s">
        <v>535</v>
      </c>
      <c r="E1602" s="44"/>
      <c r="F1602" s="34">
        <v>22281539.1752625</v>
      </c>
      <c r="G1602" s="35"/>
      <c r="H1602" s="47">
        <v>22281539.1752625</v>
      </c>
      <c r="I1602" s="35"/>
      <c r="J1602" s="37">
        <f t="shared" si="92"/>
        <v>0</v>
      </c>
      <c r="K1602" s="37">
        <v>-9.9799968302249908E-4</v>
      </c>
      <c r="L1602" s="39"/>
      <c r="M1602" s="40"/>
      <c r="N1602" s="40"/>
      <c r="O1602" s="41"/>
    </row>
    <row r="1603" spans="1:15" s="7" customFormat="1" ht="18.75">
      <c r="A1603" s="56"/>
      <c r="B1603" s="46"/>
      <c r="C1603" s="31" t="s">
        <v>240</v>
      </c>
      <c r="D1603" s="45" t="s">
        <v>536</v>
      </c>
      <c r="E1603" s="44"/>
      <c r="F1603" s="34">
        <v>21943572.684295502</v>
      </c>
      <c r="G1603" s="35"/>
      <c r="H1603" s="47">
        <v>21943572.684295502</v>
      </c>
      <c r="I1603" s="35"/>
      <c r="J1603" s="37">
        <f t="shared" si="92"/>
        <v>0</v>
      </c>
      <c r="K1603" s="37">
        <f t="shared" si="93"/>
        <v>-9.9799968302249908E-4</v>
      </c>
      <c r="L1603" s="39"/>
      <c r="M1603" s="40"/>
      <c r="N1603" s="40"/>
      <c r="O1603" s="41"/>
    </row>
    <row r="1604" spans="1:15" s="7" customFormat="1" ht="18.75">
      <c r="A1604" s="56"/>
      <c r="B1604" s="46"/>
      <c r="C1604" s="31" t="s">
        <v>243</v>
      </c>
      <c r="D1604" s="45" t="s">
        <v>538</v>
      </c>
      <c r="E1604" s="44"/>
      <c r="F1604" s="34">
        <v>20851199.256562501</v>
      </c>
      <c r="G1604" s="35"/>
      <c r="H1604" s="47">
        <v>20851199.256562501</v>
      </c>
      <c r="I1604" s="35"/>
      <c r="J1604" s="37">
        <f t="shared" si="92"/>
        <v>0</v>
      </c>
      <c r="K1604" s="37">
        <f t="shared" si="93"/>
        <v>-9.9799968302249908E-4</v>
      </c>
      <c r="L1604" s="39"/>
      <c r="M1604" s="40"/>
      <c r="N1604" s="40"/>
      <c r="O1604" s="41"/>
    </row>
    <row r="1605" spans="1:15" s="7" customFormat="1" ht="18.75">
      <c r="A1605" s="56"/>
      <c r="B1605" s="46"/>
      <c r="C1605" s="31" t="s">
        <v>246</v>
      </c>
      <c r="D1605" s="45" t="s">
        <v>43</v>
      </c>
      <c r="E1605" s="44"/>
      <c r="F1605" s="34">
        <v>19235001.645846002</v>
      </c>
      <c r="G1605" s="35"/>
      <c r="H1605" s="47">
        <v>19235001.645846002</v>
      </c>
      <c r="I1605" s="35"/>
      <c r="J1605" s="37">
        <f t="shared" si="92"/>
        <v>0</v>
      </c>
      <c r="K1605" s="37">
        <f t="shared" si="93"/>
        <v>-9.9799968302249908E-4</v>
      </c>
      <c r="L1605" s="39"/>
      <c r="M1605" s="40"/>
      <c r="N1605" s="40"/>
      <c r="O1605" s="59"/>
    </row>
    <row r="1606" spans="1:15" s="7" customFormat="1" ht="18.75">
      <c r="A1606" s="56"/>
      <c r="B1606" s="46"/>
      <c r="C1606" s="31" t="s">
        <v>248</v>
      </c>
      <c r="D1606" s="45" t="s">
        <v>540</v>
      </c>
      <c r="E1606" s="44"/>
      <c r="F1606" s="34">
        <v>25111162.753204498</v>
      </c>
      <c r="G1606" s="35"/>
      <c r="H1606" s="47">
        <v>25111162.75</v>
      </c>
      <c r="I1606" s="35"/>
      <c r="J1606" s="37">
        <f t="shared" si="92"/>
        <v>3.2044984400272369E-3</v>
      </c>
      <c r="K1606" s="37">
        <f t="shared" si="93"/>
        <v>2.2064987570047379E-3</v>
      </c>
      <c r="L1606" s="39"/>
      <c r="M1606" s="40"/>
      <c r="N1606" s="40"/>
      <c r="O1606" s="41"/>
    </row>
    <row r="1607" spans="1:15" s="7" customFormat="1" ht="18.75">
      <c r="A1607" s="56"/>
      <c r="B1607" s="46"/>
      <c r="C1607" s="31" t="s">
        <v>250</v>
      </c>
      <c r="D1607" s="45" t="s">
        <v>542</v>
      </c>
      <c r="E1607" s="44"/>
      <c r="F1607" s="34">
        <v>20621531.440000001</v>
      </c>
      <c r="G1607" s="35"/>
      <c r="H1607" s="47">
        <v>20621531.440000001</v>
      </c>
      <c r="I1607" s="35"/>
      <c r="J1607" s="37">
        <f t="shared" si="92"/>
        <v>0</v>
      </c>
      <c r="K1607" s="37">
        <f t="shared" si="93"/>
        <v>2.2064987570047379E-3</v>
      </c>
      <c r="L1607" s="39"/>
      <c r="M1607" s="40"/>
      <c r="N1607" s="40"/>
      <c r="O1607" s="41"/>
    </row>
    <row r="1608" spans="1:15" s="7" customFormat="1" ht="18.75">
      <c r="A1608" s="56"/>
      <c r="B1608" s="46"/>
      <c r="C1608" s="31" t="s">
        <v>139</v>
      </c>
      <c r="D1608" s="45" t="s">
        <v>543</v>
      </c>
      <c r="E1608" s="44"/>
      <c r="F1608" s="34">
        <v>17055397.096394997</v>
      </c>
      <c r="G1608" s="35"/>
      <c r="H1608" s="47">
        <v>17055397.096394997</v>
      </c>
      <c r="I1608" s="35"/>
      <c r="J1608" s="37">
        <f t="shared" si="92"/>
        <v>0</v>
      </c>
      <c r="K1608" s="37">
        <f t="shared" si="93"/>
        <v>2.2064987570047379E-3</v>
      </c>
      <c r="L1608" s="39"/>
      <c r="M1608" s="40"/>
      <c r="N1608" s="40"/>
      <c r="O1608" s="41"/>
    </row>
    <row r="1609" spans="1:15" s="7" customFormat="1" ht="18.75">
      <c r="A1609" s="56"/>
      <c r="B1609" s="46"/>
      <c r="C1609" s="31" t="s">
        <v>254</v>
      </c>
      <c r="D1609" s="45" t="s">
        <v>544</v>
      </c>
      <c r="E1609" s="44"/>
      <c r="F1609" s="34">
        <v>8358328.5541559989</v>
      </c>
      <c r="G1609" s="35" t="s">
        <v>164</v>
      </c>
      <c r="H1609" s="47">
        <v>8358328.5541559989</v>
      </c>
      <c r="I1609" s="35" t="s">
        <v>256</v>
      </c>
      <c r="J1609" s="37">
        <f t="shared" si="92"/>
        <v>0</v>
      </c>
      <c r="K1609" s="37">
        <f t="shared" si="93"/>
        <v>2.2064987570047379E-3</v>
      </c>
      <c r="L1609" s="39"/>
      <c r="M1609" s="40"/>
      <c r="N1609" s="40"/>
      <c r="O1609" s="41"/>
    </row>
    <row r="1610" spans="1:15" s="7" customFormat="1" ht="18.75">
      <c r="A1610" s="56"/>
      <c r="B1610" s="46"/>
      <c r="C1610" s="31" t="s">
        <v>257</v>
      </c>
      <c r="D1610" s="45" t="s">
        <v>545</v>
      </c>
      <c r="E1610" s="44"/>
      <c r="F1610" s="34">
        <v>10480625.589923998</v>
      </c>
      <c r="G1610" s="35" t="s">
        <v>164</v>
      </c>
      <c r="H1610" s="47">
        <v>10480625.589923998</v>
      </c>
      <c r="I1610" s="35" t="s">
        <v>365</v>
      </c>
      <c r="J1610" s="37">
        <f t="shared" si="92"/>
        <v>0</v>
      </c>
      <c r="K1610" s="37">
        <f t="shared" si="93"/>
        <v>2.2064987570047379E-3</v>
      </c>
      <c r="L1610" s="39"/>
      <c r="M1610" s="40"/>
      <c r="N1610" s="40"/>
      <c r="O1610" s="41"/>
    </row>
    <row r="1611" spans="1:15" s="7" customFormat="1" ht="18.75">
      <c r="A1611" s="56"/>
      <c r="B1611" s="46"/>
      <c r="C1611" s="31" t="s">
        <v>259</v>
      </c>
      <c r="D1611" s="45" t="s">
        <v>38</v>
      </c>
      <c r="E1611" s="44"/>
      <c r="F1611" s="34">
        <v>17928300.212203495</v>
      </c>
      <c r="G1611" s="35" t="s">
        <v>164</v>
      </c>
      <c r="H1611" s="48">
        <v>17928300.212203495</v>
      </c>
      <c r="I1611" s="35" t="s">
        <v>365</v>
      </c>
      <c r="J1611" s="37">
        <f t="shared" si="92"/>
        <v>0</v>
      </c>
      <c r="K1611" s="37">
        <f t="shared" si="93"/>
        <v>2.2064987570047379E-3</v>
      </c>
      <c r="L1611" s="39"/>
      <c r="M1611" s="40"/>
      <c r="N1611" s="40"/>
      <c r="O1611" s="41"/>
    </row>
    <row r="1612" spans="1:15" s="7" customFormat="1" ht="18.75">
      <c r="A1612" s="56"/>
      <c r="B1612" s="46"/>
      <c r="C1612" s="31" t="s">
        <v>262</v>
      </c>
      <c r="D1612" s="45" t="s">
        <v>548</v>
      </c>
      <c r="E1612" s="44"/>
      <c r="F1612" s="34">
        <v>20598908.140408505</v>
      </c>
      <c r="G1612" s="35" t="s">
        <v>164</v>
      </c>
      <c r="H1612" s="47">
        <v>20598908.140408505</v>
      </c>
      <c r="I1612" s="35" t="s">
        <v>261</v>
      </c>
      <c r="J1612" s="37">
        <f t="shared" si="92"/>
        <v>0</v>
      </c>
      <c r="K1612" s="37">
        <f t="shared" si="93"/>
        <v>2.2064987570047379E-3</v>
      </c>
      <c r="L1612" s="39"/>
      <c r="M1612" s="40"/>
      <c r="N1612" s="40"/>
      <c r="O1612" s="41"/>
    </row>
    <row r="1613" spans="1:15" s="7" customFormat="1" ht="18.75">
      <c r="A1613" s="56"/>
      <c r="B1613" s="46"/>
      <c r="C1613" s="31" t="s">
        <v>264</v>
      </c>
      <c r="D1613" s="45" t="s">
        <v>550</v>
      </c>
      <c r="E1613" s="44"/>
      <c r="F1613" s="34">
        <v>24082167.285980999</v>
      </c>
      <c r="G1613" s="35" t="s">
        <v>164</v>
      </c>
      <c r="H1613" s="47">
        <v>24082167.285980999</v>
      </c>
      <c r="I1613" s="35" t="s">
        <v>725</v>
      </c>
      <c r="J1613" s="37">
        <f t="shared" si="92"/>
        <v>0</v>
      </c>
      <c r="K1613" s="37">
        <f t="shared" si="93"/>
        <v>2.2064987570047379E-3</v>
      </c>
      <c r="L1613" s="39"/>
      <c r="M1613" s="40"/>
      <c r="N1613" s="40"/>
      <c r="O1613" s="41"/>
    </row>
    <row r="1614" spans="1:15" s="7" customFormat="1" ht="18.75">
      <c r="A1614" s="56"/>
      <c r="B1614" s="46"/>
      <c r="C1614" s="31" t="s">
        <v>266</v>
      </c>
      <c r="D1614" s="45" t="s">
        <v>113</v>
      </c>
      <c r="E1614" s="44"/>
      <c r="F1614" s="34">
        <v>37553541.432403497</v>
      </c>
      <c r="G1614" s="35" t="s">
        <v>164</v>
      </c>
      <c r="H1614" s="47">
        <v>37553541.432403497</v>
      </c>
      <c r="I1614" s="35" t="s">
        <v>527</v>
      </c>
      <c r="J1614" s="37">
        <f t="shared" si="92"/>
        <v>0</v>
      </c>
      <c r="K1614" s="37">
        <f t="shared" si="93"/>
        <v>2.2064987570047379E-3</v>
      </c>
      <c r="L1614" s="39"/>
      <c r="M1614" s="40"/>
      <c r="N1614" s="40"/>
      <c r="O1614" s="41"/>
    </row>
    <row r="1615" spans="1:15" s="7" customFormat="1" ht="18.75">
      <c r="A1615" s="56"/>
      <c r="B1615" s="46"/>
      <c r="C1615" s="31" t="s">
        <v>162</v>
      </c>
      <c r="D1615" s="45" t="s">
        <v>229</v>
      </c>
      <c r="E1615" s="44"/>
      <c r="F1615" s="34">
        <v>35843347.078003496</v>
      </c>
      <c r="G1615" s="35" t="s">
        <v>164</v>
      </c>
      <c r="H1615" s="47">
        <v>35843347.078003496</v>
      </c>
      <c r="I1615" s="35" t="s">
        <v>1009</v>
      </c>
      <c r="J1615" s="37">
        <f t="shared" si="92"/>
        <v>0</v>
      </c>
      <c r="K1615" s="37">
        <f t="shared" si="93"/>
        <v>2.2064987570047379E-3</v>
      </c>
      <c r="L1615" s="39"/>
      <c r="M1615" s="40"/>
      <c r="N1615" s="40"/>
      <c r="O1615" s="41"/>
    </row>
    <row r="1616" spans="1:15" s="7" customFormat="1" ht="18.75">
      <c r="A1616" s="56"/>
      <c r="B1616" s="46"/>
      <c r="C1616" s="31" t="s">
        <v>166</v>
      </c>
      <c r="D1616" s="45" t="s">
        <v>232</v>
      </c>
      <c r="E1616" s="44"/>
      <c r="F1616" s="34">
        <v>35084648.279583</v>
      </c>
      <c r="G1616" s="35" t="s">
        <v>168</v>
      </c>
      <c r="H1616" s="47">
        <v>35084648.279583</v>
      </c>
      <c r="I1616" s="35" t="s">
        <v>161</v>
      </c>
      <c r="J1616" s="37">
        <f t="shared" si="92"/>
        <v>0</v>
      </c>
      <c r="K1616" s="37">
        <f t="shared" si="93"/>
        <v>2.2064987570047379E-3</v>
      </c>
      <c r="L1616" s="39"/>
      <c r="M1616" s="40"/>
      <c r="N1616" s="40"/>
      <c r="O1616" s="41"/>
    </row>
    <row r="1617" spans="1:15" s="7" customFormat="1" ht="18.75">
      <c r="A1617" s="56"/>
      <c r="B1617" s="46"/>
      <c r="C1617" s="31" t="s">
        <v>170</v>
      </c>
      <c r="D1617" s="45" t="s">
        <v>235</v>
      </c>
      <c r="E1617" s="44"/>
      <c r="F1617" s="34">
        <v>20379613.875641998</v>
      </c>
      <c r="G1617" s="35" t="s">
        <v>172</v>
      </c>
      <c r="H1617" s="47">
        <v>20379613.875641998</v>
      </c>
      <c r="I1617" s="35" t="s">
        <v>1449</v>
      </c>
      <c r="J1617" s="37">
        <f t="shared" si="92"/>
        <v>0</v>
      </c>
      <c r="K1617" s="37">
        <f t="shared" si="93"/>
        <v>2.2064987570047379E-3</v>
      </c>
      <c r="L1617" s="39"/>
      <c r="M1617" s="40"/>
      <c r="N1617" s="40"/>
      <c r="O1617" s="41"/>
    </row>
    <row r="1618" spans="1:15" s="7" customFormat="1" ht="18.75">
      <c r="A1618" s="56"/>
      <c r="B1618" s="46"/>
      <c r="C1618" s="31" t="s">
        <v>174</v>
      </c>
      <c r="D1618" s="45" t="s">
        <v>235</v>
      </c>
      <c r="E1618" s="44"/>
      <c r="F1618" s="34">
        <v>27314993.656649996</v>
      </c>
      <c r="G1618" s="35" t="s">
        <v>176</v>
      </c>
      <c r="H1618" s="47">
        <v>27314993.656649996</v>
      </c>
      <c r="I1618" s="35" t="s">
        <v>177</v>
      </c>
      <c r="J1618" s="37">
        <f t="shared" si="92"/>
        <v>0</v>
      </c>
      <c r="K1618" s="37">
        <f t="shared" si="93"/>
        <v>2.2064987570047379E-3</v>
      </c>
      <c r="L1618" s="39"/>
      <c r="M1618" s="40"/>
      <c r="N1618" s="40"/>
      <c r="O1618" s="41"/>
    </row>
    <row r="1619" spans="1:15" s="7" customFormat="1" ht="18.75">
      <c r="A1619" s="56"/>
      <c r="B1619" s="46"/>
      <c r="C1619" s="31" t="s">
        <v>178</v>
      </c>
      <c r="D1619" s="45" t="s">
        <v>237</v>
      </c>
      <c r="E1619" s="44"/>
      <c r="F1619" s="34">
        <v>33884836.098959997</v>
      </c>
      <c r="G1619" s="35" t="s">
        <v>179</v>
      </c>
      <c r="H1619" s="47">
        <v>33884836.098959997</v>
      </c>
      <c r="I1619" s="35" t="s">
        <v>848</v>
      </c>
      <c r="J1619" s="37">
        <f t="shared" si="92"/>
        <v>0</v>
      </c>
      <c r="K1619" s="37">
        <f t="shared" si="93"/>
        <v>2.2064987570047379E-3</v>
      </c>
      <c r="L1619" s="39"/>
      <c r="M1619" s="40"/>
      <c r="N1619" s="40"/>
      <c r="O1619" s="41"/>
    </row>
    <row r="1620" spans="1:15" s="7" customFormat="1" ht="18.75">
      <c r="A1620" s="56"/>
      <c r="B1620" s="46"/>
      <c r="C1620" s="31" t="s">
        <v>181</v>
      </c>
      <c r="D1620" s="45" t="s">
        <v>33</v>
      </c>
      <c r="E1620" s="44"/>
      <c r="F1620" s="34">
        <v>35349314.255010001</v>
      </c>
      <c r="G1620" s="35" t="s">
        <v>183</v>
      </c>
      <c r="H1620" s="47">
        <v>35349314.255010001</v>
      </c>
      <c r="I1620" s="35" t="s">
        <v>594</v>
      </c>
      <c r="J1620" s="37">
        <f t="shared" si="92"/>
        <v>0</v>
      </c>
      <c r="K1620" s="37">
        <f t="shared" si="93"/>
        <v>2.2064987570047379E-3</v>
      </c>
      <c r="L1620" s="39"/>
      <c r="M1620" s="40"/>
      <c r="N1620" s="40"/>
      <c r="O1620" s="41"/>
    </row>
    <row r="1621" spans="1:15" s="7" customFormat="1" ht="18.75">
      <c r="A1621" s="56"/>
      <c r="B1621" s="46"/>
      <c r="C1621" s="31" t="s">
        <v>185</v>
      </c>
      <c r="D1621" s="45" t="s">
        <v>244</v>
      </c>
      <c r="E1621" s="44"/>
      <c r="F1621" s="34">
        <v>29128941.996262498</v>
      </c>
      <c r="G1621" s="35" t="s">
        <v>730</v>
      </c>
      <c r="H1621" s="47">
        <v>29128941.996262498</v>
      </c>
      <c r="I1621" s="35" t="s">
        <v>1066</v>
      </c>
      <c r="J1621" s="37">
        <f t="shared" si="92"/>
        <v>0</v>
      </c>
      <c r="K1621" s="37">
        <f t="shared" si="93"/>
        <v>2.2064987570047379E-3</v>
      </c>
      <c r="L1621" s="39"/>
      <c r="M1621" s="40"/>
      <c r="N1621" s="40"/>
      <c r="O1621" s="41"/>
    </row>
    <row r="1622" spans="1:15" s="7" customFormat="1" ht="18.75">
      <c r="A1622" s="56"/>
      <c r="B1622" s="46"/>
      <c r="C1622" s="31" t="s">
        <v>189</v>
      </c>
      <c r="D1622" s="45" t="s">
        <v>57</v>
      </c>
      <c r="E1622" s="44"/>
      <c r="F1622" s="34">
        <v>14178556.625462247</v>
      </c>
      <c r="G1622" s="35" t="s">
        <v>190</v>
      </c>
      <c r="H1622" s="47">
        <v>14178556.630000001</v>
      </c>
      <c r="I1622" s="35" t="s">
        <v>1450</v>
      </c>
      <c r="J1622" s="37">
        <f t="shared" si="92"/>
        <v>-4.5377537608146667E-3</v>
      </c>
      <c r="K1622" s="37">
        <f t="shared" si="93"/>
        <v>-2.3312550038099289E-3</v>
      </c>
      <c r="L1622" s="39"/>
      <c r="M1622" s="40"/>
      <c r="N1622" s="40"/>
      <c r="O1622" s="41"/>
    </row>
    <row r="1623" spans="1:15" s="7" customFormat="1" ht="18.75">
      <c r="A1623" s="56"/>
      <c r="B1623" s="46"/>
      <c r="C1623" s="31" t="s">
        <v>191</v>
      </c>
      <c r="D1623" s="45" t="s">
        <v>249</v>
      </c>
      <c r="E1623" s="44">
        <v>43986</v>
      </c>
      <c r="F1623" s="34">
        <v>26662513.762316249</v>
      </c>
      <c r="G1623" s="35">
        <v>44140</v>
      </c>
      <c r="H1623" s="47">
        <v>26662513.760000002</v>
      </c>
      <c r="I1623" s="35" t="s">
        <v>1333</v>
      </c>
      <c r="J1623" s="37">
        <f t="shared" si="92"/>
        <v>2.3162476718425751E-3</v>
      </c>
      <c r="K1623" s="37">
        <f t="shared" si="93"/>
        <v>-1.5007331967353821E-5</v>
      </c>
      <c r="L1623" s="39"/>
      <c r="M1623" s="40"/>
      <c r="N1623" s="40"/>
      <c r="O1623" s="41"/>
    </row>
    <row r="1624" spans="1:15" s="7" customFormat="1" ht="18.75">
      <c r="A1624" s="56"/>
      <c r="B1624" s="46"/>
      <c r="C1624" s="31" t="s">
        <v>195</v>
      </c>
      <c r="D1624" s="45" t="s">
        <v>251</v>
      </c>
      <c r="E1624" s="44" t="s">
        <v>197</v>
      </c>
      <c r="F1624" s="34">
        <v>6917.8073737500008</v>
      </c>
      <c r="G1624" s="35" t="s">
        <v>334</v>
      </c>
      <c r="H1624" s="47">
        <v>6917.81</v>
      </c>
      <c r="I1624" s="35" t="s">
        <v>1140</v>
      </c>
      <c r="J1624" s="37">
        <f t="shared" si="92"/>
        <v>-2.6262499995937105E-3</v>
      </c>
      <c r="K1624" s="37">
        <f t="shared" si="93"/>
        <v>-2.6412573315610643E-3</v>
      </c>
      <c r="L1624" s="39"/>
      <c r="M1624" s="40"/>
      <c r="N1624" s="40"/>
      <c r="O1624" s="41"/>
    </row>
    <row r="1625" spans="1:15" s="7" customFormat="1" ht="18.75">
      <c r="A1625" s="56"/>
      <c r="B1625" s="46"/>
      <c r="C1625" s="31" t="s">
        <v>199</v>
      </c>
      <c r="D1625" s="45" t="s">
        <v>253</v>
      </c>
      <c r="E1625" s="44">
        <v>44049</v>
      </c>
      <c r="F1625" s="34">
        <v>30014.277150000002</v>
      </c>
      <c r="G1625" s="35" t="s">
        <v>734</v>
      </c>
      <c r="H1625" s="47">
        <v>30014.28</v>
      </c>
      <c r="I1625" s="35" t="s">
        <v>600</v>
      </c>
      <c r="J1625" s="37">
        <f t="shared" si="92"/>
        <v>-2.8499999971245416E-3</v>
      </c>
      <c r="K1625" s="253">
        <v>0</v>
      </c>
      <c r="L1625" s="39"/>
      <c r="M1625" s="40"/>
      <c r="N1625" s="40"/>
      <c r="O1625" s="41"/>
    </row>
    <row r="1626" spans="1:15" s="7" customFormat="1" ht="18.75">
      <c r="A1626" s="56"/>
      <c r="B1626" s="46"/>
      <c r="C1626" s="31" t="s">
        <v>201</v>
      </c>
      <c r="D1626" s="45" t="s">
        <v>255</v>
      </c>
      <c r="E1626" s="44" t="s">
        <v>449</v>
      </c>
      <c r="F1626" s="34">
        <v>11804470.058550002</v>
      </c>
      <c r="G1626" s="35" t="s">
        <v>858</v>
      </c>
      <c r="H1626" s="47">
        <v>11804470.060000001</v>
      </c>
      <c r="I1626" s="44">
        <v>43870</v>
      </c>
      <c r="J1626" s="37">
        <f t="shared" si="92"/>
        <v>-1.4499984681606293E-3</v>
      </c>
      <c r="K1626" s="37">
        <f t="shared" ref="K1626:K1636" si="94">J1625+K1625</f>
        <v>-2.8499999971245416E-3</v>
      </c>
      <c r="L1626" s="39"/>
      <c r="M1626" s="40"/>
      <c r="N1626" s="40"/>
      <c r="O1626" s="41"/>
    </row>
    <row r="1627" spans="1:15" s="7" customFormat="1" ht="18.75">
      <c r="A1627" s="56"/>
      <c r="B1627" s="46"/>
      <c r="C1627" s="31" t="s">
        <v>203</v>
      </c>
      <c r="D1627" s="45" t="s">
        <v>258</v>
      </c>
      <c r="E1627" s="44">
        <v>44020</v>
      </c>
      <c r="F1627" s="34">
        <v>31229675.044863749</v>
      </c>
      <c r="G1627" s="35" t="s">
        <v>450</v>
      </c>
      <c r="H1627" s="47">
        <v>31229675.044863749</v>
      </c>
      <c r="I1627" s="35" t="s">
        <v>586</v>
      </c>
      <c r="J1627" s="37">
        <f t="shared" si="92"/>
        <v>0</v>
      </c>
      <c r="K1627" s="37">
        <f t="shared" si="94"/>
        <v>-4.2999984652851708E-3</v>
      </c>
      <c r="L1627" s="39"/>
      <c r="M1627" s="40"/>
      <c r="N1627" s="40"/>
      <c r="O1627" s="41"/>
    </row>
    <row r="1628" spans="1:15" s="7" customFormat="1" ht="18.75">
      <c r="A1628" s="56"/>
      <c r="B1628" s="46"/>
      <c r="C1628" s="31" t="s">
        <v>207</v>
      </c>
      <c r="D1628" s="45" t="s">
        <v>260</v>
      </c>
      <c r="E1628" s="44" t="s">
        <v>1071</v>
      </c>
      <c r="F1628" s="34">
        <v>12376728.981320001</v>
      </c>
      <c r="G1628" s="35" t="s">
        <v>1451</v>
      </c>
      <c r="H1628" s="47">
        <v>12376728.98</v>
      </c>
      <c r="I1628" s="35" t="s">
        <v>1441</v>
      </c>
      <c r="J1628" s="37">
        <f t="shared" si="92"/>
        <v>1.3200007379055023E-3</v>
      </c>
      <c r="K1628" s="37">
        <f t="shared" si="94"/>
        <v>-4.2999984652851708E-3</v>
      </c>
      <c r="L1628" s="39"/>
      <c r="M1628" s="40"/>
      <c r="N1628" s="40"/>
      <c r="O1628" s="41"/>
    </row>
    <row r="1629" spans="1:15" s="7" customFormat="1" ht="18.75">
      <c r="A1629" s="56"/>
      <c r="B1629" s="46"/>
      <c r="C1629" s="31" t="s">
        <v>212</v>
      </c>
      <c r="D1629" s="45" t="s">
        <v>263</v>
      </c>
      <c r="E1629" s="44">
        <v>44084</v>
      </c>
      <c r="F1629" s="34">
        <v>39262474.753374003</v>
      </c>
      <c r="G1629" s="35" t="s">
        <v>213</v>
      </c>
      <c r="H1629" s="47">
        <v>39262474.75</v>
      </c>
      <c r="I1629" s="35" t="s">
        <v>288</v>
      </c>
      <c r="J1629" s="37">
        <f t="shared" si="92"/>
        <v>3.3740028738975525E-3</v>
      </c>
      <c r="K1629" s="37">
        <f t="shared" si="94"/>
        <v>-2.9799977273796685E-3</v>
      </c>
      <c r="L1629" s="39"/>
      <c r="M1629" s="40"/>
      <c r="N1629" s="40"/>
      <c r="O1629" s="41"/>
    </row>
    <row r="1630" spans="1:15" s="7" customFormat="1" ht="18.75">
      <c r="A1630" s="56"/>
      <c r="B1630" s="46"/>
      <c r="C1630" s="31" t="s">
        <v>214</v>
      </c>
      <c r="D1630" s="45" t="s">
        <v>265</v>
      </c>
      <c r="E1630" s="44">
        <v>43962</v>
      </c>
      <c r="F1630" s="34">
        <v>35471895.998366497</v>
      </c>
      <c r="G1630" s="35">
        <v>43963</v>
      </c>
      <c r="H1630" s="47">
        <v>35471896</v>
      </c>
      <c r="I1630" s="35" t="s">
        <v>382</v>
      </c>
      <c r="J1630" s="37">
        <f t="shared" si="92"/>
        <v>-1.6335025429725647E-3</v>
      </c>
      <c r="K1630" s="37">
        <f t="shared" si="94"/>
        <v>3.9400514651788399E-4</v>
      </c>
      <c r="L1630" s="39"/>
      <c r="M1630" s="40"/>
      <c r="N1630" s="40"/>
      <c r="O1630" s="41"/>
    </row>
    <row r="1631" spans="1:15" s="7" customFormat="1" ht="18.75">
      <c r="A1631" s="56"/>
      <c r="B1631" s="46"/>
      <c r="C1631" s="31" t="s">
        <v>218</v>
      </c>
      <c r="D1631" s="45" t="s">
        <v>267</v>
      </c>
      <c r="E1631" s="44">
        <v>44024</v>
      </c>
      <c r="F1631" s="34">
        <v>36122092.174868502</v>
      </c>
      <c r="G1631" s="35">
        <v>44531</v>
      </c>
      <c r="H1631" s="47">
        <v>36122092.18</v>
      </c>
      <c r="I1631" s="35" t="s">
        <v>1022</v>
      </c>
      <c r="J1631" s="37">
        <f t="shared" si="92"/>
        <v>-5.1314979791641235E-3</v>
      </c>
      <c r="K1631" s="37">
        <f t="shared" si="94"/>
        <v>-1.2394973964546807E-3</v>
      </c>
      <c r="L1631" s="39"/>
      <c r="M1631" s="40"/>
      <c r="N1631" s="40"/>
      <c r="O1631" s="41"/>
    </row>
    <row r="1632" spans="1:15" s="7" customFormat="1" ht="18.75">
      <c r="A1632" s="56"/>
      <c r="B1632" s="46"/>
      <c r="C1632" s="31" t="s">
        <v>219</v>
      </c>
      <c r="D1632" s="45" t="s">
        <v>268</v>
      </c>
      <c r="E1632" s="44">
        <v>44409</v>
      </c>
      <c r="F1632" s="34">
        <v>45154093.192015998</v>
      </c>
      <c r="G1632" s="35">
        <v>44379</v>
      </c>
      <c r="H1632" s="47">
        <v>45154093.189999998</v>
      </c>
      <c r="I1632" s="35">
        <v>44318</v>
      </c>
      <c r="J1632" s="37">
        <f t="shared" si="92"/>
        <v>2.0160004496574402E-3</v>
      </c>
      <c r="K1632" s="37">
        <f t="shared" si="94"/>
        <v>-6.3709953756188042E-3</v>
      </c>
      <c r="L1632" s="39"/>
      <c r="M1632" s="40"/>
      <c r="N1632" s="40"/>
      <c r="O1632" s="41"/>
    </row>
    <row r="1633" spans="1:15" s="7" customFormat="1" ht="18.75">
      <c r="A1633" s="56"/>
      <c r="B1633" s="46"/>
      <c r="C1633" s="31" t="s">
        <v>221</v>
      </c>
      <c r="D1633" s="45" t="s">
        <v>122</v>
      </c>
      <c r="E1633" s="44">
        <v>44441</v>
      </c>
      <c r="F1633" s="34">
        <v>35340856.288744003</v>
      </c>
      <c r="G1633" s="35" t="s">
        <v>93</v>
      </c>
      <c r="H1633" s="47">
        <v>35340856.289999999</v>
      </c>
      <c r="I1633" s="35">
        <v>44258</v>
      </c>
      <c r="J1633" s="37">
        <f t="shared" si="92"/>
        <v>-1.2559965252876282E-3</v>
      </c>
      <c r="K1633" s="37">
        <f t="shared" si="94"/>
        <v>-4.3549949259613641E-3</v>
      </c>
      <c r="L1633" s="39"/>
      <c r="M1633" s="40"/>
      <c r="N1633" s="40"/>
      <c r="O1633" s="41"/>
    </row>
    <row r="1634" spans="1:15" s="7" customFormat="1" ht="18.75">
      <c r="A1634" s="56"/>
      <c r="B1634" s="46"/>
      <c r="C1634" s="31" t="s">
        <v>222</v>
      </c>
      <c r="D1634" s="45" t="s">
        <v>271</v>
      </c>
      <c r="E1634" s="44">
        <v>44411</v>
      </c>
      <c r="F1634" s="34">
        <v>32269161.318429504</v>
      </c>
      <c r="G1634" s="35" t="s">
        <v>85</v>
      </c>
      <c r="H1634" s="47">
        <v>32269161.32</v>
      </c>
      <c r="I1634" s="35" t="s">
        <v>1452</v>
      </c>
      <c r="J1634" s="37">
        <f t="shared" si="92"/>
        <v>-1.5704967081546783E-3</v>
      </c>
      <c r="K1634" s="37">
        <f t="shared" si="94"/>
        <v>-5.6109914512489922E-3</v>
      </c>
      <c r="L1634" s="39"/>
      <c r="M1634" s="40"/>
      <c r="N1634" s="40"/>
      <c r="O1634" s="41"/>
    </row>
    <row r="1635" spans="1:15" s="7" customFormat="1" ht="18.75">
      <c r="A1635" s="56"/>
      <c r="B1635" s="46"/>
      <c r="C1635" s="31" t="s">
        <v>349</v>
      </c>
      <c r="D1635" s="45" t="s">
        <v>273</v>
      </c>
      <c r="E1635" s="44">
        <v>44381</v>
      </c>
      <c r="F1635" s="34">
        <v>47871799.249581002</v>
      </c>
      <c r="G1635" s="35" t="s">
        <v>351</v>
      </c>
      <c r="H1635" s="47">
        <v>47871799.25</v>
      </c>
      <c r="I1635" s="35" t="s">
        <v>1453</v>
      </c>
      <c r="J1635" s="37">
        <f t="shared" si="92"/>
        <v>-4.1899830102920532E-4</v>
      </c>
      <c r="K1635" s="37">
        <f t="shared" si="94"/>
        <v>-7.1814881594036706E-3</v>
      </c>
      <c r="L1635" s="39"/>
      <c r="M1635" s="40"/>
      <c r="N1635" s="40"/>
      <c r="O1635" s="41"/>
    </row>
    <row r="1636" spans="1:15" s="7" customFormat="1" ht="18.75">
      <c r="A1636" s="30"/>
      <c r="B1636" s="46" t="s">
        <v>1454</v>
      </c>
      <c r="C1636" s="31"/>
      <c r="D1636" s="45"/>
      <c r="E1636" s="44"/>
      <c r="F1636" s="161"/>
      <c r="G1636" s="35"/>
      <c r="H1636" s="36"/>
      <c r="I1636" s="35"/>
      <c r="J1636" s="37"/>
      <c r="K1636" s="38">
        <f t="shared" si="94"/>
        <v>-7.6004864604328759E-3</v>
      </c>
      <c r="L1636" s="39"/>
      <c r="M1636" s="40"/>
      <c r="N1636" s="40"/>
      <c r="O1636" s="41"/>
    </row>
    <row r="1637" spans="1:15" s="7" customFormat="1" ht="18.75">
      <c r="A1637" s="30"/>
      <c r="B1637" s="46"/>
      <c r="C1637" s="140"/>
      <c r="D1637" s="45"/>
      <c r="E1637" s="44"/>
      <c r="F1637" s="161"/>
      <c r="G1637" s="35"/>
      <c r="H1637" s="36"/>
      <c r="I1637" s="162"/>
      <c r="J1637" s="37"/>
      <c r="K1637" s="38"/>
      <c r="L1637" s="39"/>
      <c r="M1637" s="40"/>
      <c r="N1637" s="40"/>
      <c r="O1637" s="41"/>
    </row>
    <row r="1638" spans="1:15" s="7" customFormat="1" ht="18.75">
      <c r="A1638" s="56">
        <v>43</v>
      </c>
      <c r="B1638" s="30" t="s">
        <v>91</v>
      </c>
      <c r="C1638" s="140" t="s">
        <v>226</v>
      </c>
      <c r="D1638" s="32"/>
      <c r="E1638" s="44"/>
      <c r="F1638" s="34">
        <v>4516657.5877710842</v>
      </c>
      <c r="G1638" s="35"/>
      <c r="H1638" s="36"/>
      <c r="I1638" s="162"/>
      <c r="J1638" s="37">
        <f t="shared" ref="J1638:J1675" si="95">F1638-H1638</f>
        <v>4516657.5877710842</v>
      </c>
      <c r="K1638" s="38">
        <v>0</v>
      </c>
      <c r="L1638" s="39"/>
      <c r="M1638" s="40"/>
      <c r="N1638" s="40"/>
      <c r="O1638" s="41"/>
    </row>
    <row r="1639" spans="1:15" s="7" customFormat="1" ht="18.75">
      <c r="A1639" s="56"/>
      <c r="B1639" s="30"/>
      <c r="C1639" s="140" t="s">
        <v>228</v>
      </c>
      <c r="D1639" s="32"/>
      <c r="E1639" s="44"/>
      <c r="F1639" s="34">
        <v>2419637.9934487953</v>
      </c>
      <c r="G1639" s="35"/>
      <c r="H1639" s="36"/>
      <c r="I1639" s="162"/>
      <c r="J1639" s="37">
        <f t="shared" si="95"/>
        <v>2419637.9934487953</v>
      </c>
      <c r="K1639" s="37">
        <f t="shared" ref="K1639:K1676" si="96">J1638+K1638</f>
        <v>4516657.5877710842</v>
      </c>
      <c r="L1639" s="254"/>
      <c r="M1639" s="40"/>
      <c r="N1639" s="40"/>
      <c r="O1639" s="41"/>
    </row>
    <row r="1640" spans="1:15" s="7" customFormat="1" ht="18.75">
      <c r="A1640" s="56"/>
      <c r="B1640" s="30"/>
      <c r="C1640" s="127" t="s">
        <v>231</v>
      </c>
      <c r="D1640" s="51"/>
      <c r="E1640" s="44"/>
      <c r="F1640" s="34">
        <v>10113896.25</v>
      </c>
      <c r="H1640" s="54"/>
      <c r="I1640" s="53"/>
      <c r="J1640" s="37">
        <f t="shared" si="95"/>
        <v>10113896.25</v>
      </c>
      <c r="K1640" s="37">
        <f t="shared" si="96"/>
        <v>6936295.5812198799</v>
      </c>
      <c r="L1640" s="255"/>
      <c r="M1640" s="256"/>
      <c r="N1640" s="257">
        <v>465139.13</v>
      </c>
      <c r="O1640" s="127"/>
    </row>
    <row r="1641" spans="1:15" s="7" customFormat="1" ht="18.75">
      <c r="A1641" s="56"/>
      <c r="B1641" s="30"/>
      <c r="C1641" s="31" t="s">
        <v>234</v>
      </c>
      <c r="D1641" s="32" t="s">
        <v>140</v>
      </c>
      <c r="E1641" s="44"/>
      <c r="F1641" s="34">
        <v>13345756.036804624</v>
      </c>
      <c r="G1641" s="35"/>
      <c r="H1641" s="54"/>
      <c r="I1641" s="127"/>
      <c r="J1641" s="37">
        <f t="shared" si="95"/>
        <v>13345756.036804624</v>
      </c>
      <c r="K1641" s="37">
        <f t="shared" si="96"/>
        <v>17050191.831219882</v>
      </c>
      <c r="L1641" s="258"/>
      <c r="M1641" s="40"/>
      <c r="N1641" s="40"/>
      <c r="O1641" s="41"/>
    </row>
    <row r="1642" spans="1:15" s="7" customFormat="1" ht="18.75">
      <c r="A1642" s="56"/>
      <c r="B1642" s="30"/>
      <c r="C1642" s="259" t="s">
        <v>236</v>
      </c>
      <c r="D1642" s="32" t="s">
        <v>120</v>
      </c>
      <c r="E1642" s="44"/>
      <c r="F1642" s="34">
        <v>12499259.029563285</v>
      </c>
      <c r="G1642" s="35"/>
      <c r="H1642" s="36"/>
      <c r="I1642" s="162"/>
      <c r="J1642" s="37">
        <f t="shared" si="95"/>
        <v>12499259.029563285</v>
      </c>
      <c r="K1642" s="37">
        <f t="shared" si="96"/>
        <v>30395947.868024506</v>
      </c>
      <c r="L1642" s="39"/>
      <c r="M1642" s="40"/>
      <c r="N1642" s="40"/>
      <c r="O1642" s="41"/>
    </row>
    <row r="1643" spans="1:15" s="7" customFormat="1" ht="18.75">
      <c r="A1643" s="56"/>
      <c r="B1643" s="30"/>
      <c r="C1643" s="259" t="s">
        <v>238</v>
      </c>
      <c r="D1643" s="32" t="s">
        <v>146</v>
      </c>
      <c r="E1643" s="44"/>
      <c r="F1643" s="34">
        <v>7556064.2733882507</v>
      </c>
      <c r="G1643" s="35"/>
      <c r="H1643" s="36"/>
      <c r="I1643" s="162"/>
      <c r="J1643" s="37">
        <f t="shared" si="95"/>
        <v>7556064.2733882507</v>
      </c>
      <c r="K1643" s="37">
        <f t="shared" si="96"/>
        <v>42895206.897587791</v>
      </c>
      <c r="L1643" s="39"/>
      <c r="M1643" s="40"/>
      <c r="N1643" s="40"/>
      <c r="O1643" s="41"/>
    </row>
    <row r="1644" spans="1:15" s="7" customFormat="1" ht="18.75">
      <c r="A1644" s="56"/>
      <c r="B1644" s="30"/>
      <c r="C1644" s="259" t="s">
        <v>240</v>
      </c>
      <c r="D1644" s="32" t="s">
        <v>80</v>
      </c>
      <c r="E1644" s="44"/>
      <c r="F1644" s="34">
        <v>7272121.0235708999</v>
      </c>
      <c r="G1644" s="35"/>
      <c r="H1644" s="36">
        <v>10000000</v>
      </c>
      <c r="I1644" s="162" t="s">
        <v>1085</v>
      </c>
      <c r="J1644" s="37">
        <f t="shared" si="95"/>
        <v>-2727878.9764291001</v>
      </c>
      <c r="K1644" s="37">
        <f t="shared" si="96"/>
        <v>50451271.170976043</v>
      </c>
      <c r="L1644" s="39"/>
      <c r="M1644" s="40"/>
      <c r="N1644" s="40"/>
      <c r="O1644" s="41"/>
    </row>
    <row r="1645" spans="1:15" s="7" customFormat="1" ht="18.75">
      <c r="A1645" s="56"/>
      <c r="B1645" s="30"/>
      <c r="C1645" s="260" t="s">
        <v>243</v>
      </c>
      <c r="D1645" s="32"/>
      <c r="E1645" s="44"/>
      <c r="F1645" s="34"/>
      <c r="G1645" s="35"/>
      <c r="H1645" s="261">
        <v>5000000</v>
      </c>
      <c r="I1645" s="162" t="s">
        <v>1086</v>
      </c>
      <c r="J1645" s="37">
        <f t="shared" si="95"/>
        <v>-5000000</v>
      </c>
      <c r="K1645" s="37">
        <f t="shared" si="96"/>
        <v>47723392.194546945</v>
      </c>
      <c r="L1645" s="39"/>
      <c r="M1645" s="40"/>
      <c r="N1645" s="40"/>
      <c r="O1645" s="41"/>
    </row>
    <row r="1646" spans="1:15" s="7" customFormat="1" ht="18.75">
      <c r="A1646" s="56"/>
      <c r="B1646" s="30"/>
      <c r="C1646" s="260" t="s">
        <v>246</v>
      </c>
      <c r="D1646" s="32"/>
      <c r="E1646" s="44"/>
      <c r="F1646" s="34"/>
      <c r="G1646" s="35"/>
      <c r="H1646" s="36"/>
      <c r="I1646" s="162"/>
      <c r="J1646" s="37">
        <f t="shared" si="95"/>
        <v>0</v>
      </c>
      <c r="K1646" s="37">
        <f t="shared" si="96"/>
        <v>42723392.194546945</v>
      </c>
      <c r="L1646" s="39"/>
      <c r="M1646" s="40"/>
      <c r="N1646" s="40"/>
      <c r="O1646" s="41"/>
    </row>
    <row r="1647" spans="1:15" s="7" customFormat="1" ht="18.75">
      <c r="A1647" s="56"/>
      <c r="B1647" s="30"/>
      <c r="C1647" s="262" t="s">
        <v>248</v>
      </c>
      <c r="D1647" s="32"/>
      <c r="E1647" s="44"/>
      <c r="F1647" s="34"/>
      <c r="G1647" s="35"/>
      <c r="H1647" s="36"/>
      <c r="I1647" s="35"/>
      <c r="J1647" s="37">
        <f t="shared" si="95"/>
        <v>0</v>
      </c>
      <c r="K1647" s="37">
        <f t="shared" si="96"/>
        <v>42723392.194546945</v>
      </c>
      <c r="L1647" s="39"/>
      <c r="M1647" s="40"/>
      <c r="N1647" s="40"/>
      <c r="O1647" s="41"/>
    </row>
    <row r="1648" spans="1:15" s="7" customFormat="1" ht="18.75">
      <c r="A1648" s="56"/>
      <c r="B1648" s="30"/>
      <c r="C1648" s="263" t="s">
        <v>250</v>
      </c>
      <c r="D1648" s="32" t="s">
        <v>163</v>
      </c>
      <c r="E1648" s="44"/>
      <c r="F1648" s="34">
        <v>465139.13</v>
      </c>
      <c r="G1648" s="35"/>
      <c r="H1648" s="177">
        <v>10000000</v>
      </c>
      <c r="I1648" s="35" t="s">
        <v>576</v>
      </c>
      <c r="J1648" s="37">
        <f t="shared" si="95"/>
        <v>-9534860.8699999992</v>
      </c>
      <c r="K1648" s="37">
        <f t="shared" si="96"/>
        <v>42723392.194546945</v>
      </c>
      <c r="L1648" s="39"/>
      <c r="M1648" s="40"/>
      <c r="N1648" s="40"/>
      <c r="O1648" s="41"/>
    </row>
    <row r="1649" spans="1:15" s="7" customFormat="1" ht="18.75">
      <c r="A1649" s="56"/>
      <c r="B1649" s="30"/>
      <c r="C1649" s="263" t="s">
        <v>139</v>
      </c>
      <c r="D1649" s="32" t="s">
        <v>167</v>
      </c>
      <c r="E1649" s="44"/>
      <c r="F1649" s="34">
        <v>1640592.2408803198</v>
      </c>
      <c r="G1649" s="35"/>
      <c r="H1649" s="36"/>
      <c r="I1649" s="35"/>
      <c r="J1649" s="37">
        <f t="shared" si="95"/>
        <v>1640592.2408803198</v>
      </c>
      <c r="K1649" s="37">
        <f t="shared" si="96"/>
        <v>33188531.324546948</v>
      </c>
      <c r="L1649" s="39"/>
      <c r="M1649" s="40"/>
      <c r="N1649" s="40"/>
      <c r="O1649" s="41"/>
    </row>
    <row r="1650" spans="1:15" s="7" customFormat="1" ht="18.75">
      <c r="A1650" s="56"/>
      <c r="B1650" s="30"/>
      <c r="C1650" s="42" t="s">
        <v>142</v>
      </c>
      <c r="D1650" s="32" t="s">
        <v>171</v>
      </c>
      <c r="E1650" s="44"/>
      <c r="F1650" s="34">
        <v>67937.240000000005</v>
      </c>
      <c r="G1650" s="35"/>
      <c r="H1650" s="36">
        <v>10000000</v>
      </c>
      <c r="I1650" s="195" t="s">
        <v>1455</v>
      </c>
      <c r="J1650" s="37">
        <f t="shared" si="95"/>
        <v>-9932062.7599999998</v>
      </c>
      <c r="K1650" s="37">
        <f t="shared" si="96"/>
        <v>34829123.565427266</v>
      </c>
      <c r="L1650" s="39"/>
      <c r="M1650" s="40"/>
      <c r="N1650" s="40"/>
      <c r="O1650" s="41"/>
    </row>
    <row r="1651" spans="1:15" s="7" customFormat="1" ht="18.75">
      <c r="A1651" s="56"/>
      <c r="B1651" s="30"/>
      <c r="C1651" s="42" t="s">
        <v>145</v>
      </c>
      <c r="D1651" s="32" t="s">
        <v>175</v>
      </c>
      <c r="E1651" s="44"/>
      <c r="F1651" s="34">
        <v>10151460.979240667</v>
      </c>
      <c r="G1651" s="35"/>
      <c r="H1651" s="261">
        <v>5000000</v>
      </c>
      <c r="I1651" s="35" t="s">
        <v>917</v>
      </c>
      <c r="J1651" s="37">
        <f t="shared" si="95"/>
        <v>5151460.9792406671</v>
      </c>
      <c r="K1651" s="37">
        <f t="shared" si="96"/>
        <v>24897060.805427268</v>
      </c>
      <c r="L1651" s="39"/>
      <c r="M1651" s="40"/>
      <c r="N1651" s="40"/>
      <c r="O1651" s="41"/>
    </row>
    <row r="1652" spans="1:15" s="7" customFormat="1" ht="18.75">
      <c r="A1652" s="56"/>
      <c r="B1652" s="30"/>
      <c r="C1652" s="42" t="s">
        <v>148</v>
      </c>
      <c r="D1652" s="32" t="s">
        <v>111</v>
      </c>
      <c r="E1652" s="44"/>
      <c r="F1652" s="34">
        <v>14452509.737836799</v>
      </c>
      <c r="G1652" s="35"/>
      <c r="H1652" s="234">
        <v>5000000</v>
      </c>
      <c r="I1652" s="35" t="s">
        <v>1456</v>
      </c>
      <c r="J1652" s="37">
        <f t="shared" si="95"/>
        <v>9452509.7378367987</v>
      </c>
      <c r="K1652" s="37">
        <f t="shared" si="96"/>
        <v>30048521.784667935</v>
      </c>
      <c r="L1652" s="39"/>
      <c r="M1652" s="40"/>
      <c r="N1652" s="40"/>
      <c r="O1652" s="41"/>
    </row>
    <row r="1653" spans="1:15" s="7" customFormat="1" ht="18.75">
      <c r="A1653" s="56"/>
      <c r="B1653" s="30"/>
      <c r="C1653" s="42" t="s">
        <v>151</v>
      </c>
      <c r="D1653" s="32" t="s">
        <v>182</v>
      </c>
      <c r="E1653" s="44"/>
      <c r="F1653" s="34">
        <v>16311185.835083999</v>
      </c>
      <c r="G1653" s="35" t="s">
        <v>152</v>
      </c>
      <c r="H1653" s="234">
        <v>5000157.5</v>
      </c>
      <c r="I1653" s="35" t="s">
        <v>1457</v>
      </c>
      <c r="J1653" s="37">
        <f t="shared" si="95"/>
        <v>11311028.335083999</v>
      </c>
      <c r="K1653" s="37">
        <f t="shared" si="96"/>
        <v>39501031.522504732</v>
      </c>
      <c r="L1653" s="39"/>
      <c r="M1653" s="40"/>
      <c r="N1653" s="40"/>
      <c r="O1653" s="41"/>
    </row>
    <row r="1654" spans="1:15" s="7" customFormat="1" ht="18.75">
      <c r="A1654" s="56"/>
      <c r="B1654" s="30"/>
      <c r="C1654" s="42" t="s">
        <v>154</v>
      </c>
      <c r="D1654" s="32" t="s">
        <v>186</v>
      </c>
      <c r="E1654" s="44"/>
      <c r="F1654" s="34">
        <v>14456012.161247998</v>
      </c>
      <c r="G1654" s="35" t="s">
        <v>156</v>
      </c>
      <c r="H1654" s="47">
        <v>10000000</v>
      </c>
      <c r="I1654" s="35" t="s">
        <v>772</v>
      </c>
      <c r="J1654" s="37">
        <f t="shared" si="95"/>
        <v>4456012.1612479985</v>
      </c>
      <c r="K1654" s="37">
        <f t="shared" si="96"/>
        <v>50812059.857588731</v>
      </c>
      <c r="L1654" s="39"/>
      <c r="M1654" s="40"/>
      <c r="N1654" s="40"/>
      <c r="O1654" s="41"/>
    </row>
    <row r="1655" spans="1:15" s="7" customFormat="1" ht="18.75">
      <c r="A1655" s="56"/>
      <c r="B1655" s="30"/>
      <c r="C1655" s="42" t="s">
        <v>158</v>
      </c>
      <c r="D1655" s="32" t="s">
        <v>192</v>
      </c>
      <c r="E1655" s="44"/>
      <c r="F1655" s="34">
        <v>8977231.3601879999</v>
      </c>
      <c r="G1655" s="35" t="s">
        <v>160</v>
      </c>
      <c r="H1655" s="234">
        <f>5000157.5+15000157.5+15000157.5</f>
        <v>35000472.5</v>
      </c>
      <c r="I1655" s="35" t="s">
        <v>1458</v>
      </c>
      <c r="J1655" s="37">
        <f t="shared" si="95"/>
        <v>-26023241.139812</v>
      </c>
      <c r="K1655" s="37">
        <f t="shared" si="96"/>
        <v>55268072.018836729</v>
      </c>
      <c r="L1655" s="39"/>
      <c r="M1655" s="40"/>
      <c r="N1655" s="40"/>
      <c r="O1655" s="41"/>
    </row>
    <row r="1656" spans="1:15" s="7" customFormat="1" ht="18.75">
      <c r="A1656" s="56"/>
      <c r="B1656" s="30"/>
      <c r="C1656" s="42" t="s">
        <v>162</v>
      </c>
      <c r="D1656" s="32" t="s">
        <v>196</v>
      </c>
      <c r="E1656" s="44"/>
      <c r="F1656" s="34">
        <v>19233850.957755003</v>
      </c>
      <c r="G1656" s="35" t="s">
        <v>164</v>
      </c>
      <c r="H1656" s="47">
        <v>15000000</v>
      </c>
      <c r="I1656" s="35" t="s">
        <v>1459</v>
      </c>
      <c r="J1656" s="37">
        <f t="shared" si="95"/>
        <v>4233850.9577550031</v>
      </c>
      <c r="K1656" s="37">
        <f t="shared" si="96"/>
        <v>29244830.879024729</v>
      </c>
      <c r="L1656" s="39"/>
      <c r="M1656" s="40"/>
      <c r="N1656" s="40"/>
      <c r="O1656" s="41"/>
    </row>
    <row r="1657" spans="1:15" s="7" customFormat="1" ht="18.75">
      <c r="A1657" s="56"/>
      <c r="B1657" s="30"/>
      <c r="C1657" s="42" t="s">
        <v>166</v>
      </c>
      <c r="D1657" s="32" t="s">
        <v>41</v>
      </c>
      <c r="E1657" s="44"/>
      <c r="F1657" s="34">
        <v>97902.346751999998</v>
      </c>
      <c r="G1657" s="35" t="s">
        <v>168</v>
      </c>
      <c r="H1657" s="47">
        <v>15000000</v>
      </c>
      <c r="I1657" s="35" t="s">
        <v>537</v>
      </c>
      <c r="J1657" s="37">
        <f t="shared" si="95"/>
        <v>-14902097.653248001</v>
      </c>
      <c r="K1657" s="37">
        <f t="shared" si="96"/>
        <v>33478681.836779732</v>
      </c>
      <c r="L1657" s="39"/>
      <c r="M1657" s="40"/>
      <c r="N1657" s="40"/>
      <c r="O1657" s="41"/>
    </row>
    <row r="1658" spans="1:15" s="7" customFormat="1" ht="18.75">
      <c r="A1658" s="56"/>
      <c r="B1658" s="30"/>
      <c r="C1658" s="42" t="s">
        <v>170</v>
      </c>
      <c r="D1658" s="32" t="s">
        <v>359</v>
      </c>
      <c r="E1658" s="44"/>
      <c r="F1658" s="34">
        <v>15408838.454688001</v>
      </c>
      <c r="G1658" s="35" t="s">
        <v>172</v>
      </c>
      <c r="H1658" s="47">
        <f>10000000+19245303</f>
        <v>29245303</v>
      </c>
      <c r="I1658" s="35" t="s">
        <v>658</v>
      </c>
      <c r="J1658" s="37">
        <f t="shared" si="95"/>
        <v>-13836464.545311999</v>
      </c>
      <c r="K1658" s="37">
        <f t="shared" si="96"/>
        <v>18576584.183531731</v>
      </c>
      <c r="L1658" s="39"/>
      <c r="M1658" s="40"/>
      <c r="N1658" s="40"/>
      <c r="O1658" s="41"/>
    </row>
    <row r="1659" spans="1:15" s="7" customFormat="1" ht="18.75">
      <c r="A1659" s="56"/>
      <c r="B1659" s="30"/>
      <c r="C1659" s="42" t="s">
        <v>174</v>
      </c>
      <c r="D1659" s="32" t="s">
        <v>202</v>
      </c>
      <c r="E1659" s="44"/>
      <c r="F1659" s="34">
        <v>25597703.980295993</v>
      </c>
      <c r="G1659" s="35" t="s">
        <v>176</v>
      </c>
      <c r="H1659" s="47">
        <v>15000000</v>
      </c>
      <c r="I1659" s="35" t="s">
        <v>1332</v>
      </c>
      <c r="J1659" s="37">
        <f t="shared" si="95"/>
        <v>10597703.980295993</v>
      </c>
      <c r="K1659" s="37">
        <f t="shared" si="96"/>
        <v>4740119.6382197328</v>
      </c>
      <c r="L1659" s="39"/>
      <c r="M1659" s="40"/>
      <c r="N1659" s="40"/>
      <c r="O1659" s="41"/>
    </row>
    <row r="1660" spans="1:15" s="7" customFormat="1" ht="18.75">
      <c r="A1660" s="56"/>
      <c r="B1660" s="30"/>
      <c r="C1660" s="42" t="s">
        <v>178</v>
      </c>
      <c r="D1660" s="32" t="s">
        <v>204</v>
      </c>
      <c r="E1660" s="44"/>
      <c r="F1660" s="34">
        <v>27122095.151171997</v>
      </c>
      <c r="G1660" s="35" t="s">
        <v>179</v>
      </c>
      <c r="H1660" s="47">
        <v>16000000</v>
      </c>
      <c r="I1660" s="35" t="s">
        <v>705</v>
      </c>
      <c r="J1660" s="37">
        <f t="shared" si="95"/>
        <v>11122095.151171997</v>
      </c>
      <c r="K1660" s="37">
        <f t="shared" si="96"/>
        <v>15337823.618515726</v>
      </c>
      <c r="L1660" s="39"/>
      <c r="M1660" s="40"/>
      <c r="N1660" s="40"/>
      <c r="O1660" s="41"/>
    </row>
    <row r="1661" spans="1:15" s="7" customFormat="1" ht="18.75">
      <c r="A1661" s="56"/>
      <c r="B1661" s="30"/>
      <c r="C1661" s="42" t="s">
        <v>181</v>
      </c>
      <c r="D1661" s="32" t="s">
        <v>208</v>
      </c>
      <c r="E1661" s="44"/>
      <c r="F1661" s="34">
        <v>23100196.050398879</v>
      </c>
      <c r="G1661" s="35" t="s">
        <v>183</v>
      </c>
      <c r="H1661" s="47">
        <v>20000000</v>
      </c>
      <c r="I1661" s="35" t="s">
        <v>1140</v>
      </c>
      <c r="J1661" s="37">
        <f t="shared" si="95"/>
        <v>3100196.0503988788</v>
      </c>
      <c r="K1661" s="37">
        <f t="shared" si="96"/>
        <v>26459918.769687723</v>
      </c>
      <c r="L1661" s="39"/>
      <c r="M1661" s="40"/>
      <c r="N1661" s="40"/>
      <c r="O1661" s="41"/>
    </row>
    <row r="1662" spans="1:15" s="7" customFormat="1" ht="18.75">
      <c r="A1662" s="56"/>
      <c r="B1662" s="30"/>
      <c r="C1662" s="42" t="s">
        <v>185</v>
      </c>
      <c r="D1662" s="32" t="s">
        <v>52</v>
      </c>
      <c r="E1662" s="44"/>
      <c r="F1662" s="34">
        <v>22281895.556497499</v>
      </c>
      <c r="G1662" s="35" t="s">
        <v>730</v>
      </c>
      <c r="H1662" s="47">
        <v>20000000</v>
      </c>
      <c r="I1662" s="35" t="s">
        <v>600</v>
      </c>
      <c r="J1662" s="37">
        <f t="shared" si="95"/>
        <v>2281895.5564974993</v>
      </c>
      <c r="K1662" s="37">
        <f t="shared" si="96"/>
        <v>29560114.820086602</v>
      </c>
      <c r="L1662" s="39"/>
      <c r="M1662" s="40"/>
      <c r="N1662" s="40"/>
      <c r="O1662" s="41"/>
    </row>
    <row r="1663" spans="1:15" s="7" customFormat="1" ht="18.75">
      <c r="A1663" s="56"/>
      <c r="B1663" s="30"/>
      <c r="C1663" s="42" t="s">
        <v>189</v>
      </c>
      <c r="D1663" s="32" t="s">
        <v>215</v>
      </c>
      <c r="E1663" s="44"/>
      <c r="F1663" s="34">
        <v>21954304.269262746</v>
      </c>
      <c r="G1663" s="35" t="s">
        <v>377</v>
      </c>
      <c r="H1663" s="47"/>
      <c r="I1663" s="35"/>
      <c r="J1663" s="37">
        <f t="shared" si="95"/>
        <v>21954304.269262746</v>
      </c>
      <c r="K1663" s="37">
        <f t="shared" si="96"/>
        <v>31842010.376584101</v>
      </c>
      <c r="L1663" s="39"/>
      <c r="M1663" s="40"/>
      <c r="N1663" s="40"/>
      <c r="O1663" s="41"/>
    </row>
    <row r="1664" spans="1:15" s="7" customFormat="1" ht="18.75">
      <c r="A1664" s="56"/>
      <c r="B1664" s="30"/>
      <c r="C1664" s="42" t="s">
        <v>191</v>
      </c>
      <c r="D1664" s="32" t="s">
        <v>65</v>
      </c>
      <c r="E1664" s="44">
        <v>43986</v>
      </c>
      <c r="F1664" s="34">
        <v>17669862.122719251</v>
      </c>
      <c r="G1664" s="35">
        <v>44140</v>
      </c>
      <c r="H1664" s="47">
        <v>17669862.122719251</v>
      </c>
      <c r="I1664" s="35" t="s">
        <v>855</v>
      </c>
      <c r="J1664" s="37">
        <f t="shared" si="95"/>
        <v>0</v>
      </c>
      <c r="K1664" s="37">
        <f t="shared" si="96"/>
        <v>53796314.645846844</v>
      </c>
      <c r="L1664" s="39"/>
      <c r="M1664" s="40"/>
      <c r="N1664" s="40"/>
      <c r="O1664" s="41"/>
    </row>
    <row r="1665" spans="1:15" s="7" customFormat="1" ht="18.75">
      <c r="A1665" s="56"/>
      <c r="B1665" s="30"/>
      <c r="C1665" s="42" t="s">
        <v>195</v>
      </c>
      <c r="D1665" s="32" t="s">
        <v>1460</v>
      </c>
      <c r="E1665" s="44" t="s">
        <v>197</v>
      </c>
      <c r="F1665" s="34">
        <v>31207.377258500001</v>
      </c>
      <c r="G1665" s="35" t="s">
        <v>334</v>
      </c>
      <c r="H1665" s="47">
        <v>2348731.23</v>
      </c>
      <c r="I1665" s="35" t="s">
        <v>1142</v>
      </c>
      <c r="J1665" s="37">
        <f t="shared" si="95"/>
        <v>-2317523.8527414999</v>
      </c>
      <c r="K1665" s="37">
        <f t="shared" si="96"/>
        <v>53796314.645846844</v>
      </c>
      <c r="L1665" s="39"/>
      <c r="M1665" s="40"/>
      <c r="N1665" s="40"/>
      <c r="O1665" s="41"/>
    </row>
    <row r="1666" spans="1:15" s="7" customFormat="1" ht="18.75">
      <c r="A1666" s="56"/>
      <c r="B1666" s="30"/>
      <c r="C1666" s="42" t="s">
        <v>199</v>
      </c>
      <c r="D1666" s="32" t="s">
        <v>26</v>
      </c>
      <c r="E1666" s="44">
        <v>44049</v>
      </c>
      <c r="F1666" s="34">
        <v>22651268.322380003</v>
      </c>
      <c r="G1666" s="35" t="s">
        <v>734</v>
      </c>
      <c r="H1666" s="47">
        <v>22651268.322380003</v>
      </c>
      <c r="I1666" s="35" t="s">
        <v>1142</v>
      </c>
      <c r="J1666" s="37">
        <f t="shared" si="95"/>
        <v>0</v>
      </c>
      <c r="K1666" s="37">
        <f t="shared" si="96"/>
        <v>51478790.793105341</v>
      </c>
      <c r="L1666" s="39"/>
      <c r="M1666" s="40"/>
      <c r="N1666" s="40"/>
      <c r="O1666" s="41"/>
    </row>
    <row r="1667" spans="1:15" s="7" customFormat="1" ht="18.75">
      <c r="A1667" s="56"/>
      <c r="B1667" s="30"/>
      <c r="C1667" s="42" t="s">
        <v>201</v>
      </c>
      <c r="D1667" s="32" t="s">
        <v>223</v>
      </c>
      <c r="E1667" s="44" t="s">
        <v>449</v>
      </c>
      <c r="F1667" s="34">
        <v>28502677.137250002</v>
      </c>
      <c r="G1667" s="35" t="s">
        <v>858</v>
      </c>
      <c r="H1667" s="47">
        <v>26153946.75</v>
      </c>
      <c r="I1667" s="35" t="s">
        <v>1461</v>
      </c>
      <c r="J1667" s="37">
        <f t="shared" si="95"/>
        <v>2348730.3872500025</v>
      </c>
      <c r="K1667" s="37">
        <f t="shared" si="96"/>
        <v>51478790.793105341</v>
      </c>
      <c r="L1667" s="39"/>
      <c r="M1667" s="40"/>
      <c r="N1667" s="40"/>
      <c r="O1667" s="41"/>
    </row>
    <row r="1668" spans="1:15" s="7" customFormat="1" ht="18.75">
      <c r="A1668" s="56"/>
      <c r="B1668" s="30"/>
      <c r="C1668" s="42" t="s">
        <v>203</v>
      </c>
      <c r="D1668" s="32" t="s">
        <v>367</v>
      </c>
      <c r="E1668" s="44">
        <v>44020</v>
      </c>
      <c r="F1668" s="34">
        <v>33535974.071658496</v>
      </c>
      <c r="G1668" s="35" t="s">
        <v>450</v>
      </c>
      <c r="H1668" s="47">
        <f>13846053.25+10000000+9689921.1</f>
        <v>33535974.350000001</v>
      </c>
      <c r="I1668" s="35" t="s">
        <v>1461</v>
      </c>
      <c r="J1668" s="37">
        <f t="shared" si="95"/>
        <v>-0.27834150567650795</v>
      </c>
      <c r="K1668" s="37">
        <f t="shared" si="96"/>
        <v>53827521.18035534</v>
      </c>
      <c r="L1668" s="39"/>
      <c r="M1668" s="40"/>
      <c r="N1668" s="40"/>
      <c r="O1668" s="41"/>
    </row>
    <row r="1669" spans="1:15" s="7" customFormat="1" ht="18.75">
      <c r="A1669" s="56"/>
      <c r="B1669" s="30"/>
      <c r="C1669" s="42" t="s">
        <v>207</v>
      </c>
      <c r="D1669" s="32" t="s">
        <v>368</v>
      </c>
      <c r="E1669" s="44" t="s">
        <v>292</v>
      </c>
      <c r="F1669" s="34">
        <v>2606622.6685600001</v>
      </c>
      <c r="G1669" s="35" t="s">
        <v>861</v>
      </c>
      <c r="H1669" s="47"/>
      <c r="I1669" s="35"/>
      <c r="J1669" s="37">
        <f t="shared" si="95"/>
        <v>2606622.6685600001</v>
      </c>
      <c r="K1669" s="37">
        <f t="shared" si="96"/>
        <v>53827520.902013838</v>
      </c>
      <c r="L1669" s="39"/>
      <c r="M1669" s="40"/>
      <c r="N1669" s="40"/>
      <c r="O1669" s="41"/>
    </row>
    <row r="1670" spans="1:15" s="7" customFormat="1" ht="18.75">
      <c r="A1670" s="56"/>
      <c r="B1670" s="30"/>
      <c r="C1670" s="42" t="s">
        <v>212</v>
      </c>
      <c r="D1670" s="32" t="s">
        <v>370</v>
      </c>
      <c r="E1670" s="44">
        <v>44084</v>
      </c>
      <c r="F1670" s="34">
        <v>11917715.606570998</v>
      </c>
      <c r="G1670" s="35" t="s">
        <v>213</v>
      </c>
      <c r="H1670" s="55">
        <f>10000000+10000000+9689759.85</f>
        <v>29689759.850000001</v>
      </c>
      <c r="I1670" s="7" t="s">
        <v>1324</v>
      </c>
      <c r="J1670" s="37">
        <f t="shared" si="95"/>
        <v>-17772044.243429005</v>
      </c>
      <c r="K1670" s="37">
        <f t="shared" si="96"/>
        <v>56434143.570573837</v>
      </c>
      <c r="L1670" s="39"/>
      <c r="M1670" s="40"/>
      <c r="N1670" s="40"/>
      <c r="O1670" s="41"/>
    </row>
    <row r="1671" spans="1:15" s="7" customFormat="1" ht="18.75">
      <c r="A1671" s="56"/>
      <c r="B1671" s="30"/>
      <c r="C1671" s="42" t="s">
        <v>214</v>
      </c>
      <c r="D1671" s="32" t="s">
        <v>371</v>
      </c>
      <c r="E1671" s="44">
        <v>43962</v>
      </c>
      <c r="F1671" s="34">
        <v>22456368.960186999</v>
      </c>
      <c r="G1671" s="35" t="s">
        <v>216</v>
      </c>
      <c r="H1671" s="55">
        <v>30791285.120000001</v>
      </c>
      <c r="I1671" s="7" t="s">
        <v>589</v>
      </c>
      <c r="J1671" s="37">
        <f t="shared" si="95"/>
        <v>-8334916.1598130018</v>
      </c>
      <c r="K1671" s="37">
        <f t="shared" si="96"/>
        <v>38662099.327144831</v>
      </c>
      <c r="L1671" s="39"/>
      <c r="M1671" s="40"/>
      <c r="N1671" s="40"/>
      <c r="O1671" s="41"/>
    </row>
    <row r="1672" spans="1:15" s="7" customFormat="1" ht="18.75">
      <c r="A1672" s="56"/>
      <c r="B1672" s="30"/>
      <c r="C1672" s="42" t="s">
        <v>218</v>
      </c>
      <c r="D1672" s="32" t="s">
        <v>372</v>
      </c>
      <c r="E1672" s="44">
        <v>44024</v>
      </c>
      <c r="F1672" s="34">
        <v>4120819.0664134994</v>
      </c>
      <c r="G1672" s="35">
        <v>44531</v>
      </c>
      <c r="J1672" s="37">
        <f t="shared" si="95"/>
        <v>4120819.0664134994</v>
      </c>
      <c r="K1672" s="37">
        <f t="shared" si="96"/>
        <v>30327183.16733183</v>
      </c>
      <c r="L1672" s="39"/>
      <c r="M1672" s="40"/>
      <c r="N1672" s="40"/>
      <c r="O1672" s="41"/>
    </row>
    <row r="1673" spans="1:15" s="7" customFormat="1" ht="18.75">
      <c r="A1673" s="56"/>
      <c r="B1673" s="30"/>
      <c r="C1673" s="42" t="s">
        <v>219</v>
      </c>
      <c r="D1673" s="32" t="s">
        <v>373</v>
      </c>
      <c r="E1673" s="44">
        <v>44409</v>
      </c>
      <c r="F1673" s="34">
        <v>14206726.984885499</v>
      </c>
      <c r="G1673" s="35" t="s">
        <v>1462</v>
      </c>
      <c r="H1673" s="55">
        <f>15793272.57+14206727.43</f>
        <v>30000000</v>
      </c>
      <c r="I1673" s="4" t="s">
        <v>348</v>
      </c>
      <c r="J1673" s="37">
        <f t="shared" si="95"/>
        <v>-15793273.015114501</v>
      </c>
      <c r="K1673" s="37">
        <f t="shared" si="96"/>
        <v>34448002.233745329</v>
      </c>
      <c r="L1673" s="39"/>
      <c r="M1673" s="40"/>
      <c r="N1673" s="40"/>
      <c r="O1673" s="41"/>
    </row>
    <row r="1674" spans="1:15" s="7" customFormat="1" ht="18.75">
      <c r="A1674" s="56"/>
      <c r="B1674" s="30"/>
      <c r="C1674" s="42" t="s">
        <v>221</v>
      </c>
      <c r="D1674" s="32" t="s">
        <v>92</v>
      </c>
      <c r="E1674" s="44">
        <v>44410</v>
      </c>
      <c r="F1674" s="34">
        <v>29328120.166406497</v>
      </c>
      <c r="G1674" s="35" t="s">
        <v>93</v>
      </c>
      <c r="H1674" s="55"/>
      <c r="I1674" s="4"/>
      <c r="J1674" s="37">
        <f t="shared" si="95"/>
        <v>29328120.166406497</v>
      </c>
      <c r="K1674" s="37">
        <f t="shared" si="96"/>
        <v>18654729.218630828</v>
      </c>
      <c r="L1674" s="39"/>
      <c r="M1674" s="40"/>
      <c r="N1674" s="40"/>
      <c r="O1674" s="41"/>
    </row>
    <row r="1675" spans="1:15" s="7" customFormat="1" ht="18.75">
      <c r="A1675" s="56"/>
      <c r="B1675" s="30"/>
      <c r="C1675" s="42" t="s">
        <v>222</v>
      </c>
      <c r="D1675" s="32" t="s">
        <v>63</v>
      </c>
      <c r="E1675" s="44">
        <v>44319</v>
      </c>
      <c r="F1675" s="34">
        <v>23544229.901308998</v>
      </c>
      <c r="G1675" s="35" t="s">
        <v>224</v>
      </c>
      <c r="H1675" s="55"/>
      <c r="I1675" s="4"/>
      <c r="J1675" s="37">
        <f t="shared" si="95"/>
        <v>23544229.901308998</v>
      </c>
      <c r="K1675" s="37">
        <f t="shared" si="96"/>
        <v>47982849.385037325</v>
      </c>
      <c r="L1675" s="39"/>
      <c r="M1675" s="40"/>
      <c r="N1675" s="40"/>
      <c r="O1675" s="41"/>
    </row>
    <row r="1676" spans="1:15" s="7" customFormat="1" ht="18.75">
      <c r="A1676" s="56"/>
      <c r="B1676" s="30" t="s">
        <v>1463</v>
      </c>
      <c r="C1676" s="31"/>
      <c r="D1676" s="32"/>
      <c r="E1676" s="44"/>
      <c r="F1676" s="34"/>
      <c r="G1676" s="35"/>
      <c r="H1676" s="36"/>
      <c r="I1676" s="35"/>
      <c r="J1676" s="37"/>
      <c r="K1676" s="38">
        <f t="shared" si="96"/>
        <v>71527079.286346316</v>
      </c>
      <c r="L1676" s="39"/>
      <c r="M1676" s="40"/>
      <c r="N1676" s="40"/>
      <c r="O1676" s="41"/>
    </row>
    <row r="1677" spans="1:15" s="7" customFormat="1" ht="18.75">
      <c r="A1677" s="56"/>
      <c r="B1677" s="30"/>
      <c r="C1677" s="31"/>
      <c r="D1677" s="32"/>
      <c r="E1677" s="44"/>
      <c r="F1677" s="34"/>
      <c r="G1677" s="35"/>
      <c r="H1677" s="36"/>
      <c r="I1677" s="35"/>
      <c r="J1677" s="37"/>
      <c r="K1677" s="38"/>
      <c r="L1677" s="39"/>
      <c r="M1677" s="40"/>
      <c r="N1677" s="40"/>
      <c r="O1677" s="41"/>
    </row>
    <row r="1678" spans="1:15" s="7" customFormat="1" ht="18.75">
      <c r="A1678" s="56"/>
      <c r="B1678" s="30" t="s">
        <v>94</v>
      </c>
      <c r="C1678" s="31" t="s">
        <v>1464</v>
      </c>
      <c r="D1678" s="32"/>
      <c r="E1678" s="44"/>
      <c r="F1678" s="34"/>
      <c r="G1678" s="35"/>
      <c r="H1678" s="36">
        <v>13549680.9</v>
      </c>
      <c r="I1678" s="264" t="s">
        <v>1465</v>
      </c>
      <c r="J1678" s="37">
        <f t="shared" ref="J1678:J1686" si="97">F1678-H1678</f>
        <v>-13549680.9</v>
      </c>
      <c r="K1678" s="38"/>
      <c r="L1678" s="39"/>
      <c r="M1678" s="40"/>
      <c r="N1678" s="40"/>
      <c r="O1678" s="41"/>
    </row>
    <row r="1679" spans="1:15" s="7" customFormat="1" ht="18.75">
      <c r="A1679" s="56"/>
      <c r="B1679" s="30"/>
      <c r="C1679" s="31" t="s">
        <v>207</v>
      </c>
      <c r="D1679" s="32" t="s">
        <v>140</v>
      </c>
      <c r="E1679" s="44" t="s">
        <v>1071</v>
      </c>
      <c r="F1679" s="34">
        <v>1822343.1130673999</v>
      </c>
      <c r="G1679" s="35" t="s">
        <v>1451</v>
      </c>
      <c r="H1679" s="36">
        <v>1822343.11</v>
      </c>
      <c r="I1679" s="35" t="s">
        <v>549</v>
      </c>
      <c r="J1679" s="37">
        <f t="shared" si="97"/>
        <v>3.0673998408019543E-3</v>
      </c>
      <c r="K1679" s="37">
        <f t="shared" ref="K1679:K1687" si="98">J1678+K1678</f>
        <v>-13549680.9</v>
      </c>
      <c r="L1679" s="39"/>
      <c r="M1679" s="40"/>
      <c r="N1679" s="40"/>
      <c r="O1679" s="41"/>
    </row>
    <row r="1680" spans="1:15" s="7" customFormat="1" ht="18.75">
      <c r="A1680" s="56"/>
      <c r="B1680" s="30"/>
      <c r="C1680" s="31" t="s">
        <v>212</v>
      </c>
      <c r="D1680" s="32" t="s">
        <v>120</v>
      </c>
      <c r="E1680" s="44">
        <v>44084</v>
      </c>
      <c r="F1680" s="34">
        <v>11964989.9500362</v>
      </c>
      <c r="G1680" s="35" t="s">
        <v>213</v>
      </c>
      <c r="H1680" s="36">
        <v>11964989.949999999</v>
      </c>
      <c r="I1680" s="35" t="s">
        <v>602</v>
      </c>
      <c r="J1680" s="37">
        <f t="shared" si="97"/>
        <v>3.620050847530365E-5</v>
      </c>
      <c r="K1680" s="37">
        <f t="shared" si="98"/>
        <v>-13549680.8969326</v>
      </c>
      <c r="L1680" s="39"/>
      <c r="M1680" s="40"/>
      <c r="N1680" s="40"/>
      <c r="O1680" s="41"/>
    </row>
    <row r="1681" spans="1:15" s="7" customFormat="1" ht="18.75">
      <c r="A1681" s="56"/>
      <c r="B1681" s="30"/>
      <c r="C1681" s="31" t="s">
        <v>214</v>
      </c>
      <c r="D1681" s="32" t="s">
        <v>146</v>
      </c>
      <c r="E1681" s="44">
        <v>43962</v>
      </c>
      <c r="F1681" s="34">
        <v>9098290.7267729398</v>
      </c>
      <c r="G1681" s="35" t="s">
        <v>216</v>
      </c>
      <c r="H1681" s="36">
        <v>9098290.7300000004</v>
      </c>
      <c r="I1681" s="35" t="s">
        <v>664</v>
      </c>
      <c r="J1681" s="37">
        <f t="shared" si="97"/>
        <v>-3.2270606607198715E-3</v>
      </c>
      <c r="K1681" s="37">
        <f t="shared" si="98"/>
        <v>-13549680.8968964</v>
      </c>
      <c r="L1681" s="39"/>
      <c r="M1681" s="40"/>
      <c r="N1681" s="40"/>
      <c r="O1681" s="41"/>
    </row>
    <row r="1682" spans="1:15" s="7" customFormat="1" ht="18.75">
      <c r="A1682" s="56"/>
      <c r="B1682" s="30"/>
      <c r="C1682" s="31" t="s">
        <v>218</v>
      </c>
      <c r="D1682" s="32" t="s">
        <v>80</v>
      </c>
      <c r="E1682" s="44">
        <v>44024</v>
      </c>
      <c r="F1682" s="34">
        <v>13260564.751573754</v>
      </c>
      <c r="G1682" s="35">
        <v>44531</v>
      </c>
      <c r="H1682" s="36">
        <v>13260564.75</v>
      </c>
      <c r="I1682" s="44">
        <v>44317</v>
      </c>
      <c r="J1682" s="37">
        <f t="shared" si="97"/>
        <v>1.5737544745206833E-3</v>
      </c>
      <c r="K1682" s="37">
        <f t="shared" si="98"/>
        <v>-13549680.90012346</v>
      </c>
      <c r="L1682" s="39"/>
      <c r="M1682" s="40"/>
      <c r="N1682" s="40"/>
      <c r="O1682" s="41"/>
    </row>
    <row r="1683" spans="1:15" s="7" customFormat="1" ht="18.75">
      <c r="A1683" s="56"/>
      <c r="B1683" s="30"/>
      <c r="C1683" s="31" t="s">
        <v>219</v>
      </c>
      <c r="D1683" s="32" t="s">
        <v>124</v>
      </c>
      <c r="E1683" s="44">
        <v>44409</v>
      </c>
      <c r="F1683" s="34">
        <v>8732732.8600356076</v>
      </c>
      <c r="G1683" s="35">
        <v>44410</v>
      </c>
      <c r="H1683" s="36">
        <v>8732732.8599999994</v>
      </c>
      <c r="I1683" s="35">
        <v>44229</v>
      </c>
      <c r="J1683" s="37">
        <f t="shared" si="97"/>
        <v>3.5608187317848206E-5</v>
      </c>
      <c r="K1683" s="37">
        <f t="shared" si="98"/>
        <v>-13549680.898549706</v>
      </c>
      <c r="L1683" s="39"/>
      <c r="M1683" s="40"/>
      <c r="N1683" s="40"/>
      <c r="O1683" s="41"/>
    </row>
    <row r="1684" spans="1:15" s="7" customFormat="1" ht="18.75">
      <c r="A1684" s="56"/>
      <c r="B1684" s="30"/>
      <c r="C1684" s="31" t="s">
        <v>221</v>
      </c>
      <c r="D1684" s="32" t="s">
        <v>1466</v>
      </c>
      <c r="E1684" s="44">
        <v>44441</v>
      </c>
      <c r="F1684" s="34">
        <v>14745504.16869626</v>
      </c>
      <c r="G1684" s="35" t="s">
        <v>93</v>
      </c>
      <c r="H1684" s="36">
        <v>14745504.17</v>
      </c>
      <c r="I1684" s="35">
        <v>44230</v>
      </c>
      <c r="J1684" s="37">
        <f t="shared" si="97"/>
        <v>-1.3037398457527161E-3</v>
      </c>
      <c r="K1684" s="37">
        <f t="shared" si="98"/>
        <v>-13549680.898514098</v>
      </c>
      <c r="L1684" s="39"/>
      <c r="M1684" s="40"/>
      <c r="N1684" s="40"/>
      <c r="O1684" s="41"/>
    </row>
    <row r="1685" spans="1:15" s="7" customFormat="1" ht="18.75">
      <c r="A1685" s="56"/>
      <c r="B1685" s="30"/>
      <c r="C1685" s="31" t="s">
        <v>222</v>
      </c>
      <c r="D1685" s="32" t="s">
        <v>159</v>
      </c>
      <c r="E1685" s="44">
        <v>44319</v>
      </c>
      <c r="F1685" s="34">
        <v>12922813.369933581</v>
      </c>
      <c r="G1685" s="35" t="s">
        <v>224</v>
      </c>
      <c r="H1685" s="36">
        <v>12922813.369933581</v>
      </c>
      <c r="I1685" s="35" t="s">
        <v>789</v>
      </c>
      <c r="J1685" s="37">
        <f t="shared" si="97"/>
        <v>0</v>
      </c>
      <c r="K1685" s="37">
        <f t="shared" si="98"/>
        <v>-13549680.899817837</v>
      </c>
      <c r="L1685" s="39"/>
      <c r="M1685" s="40"/>
      <c r="N1685" s="40"/>
      <c r="O1685" s="41"/>
    </row>
    <row r="1686" spans="1:15" s="7" customFormat="1" ht="18.75">
      <c r="A1686" s="56"/>
      <c r="B1686" s="30"/>
      <c r="C1686" s="31" t="s">
        <v>349</v>
      </c>
      <c r="D1686" s="32" t="s">
        <v>163</v>
      </c>
      <c r="E1686" s="44">
        <v>44381</v>
      </c>
      <c r="F1686" s="34">
        <v>15349388.681682246</v>
      </c>
      <c r="G1686" s="35" t="s">
        <v>351</v>
      </c>
      <c r="H1686" s="36">
        <v>15349388.68</v>
      </c>
      <c r="I1686" s="35" t="s">
        <v>352</v>
      </c>
      <c r="J1686" s="37">
        <f t="shared" si="97"/>
        <v>1.6822461038827896E-3</v>
      </c>
      <c r="K1686" s="37">
        <f t="shared" si="98"/>
        <v>-13549680.899817837</v>
      </c>
      <c r="L1686" s="39"/>
      <c r="M1686" s="40"/>
      <c r="N1686" s="40"/>
      <c r="O1686" s="41"/>
    </row>
    <row r="1687" spans="1:15" s="7" customFormat="1" ht="18.75">
      <c r="A1687" s="56"/>
      <c r="B1687" s="30" t="s">
        <v>1467</v>
      </c>
      <c r="C1687" s="31"/>
      <c r="D1687" s="32"/>
      <c r="E1687" s="44"/>
      <c r="F1687" s="34"/>
      <c r="G1687" s="35"/>
      <c r="H1687" s="36"/>
      <c r="I1687" s="35"/>
      <c r="J1687" s="37"/>
      <c r="K1687" s="38">
        <f t="shared" si="98"/>
        <v>-13549680.898135591</v>
      </c>
      <c r="L1687" s="39"/>
      <c r="M1687" s="40"/>
      <c r="N1687" s="40"/>
      <c r="O1687" s="41"/>
    </row>
    <row r="1688" spans="1:15" s="7" customFormat="1" ht="18.75">
      <c r="A1688" s="56"/>
      <c r="B1688" s="30"/>
      <c r="C1688" s="31"/>
      <c r="D1688" s="32"/>
      <c r="E1688" s="44"/>
      <c r="F1688" s="34"/>
      <c r="G1688" s="35"/>
      <c r="H1688" s="36"/>
      <c r="I1688" s="35"/>
      <c r="J1688" s="37"/>
      <c r="K1688" s="38"/>
      <c r="L1688" s="39"/>
      <c r="M1688" s="40"/>
      <c r="N1688" s="40"/>
      <c r="O1688" s="41"/>
    </row>
    <row r="1689" spans="1:15" s="7" customFormat="1" ht="18.75">
      <c r="A1689" s="81">
        <v>44</v>
      </c>
      <c r="B1689" s="57" t="s">
        <v>95</v>
      </c>
      <c r="C1689" s="42" t="s">
        <v>473</v>
      </c>
      <c r="D1689" s="32" t="s">
        <v>958</v>
      </c>
      <c r="E1689" s="44"/>
      <c r="F1689" s="34">
        <v>111999925.01012176</v>
      </c>
      <c r="G1689" s="35" t="s">
        <v>1468</v>
      </c>
      <c r="H1689" s="36">
        <v>62012369.170000002</v>
      </c>
      <c r="I1689" s="35" t="s">
        <v>1469</v>
      </c>
      <c r="J1689" s="37">
        <f>F1689-H1689</f>
        <v>49987555.840121761</v>
      </c>
      <c r="K1689" s="116">
        <v>0</v>
      </c>
      <c r="L1689" s="60"/>
      <c r="M1689" s="41"/>
      <c r="N1689" s="41"/>
      <c r="O1689" s="41"/>
    </row>
    <row r="1690" spans="1:15" s="7" customFormat="1" ht="18.75">
      <c r="A1690" s="56"/>
      <c r="B1690" s="57"/>
      <c r="C1690" s="31" t="s">
        <v>1403</v>
      </c>
      <c r="D1690" s="32" t="s">
        <v>960</v>
      </c>
      <c r="E1690" s="44"/>
      <c r="F1690" s="34">
        <v>119724057.65000001</v>
      </c>
      <c r="G1690" s="35" t="s">
        <v>1470</v>
      </c>
      <c r="H1690" s="47">
        <v>96622553.950000003</v>
      </c>
      <c r="I1690" s="35" t="s">
        <v>1471</v>
      </c>
      <c r="J1690" s="37">
        <f>F1690-H1690</f>
        <v>23101503.700000003</v>
      </c>
      <c r="K1690" s="110">
        <f>K1689+J1689</f>
        <v>49987555.840121761</v>
      </c>
      <c r="L1690" s="60"/>
      <c r="M1690" s="41"/>
      <c r="N1690" s="41"/>
      <c r="O1690" s="41"/>
    </row>
    <row r="1691" spans="1:15" s="7" customFormat="1" ht="18.75">
      <c r="A1691" s="81"/>
      <c r="B1691" s="57"/>
      <c r="C1691" s="74" t="s">
        <v>401</v>
      </c>
      <c r="D1691" s="32" t="s">
        <v>962</v>
      </c>
      <c r="E1691" s="44"/>
      <c r="F1691" s="34">
        <v>115861991.33</v>
      </c>
      <c r="G1691" s="58" t="s">
        <v>1472</v>
      </c>
      <c r="H1691" s="47">
        <v>105871379.83</v>
      </c>
      <c r="I1691" s="35" t="s">
        <v>1473</v>
      </c>
      <c r="J1691" s="37">
        <f>F1691-H1691</f>
        <v>9990611.5</v>
      </c>
      <c r="K1691" s="110">
        <f>K1690+J1690</f>
        <v>73089059.540121764</v>
      </c>
      <c r="L1691" s="60"/>
      <c r="M1691" s="41"/>
      <c r="N1691" s="41"/>
      <c r="O1691" s="41"/>
    </row>
    <row r="1692" spans="1:15" s="7" customFormat="1" ht="18.75">
      <c r="A1692" s="81"/>
      <c r="B1692" s="57"/>
      <c r="C1692" s="74" t="s">
        <v>404</v>
      </c>
      <c r="D1692" s="32" t="s">
        <v>1474</v>
      </c>
      <c r="E1692" s="44"/>
      <c r="F1692" s="34">
        <v>119724057.65000001</v>
      </c>
      <c r="G1692" s="58" t="s">
        <v>1406</v>
      </c>
      <c r="H1692" s="47">
        <v>156866322.09999999</v>
      </c>
      <c r="I1692" s="35" t="s">
        <v>1340</v>
      </c>
      <c r="J1692" s="37">
        <f t="shared" ref="J1692:J1713" si="99">F1692-H1692</f>
        <v>-37142264.449999988</v>
      </c>
      <c r="K1692" s="110">
        <f t="shared" ref="K1692:K1719" si="100">K1691+J1691</f>
        <v>83079671.040121764</v>
      </c>
      <c r="L1692" s="60"/>
      <c r="M1692" s="41"/>
      <c r="N1692" s="41"/>
      <c r="O1692" s="41"/>
    </row>
    <row r="1693" spans="1:15" s="7" customFormat="1" ht="18.75">
      <c r="A1693" s="81"/>
      <c r="B1693" s="57"/>
      <c r="C1693" s="93" t="s">
        <v>142</v>
      </c>
      <c r="D1693" s="32" t="s">
        <v>1475</v>
      </c>
      <c r="E1693" s="44"/>
      <c r="F1693" s="34">
        <v>107181588.99438901</v>
      </c>
      <c r="G1693" s="58" t="s">
        <v>1138</v>
      </c>
      <c r="H1693" s="36">
        <v>107181588.98999999</v>
      </c>
      <c r="I1693" s="35" t="s">
        <v>143</v>
      </c>
      <c r="J1693" s="37">
        <f t="shared" si="99"/>
        <v>4.3890178203582764E-3</v>
      </c>
      <c r="K1693" s="110">
        <f t="shared" si="100"/>
        <v>45937406.590121776</v>
      </c>
      <c r="L1693" s="60"/>
      <c r="M1693" s="41"/>
      <c r="N1693" s="41"/>
      <c r="O1693" s="41"/>
    </row>
    <row r="1694" spans="1:15" s="7" customFormat="1" ht="18.75">
      <c r="A1694" s="81"/>
      <c r="B1694" s="57"/>
      <c r="C1694" s="93" t="s">
        <v>145</v>
      </c>
      <c r="D1694" s="32" t="s">
        <v>1476</v>
      </c>
      <c r="E1694" s="44"/>
      <c r="F1694" s="34">
        <v>86917083.479351997</v>
      </c>
      <c r="G1694" s="265" t="s">
        <v>1138</v>
      </c>
      <c r="H1694" s="36">
        <v>86917083.479351997</v>
      </c>
      <c r="I1694" s="35" t="s">
        <v>365</v>
      </c>
      <c r="J1694" s="37">
        <f t="shared" si="99"/>
        <v>0</v>
      </c>
      <c r="K1694" s="110">
        <f t="shared" si="100"/>
        <v>45937406.594510794</v>
      </c>
      <c r="L1694" s="60"/>
      <c r="M1694" s="41"/>
      <c r="N1694" s="41"/>
      <c r="O1694" s="41"/>
    </row>
    <row r="1695" spans="1:15" s="7" customFormat="1" ht="18.75">
      <c r="A1695" s="81"/>
      <c r="B1695" s="57"/>
      <c r="C1695" s="74" t="s">
        <v>148</v>
      </c>
      <c r="D1695" s="32" t="s">
        <v>1477</v>
      </c>
      <c r="E1695" s="44"/>
      <c r="F1695" s="34">
        <v>131785480.12990499</v>
      </c>
      <c r="G1695" s="266" t="s">
        <v>918</v>
      </c>
      <c r="H1695" s="36">
        <v>131785480.13</v>
      </c>
      <c r="I1695" s="35">
        <v>43594</v>
      </c>
      <c r="J1695" s="37">
        <f t="shared" si="99"/>
        <v>-9.5009803771972656E-5</v>
      </c>
      <c r="K1695" s="110">
        <f t="shared" si="100"/>
        <v>45937406.594510794</v>
      </c>
      <c r="L1695" s="60"/>
      <c r="M1695" s="41"/>
      <c r="N1695" s="41"/>
      <c r="O1695" s="41"/>
    </row>
    <row r="1696" spans="1:15" s="7" customFormat="1" ht="18.75">
      <c r="A1696" s="81"/>
      <c r="B1696" s="57"/>
      <c r="C1696" s="74" t="s">
        <v>151</v>
      </c>
      <c r="D1696" s="32" t="s">
        <v>1478</v>
      </c>
      <c r="E1696" s="44"/>
      <c r="F1696" s="34">
        <v>137849208.6636</v>
      </c>
      <c r="G1696" s="265" t="s">
        <v>152</v>
      </c>
      <c r="H1696" s="47">
        <v>137849208.6636</v>
      </c>
      <c r="I1696" s="92" t="s">
        <v>832</v>
      </c>
      <c r="J1696" s="37">
        <f t="shared" si="99"/>
        <v>0</v>
      </c>
      <c r="K1696" s="110">
        <f t="shared" si="100"/>
        <v>45937406.594415784</v>
      </c>
      <c r="L1696" s="60">
        <v>119077567.5</v>
      </c>
      <c r="M1696" s="41"/>
      <c r="N1696" s="41"/>
      <c r="O1696" s="41"/>
    </row>
    <row r="1697" spans="1:15" s="7" customFormat="1" ht="18.75">
      <c r="A1697" s="81"/>
      <c r="B1697" s="57"/>
      <c r="C1697" s="74" t="s">
        <v>154</v>
      </c>
      <c r="D1697" s="32" t="s">
        <v>1479</v>
      </c>
      <c r="E1697" s="44"/>
      <c r="F1697" s="34">
        <v>117155743.91766</v>
      </c>
      <c r="G1697" s="265" t="s">
        <v>156</v>
      </c>
      <c r="H1697" s="47">
        <v>117155743.92</v>
      </c>
      <c r="I1697" s="92" t="s">
        <v>369</v>
      </c>
      <c r="J1697" s="37">
        <f t="shared" si="99"/>
        <v>-2.3400038480758667E-3</v>
      </c>
      <c r="K1697" s="110">
        <f t="shared" si="100"/>
        <v>45937406.594415784</v>
      </c>
      <c r="L1697" s="60"/>
      <c r="M1697" s="41"/>
      <c r="N1697" s="41"/>
      <c r="O1697" s="41"/>
    </row>
    <row r="1698" spans="1:15" s="7" customFormat="1" ht="18.75">
      <c r="A1698" s="81"/>
      <c r="B1698" s="57"/>
      <c r="C1698" s="74" t="s">
        <v>158</v>
      </c>
      <c r="D1698" s="32" t="s">
        <v>1480</v>
      </c>
      <c r="E1698" s="44"/>
      <c r="F1698" s="34">
        <v>106778153.94494848</v>
      </c>
      <c r="G1698" s="265" t="s">
        <v>160</v>
      </c>
      <c r="H1698" s="47">
        <v>106778153.95</v>
      </c>
      <c r="I1698" s="92" t="s">
        <v>772</v>
      </c>
      <c r="J1698" s="37">
        <f t="shared" si="99"/>
        <v>-5.0515234470367432E-3</v>
      </c>
      <c r="K1698" s="110">
        <f t="shared" si="100"/>
        <v>45937406.59207578</v>
      </c>
      <c r="L1698" s="60"/>
      <c r="M1698" s="41"/>
      <c r="N1698" s="41"/>
      <c r="O1698" s="41"/>
    </row>
    <row r="1699" spans="1:15" s="7" customFormat="1" ht="18.75">
      <c r="A1699" s="81"/>
      <c r="B1699" s="57"/>
      <c r="C1699" s="74" t="s">
        <v>162</v>
      </c>
      <c r="D1699" s="32" t="s">
        <v>1481</v>
      </c>
      <c r="E1699" s="44"/>
      <c r="F1699" s="34">
        <v>136235184.09007502</v>
      </c>
      <c r="G1699" s="265" t="s">
        <v>164</v>
      </c>
      <c r="H1699" s="100">
        <v>136235184.09</v>
      </c>
      <c r="I1699" s="108" t="s">
        <v>270</v>
      </c>
      <c r="J1699" s="37">
        <f t="shared" si="99"/>
        <v>7.5012445449829102E-5</v>
      </c>
      <c r="K1699" s="110">
        <f t="shared" si="100"/>
        <v>45937406.587024257</v>
      </c>
      <c r="L1699" s="60">
        <v>133651690.39</v>
      </c>
      <c r="M1699" s="41"/>
      <c r="N1699" s="41"/>
      <c r="O1699" s="41"/>
    </row>
    <row r="1700" spans="1:15" s="7" customFormat="1" ht="18.75">
      <c r="A1700" s="81"/>
      <c r="B1700" s="57"/>
      <c r="C1700" s="74" t="s">
        <v>166</v>
      </c>
      <c r="D1700" s="32" t="s">
        <v>1482</v>
      </c>
      <c r="E1700" s="44"/>
      <c r="F1700" s="34">
        <v>119788193.06590499</v>
      </c>
      <c r="G1700" s="265" t="s">
        <v>168</v>
      </c>
      <c r="H1700" s="47">
        <v>119788193.06999999</v>
      </c>
      <c r="I1700" s="92" t="s">
        <v>1483</v>
      </c>
      <c r="J1700" s="37">
        <f t="shared" si="99"/>
        <v>-4.0950030088424683E-3</v>
      </c>
      <c r="K1700" s="110">
        <f t="shared" si="100"/>
        <v>45937406.587099269</v>
      </c>
      <c r="L1700" s="60"/>
      <c r="M1700" s="41"/>
      <c r="N1700" s="41"/>
      <c r="O1700" s="41"/>
    </row>
    <row r="1701" spans="1:15" s="7" customFormat="1" ht="18.75">
      <c r="A1701" s="81"/>
      <c r="B1701" s="57"/>
      <c r="C1701" s="74" t="s">
        <v>170</v>
      </c>
      <c r="D1701" s="32" t="s">
        <v>1484</v>
      </c>
      <c r="E1701" s="44"/>
      <c r="F1701" s="34">
        <v>108705433.32706051</v>
      </c>
      <c r="G1701" s="265" t="s">
        <v>172</v>
      </c>
      <c r="H1701" s="47">
        <f>45937406.58+108705433.33</f>
        <v>154642839.91</v>
      </c>
      <c r="I1701" s="92" t="s">
        <v>776</v>
      </c>
      <c r="J1701" s="37">
        <f t="shared" si="99"/>
        <v>-45937406.582939491</v>
      </c>
      <c r="K1701" s="110">
        <f t="shared" si="100"/>
        <v>45937406.583004266</v>
      </c>
      <c r="L1701" s="60"/>
      <c r="M1701" s="41"/>
      <c r="N1701" s="41"/>
      <c r="O1701" s="41"/>
    </row>
    <row r="1702" spans="1:15" s="7" customFormat="1" ht="18.75">
      <c r="A1702" s="81"/>
      <c r="B1702" s="57"/>
      <c r="C1702" s="74" t="s">
        <v>174</v>
      </c>
      <c r="D1702" s="32" t="s">
        <v>1485</v>
      </c>
      <c r="E1702" s="44"/>
      <c r="F1702" s="34">
        <v>133509087.15549299</v>
      </c>
      <c r="G1702" s="265" t="s">
        <v>176</v>
      </c>
      <c r="H1702" s="47">
        <v>133509087.15549299</v>
      </c>
      <c r="I1702" s="92" t="s">
        <v>728</v>
      </c>
      <c r="J1702" s="37">
        <f t="shared" si="99"/>
        <v>0</v>
      </c>
      <c r="K1702" s="110">
        <f t="shared" si="100"/>
        <v>6.4775347709655762E-5</v>
      </c>
      <c r="L1702" s="60"/>
      <c r="M1702" s="41"/>
      <c r="N1702" s="41"/>
      <c r="O1702" s="41"/>
    </row>
    <row r="1703" spans="1:15" s="7" customFormat="1" ht="18.75">
      <c r="A1703" s="81"/>
      <c r="B1703" s="57"/>
      <c r="C1703" s="74" t="s">
        <v>178</v>
      </c>
      <c r="D1703" s="32" t="s">
        <v>1486</v>
      </c>
      <c r="E1703" s="44"/>
      <c r="F1703" s="34">
        <v>119077567.49318849</v>
      </c>
      <c r="G1703" s="265" t="s">
        <v>179</v>
      </c>
      <c r="H1703" s="47">
        <v>119077567.49318849</v>
      </c>
      <c r="I1703" s="92" t="s">
        <v>715</v>
      </c>
      <c r="J1703" s="37">
        <f t="shared" si="99"/>
        <v>0</v>
      </c>
      <c r="K1703" s="110">
        <f t="shared" si="100"/>
        <v>6.4775347709655762E-5</v>
      </c>
      <c r="L1703" s="60"/>
      <c r="M1703" s="41"/>
      <c r="N1703" s="41"/>
      <c r="O1703" s="41"/>
    </row>
    <row r="1704" spans="1:15" s="7" customFormat="1" ht="18.75">
      <c r="A1704" s="81"/>
      <c r="B1704" s="57"/>
      <c r="C1704" s="93" t="s">
        <v>181</v>
      </c>
      <c r="D1704" s="32" t="s">
        <v>1487</v>
      </c>
      <c r="E1704" s="44"/>
      <c r="F1704" s="34">
        <v>133651690.39119449</v>
      </c>
      <c r="G1704" s="265" t="s">
        <v>183</v>
      </c>
      <c r="H1704" s="47">
        <v>133651690.39</v>
      </c>
      <c r="I1704" s="92" t="s">
        <v>705</v>
      </c>
      <c r="J1704" s="37">
        <f t="shared" si="99"/>
        <v>1.194491982460022E-3</v>
      </c>
      <c r="K1704" s="110">
        <f t="shared" si="100"/>
        <v>6.4775347709655762E-5</v>
      </c>
      <c r="L1704" s="60"/>
      <c r="M1704" s="41"/>
      <c r="N1704" s="41"/>
      <c r="O1704" s="41"/>
    </row>
    <row r="1705" spans="1:15" s="7" customFormat="1" ht="18.75">
      <c r="A1705" s="56"/>
      <c r="B1705" s="57"/>
      <c r="C1705" s="74" t="s">
        <v>185</v>
      </c>
      <c r="D1705" s="32" t="s">
        <v>1488</v>
      </c>
      <c r="E1705" s="44"/>
      <c r="F1705" s="34">
        <v>96062547.936988488</v>
      </c>
      <c r="G1705" s="265" t="s">
        <v>730</v>
      </c>
      <c r="H1705" s="47">
        <v>96062547.936988488</v>
      </c>
      <c r="I1705" s="92" t="s">
        <v>731</v>
      </c>
      <c r="J1705" s="37">
        <f t="shared" si="99"/>
        <v>0</v>
      </c>
      <c r="K1705" s="110">
        <f t="shared" si="100"/>
        <v>1.2592673301696777E-3</v>
      </c>
      <c r="L1705" s="60"/>
      <c r="M1705" s="41"/>
      <c r="N1705" s="41"/>
      <c r="O1705" s="41"/>
    </row>
    <row r="1706" spans="1:15" s="7" customFormat="1" ht="18.75">
      <c r="A1706" s="56"/>
      <c r="B1706" s="57"/>
      <c r="C1706" s="74" t="s">
        <v>189</v>
      </c>
      <c r="D1706" s="32" t="s">
        <v>1489</v>
      </c>
      <c r="E1706" s="44"/>
      <c r="F1706" s="34">
        <v>138121451.00994974</v>
      </c>
      <c r="G1706" s="265" t="s">
        <v>377</v>
      </c>
      <c r="H1706" s="47">
        <v>138121451.00999999</v>
      </c>
      <c r="I1706" s="92" t="s">
        <v>884</v>
      </c>
      <c r="J1706" s="37">
        <f t="shared" si="99"/>
        <v>-5.0246715545654297E-5</v>
      </c>
      <c r="K1706" s="110">
        <f t="shared" si="100"/>
        <v>1.2592673301696777E-3</v>
      </c>
      <c r="L1706" s="60"/>
      <c r="M1706" s="41"/>
      <c r="N1706" s="41"/>
      <c r="O1706" s="41"/>
    </row>
    <row r="1707" spans="1:15" s="7" customFormat="1" ht="18.75">
      <c r="A1707" s="56"/>
      <c r="B1707" s="57"/>
      <c r="C1707" s="74" t="s">
        <v>191</v>
      </c>
      <c r="D1707" s="32" t="s">
        <v>1490</v>
      </c>
      <c r="E1707" s="44">
        <v>43986</v>
      </c>
      <c r="F1707" s="34">
        <v>166491378.26228252</v>
      </c>
      <c r="G1707" s="265" t="s">
        <v>193</v>
      </c>
      <c r="H1707" s="47">
        <v>166491378.25999999</v>
      </c>
      <c r="I1707" s="267">
        <v>44050</v>
      </c>
      <c r="J1707" s="37">
        <f t="shared" si="99"/>
        <v>2.2825300693511963E-3</v>
      </c>
      <c r="K1707" s="110">
        <f t="shared" si="100"/>
        <v>1.2090206146240234E-3</v>
      </c>
      <c r="L1707" s="60"/>
      <c r="M1707" s="41"/>
      <c r="N1707" s="41"/>
      <c r="O1707" s="41"/>
    </row>
    <row r="1708" spans="1:15" s="7" customFormat="1" ht="18.75">
      <c r="A1708" s="56"/>
      <c r="B1708" s="57"/>
      <c r="C1708" s="74" t="s">
        <v>195</v>
      </c>
      <c r="D1708" s="32" t="s">
        <v>1491</v>
      </c>
      <c r="E1708" s="44" t="s">
        <v>197</v>
      </c>
      <c r="F1708" s="34">
        <v>81662869.851653993</v>
      </c>
      <c r="G1708" s="265" t="s">
        <v>334</v>
      </c>
      <c r="H1708" s="47">
        <v>81662869.849999994</v>
      </c>
      <c r="I1708" s="44">
        <v>43959</v>
      </c>
      <c r="J1708" s="37">
        <f t="shared" si="99"/>
        <v>1.6539990901947021E-3</v>
      </c>
      <c r="K1708" s="110">
        <f t="shared" si="100"/>
        <v>3.4915506839752197E-3</v>
      </c>
      <c r="L1708" s="60"/>
      <c r="M1708" s="41"/>
      <c r="N1708" s="41"/>
      <c r="O1708" s="41"/>
    </row>
    <row r="1709" spans="1:15" s="7" customFormat="1" ht="18.75">
      <c r="A1709" s="56"/>
      <c r="B1709" s="57"/>
      <c r="C1709" s="74" t="s">
        <v>199</v>
      </c>
      <c r="D1709" s="32" t="s">
        <v>1492</v>
      </c>
      <c r="E1709" s="44">
        <v>44049</v>
      </c>
      <c r="F1709" s="34">
        <v>132598388.41599</v>
      </c>
      <c r="G1709" s="265" t="s">
        <v>734</v>
      </c>
      <c r="H1709" s="47">
        <v>132598388.42</v>
      </c>
      <c r="I1709" s="92" t="s">
        <v>708</v>
      </c>
      <c r="J1709" s="37">
        <f t="shared" si="99"/>
        <v>-4.0100067853927612E-3</v>
      </c>
      <c r="K1709" s="110">
        <f t="shared" si="100"/>
        <v>5.1455497741699219E-3</v>
      </c>
      <c r="L1709" s="60"/>
      <c r="M1709" s="41"/>
      <c r="N1709" s="41"/>
      <c r="O1709" s="41"/>
    </row>
    <row r="1710" spans="1:15" s="7" customFormat="1" ht="18.75">
      <c r="A1710" s="56"/>
      <c r="B1710" s="57"/>
      <c r="C1710" s="74" t="s">
        <v>201</v>
      </c>
      <c r="D1710" s="32" t="s">
        <v>1484</v>
      </c>
      <c r="E1710" s="44">
        <v>44081</v>
      </c>
      <c r="F1710" s="34">
        <v>86680976.624549985</v>
      </c>
      <c r="G1710" s="265" t="s">
        <v>290</v>
      </c>
      <c r="H1710" s="47">
        <v>86680976.620000005</v>
      </c>
      <c r="I1710" s="92" t="s">
        <v>1378</v>
      </c>
      <c r="J1710" s="37">
        <f t="shared" si="99"/>
        <v>4.5499801635742188E-3</v>
      </c>
      <c r="K1710" s="110">
        <f t="shared" si="100"/>
        <v>1.1355429887771606E-3</v>
      </c>
      <c r="L1710" s="60"/>
      <c r="M1710" s="41"/>
      <c r="N1710" s="41"/>
      <c r="O1710" s="41"/>
    </row>
    <row r="1711" spans="1:15" s="7" customFormat="1" ht="18.75">
      <c r="A1711" s="56"/>
      <c r="B1711" s="57"/>
      <c r="C1711" s="74" t="s">
        <v>203</v>
      </c>
      <c r="D1711" s="32" t="s">
        <v>1493</v>
      </c>
      <c r="E1711" s="44">
        <v>43990</v>
      </c>
      <c r="F1711" s="34">
        <v>135888661.891792</v>
      </c>
      <c r="G1711" s="265" t="s">
        <v>290</v>
      </c>
      <c r="H1711" s="47">
        <v>135888661.88999999</v>
      </c>
      <c r="I1711" s="92" t="s">
        <v>1070</v>
      </c>
      <c r="J1711" s="37">
        <f t="shared" si="99"/>
        <v>1.7920136451721191E-3</v>
      </c>
      <c r="K1711" s="110">
        <f t="shared" si="100"/>
        <v>5.6855231523513794E-3</v>
      </c>
      <c r="L1711" s="60"/>
      <c r="M1711" s="41"/>
      <c r="N1711" s="41"/>
      <c r="O1711" s="41"/>
    </row>
    <row r="1712" spans="1:15" s="7" customFormat="1" ht="18.75">
      <c r="A1712" s="56"/>
      <c r="B1712" s="57"/>
      <c r="C1712" s="74" t="s">
        <v>207</v>
      </c>
      <c r="D1712" s="32" t="s">
        <v>1494</v>
      </c>
      <c r="E1712" s="44" t="s">
        <v>292</v>
      </c>
      <c r="F1712" s="34">
        <v>145961775.81663999</v>
      </c>
      <c r="G1712" s="265" t="s">
        <v>861</v>
      </c>
      <c r="H1712" s="47">
        <v>145961775.81999999</v>
      </c>
      <c r="I1712" s="92" t="s">
        <v>603</v>
      </c>
      <c r="J1712" s="37">
        <f t="shared" si="99"/>
        <v>-3.3600032329559326E-3</v>
      </c>
      <c r="K1712" s="110">
        <f t="shared" si="100"/>
        <v>7.4775367975234985E-3</v>
      </c>
      <c r="L1712" s="60"/>
      <c r="M1712" s="41"/>
      <c r="N1712" s="41"/>
      <c r="O1712" s="41"/>
    </row>
    <row r="1713" spans="1:15" s="7" customFormat="1" ht="18.75">
      <c r="A1713" s="56"/>
      <c r="B1713" s="57"/>
      <c r="C1713" s="74" t="s">
        <v>212</v>
      </c>
      <c r="D1713" s="32" t="s">
        <v>1495</v>
      </c>
      <c r="E1713" s="44">
        <v>44084</v>
      </c>
      <c r="F1713" s="34">
        <v>132107642.58071299</v>
      </c>
      <c r="G1713" s="265" t="s">
        <v>213</v>
      </c>
      <c r="H1713" s="47">
        <v>132107642.58</v>
      </c>
      <c r="I1713" s="92" t="s">
        <v>603</v>
      </c>
      <c r="J1713" s="37">
        <f t="shared" si="99"/>
        <v>7.1299076080322266E-4</v>
      </c>
      <c r="K1713" s="110">
        <f t="shared" si="100"/>
        <v>4.1175335645675659E-3</v>
      </c>
      <c r="L1713" s="60"/>
      <c r="M1713" s="41"/>
      <c r="N1713" s="41"/>
      <c r="O1713" s="41"/>
    </row>
    <row r="1714" spans="1:15" s="7" customFormat="1" ht="18.75">
      <c r="A1714" s="56"/>
      <c r="B1714" s="57"/>
      <c r="C1714" s="74" t="s">
        <v>214</v>
      </c>
      <c r="D1714" s="32" t="s">
        <v>1496</v>
      </c>
      <c r="E1714" s="44">
        <v>0</v>
      </c>
      <c r="F1714" s="34">
        <v>127904945.78554922</v>
      </c>
      <c r="G1714" s="268">
        <v>43963</v>
      </c>
      <c r="H1714" s="47">
        <v>127904945.79000001</v>
      </c>
      <c r="I1714" s="92" t="s">
        <v>905</v>
      </c>
      <c r="J1714" s="37">
        <f>F1714-H1714</f>
        <v>-4.4507831335067749E-3</v>
      </c>
      <c r="K1714" s="110">
        <f t="shared" si="100"/>
        <v>4.8305243253707886E-3</v>
      </c>
      <c r="L1714" s="60"/>
      <c r="M1714" s="41"/>
      <c r="N1714" s="41"/>
      <c r="O1714" s="41"/>
    </row>
    <row r="1715" spans="1:15" s="7" customFormat="1" ht="18.75">
      <c r="A1715" s="56"/>
      <c r="B1715" s="57"/>
      <c r="C1715" s="74" t="s">
        <v>218</v>
      </c>
      <c r="D1715" s="32" t="s">
        <v>1497</v>
      </c>
      <c r="E1715" s="44">
        <v>44147</v>
      </c>
      <c r="F1715" s="34">
        <v>148142317.28278098</v>
      </c>
      <c r="G1715" s="268">
        <v>44531</v>
      </c>
      <c r="H1715" s="47">
        <v>148142317.28</v>
      </c>
      <c r="I1715" s="92" t="s">
        <v>905</v>
      </c>
      <c r="J1715" s="37">
        <f>F1715-H1715</f>
        <v>2.7809739112854004E-3</v>
      </c>
      <c r="K1715" s="110">
        <f t="shared" si="100"/>
        <v>3.7974119186401367E-4</v>
      </c>
      <c r="L1715" s="60"/>
      <c r="M1715" s="41"/>
      <c r="N1715" s="41"/>
      <c r="O1715" s="41"/>
    </row>
    <row r="1716" spans="1:15" s="7" customFormat="1" ht="18.75">
      <c r="A1716" s="56"/>
      <c r="B1716" s="57"/>
      <c r="C1716" s="74" t="s">
        <v>219</v>
      </c>
      <c r="D1716" s="32" t="s">
        <v>1498</v>
      </c>
      <c r="E1716" s="44">
        <v>44409</v>
      </c>
      <c r="F1716" s="34">
        <v>168574170.49760798</v>
      </c>
      <c r="G1716" s="268">
        <v>44379</v>
      </c>
      <c r="H1716" s="47">
        <v>168574170.5</v>
      </c>
      <c r="I1716" s="44">
        <v>44532</v>
      </c>
      <c r="J1716" s="37">
        <f>F1716-H1716</f>
        <v>-2.3920238018035889E-3</v>
      </c>
      <c r="K1716" s="110">
        <f t="shared" si="100"/>
        <v>3.1607151031494141E-3</v>
      </c>
      <c r="L1716" s="60"/>
      <c r="M1716" s="41"/>
      <c r="N1716" s="41"/>
      <c r="O1716" s="41"/>
    </row>
    <row r="1717" spans="1:15" s="7" customFormat="1" ht="18.75">
      <c r="A1717" s="56"/>
      <c r="B1717" s="57"/>
      <c r="C1717" s="74" t="s">
        <v>221</v>
      </c>
      <c r="D1717" s="32" t="s">
        <v>1499</v>
      </c>
      <c r="E1717" s="44">
        <v>44410</v>
      </c>
      <c r="F1717" s="34">
        <v>148182943.159944</v>
      </c>
      <c r="G1717" s="268" t="s">
        <v>27</v>
      </c>
      <c r="H1717" s="47">
        <v>148182943.16</v>
      </c>
      <c r="I1717" s="44" t="s">
        <v>605</v>
      </c>
      <c r="J1717" s="37">
        <f>F1717-H1717</f>
        <v>-5.5998563766479492E-5</v>
      </c>
      <c r="K1717" s="110">
        <f t="shared" si="100"/>
        <v>7.686913013458252E-4</v>
      </c>
      <c r="L1717" s="60"/>
      <c r="M1717" s="41"/>
      <c r="N1717" s="41"/>
      <c r="O1717" s="41"/>
    </row>
    <row r="1718" spans="1:15" s="7" customFormat="1" ht="18.75">
      <c r="A1718" s="56"/>
      <c r="B1718" s="57"/>
      <c r="C1718" s="74" t="s">
        <v>222</v>
      </c>
      <c r="D1718" s="32" t="s">
        <v>1500</v>
      </c>
      <c r="E1718" s="44">
        <v>44472</v>
      </c>
      <c r="F1718" s="34">
        <v>169948339.40855923</v>
      </c>
      <c r="G1718" s="268">
        <v>44473</v>
      </c>
      <c r="H1718" s="47"/>
      <c r="I1718" s="44"/>
      <c r="J1718" s="37">
        <f>F1718-H1718</f>
        <v>169948339.40855923</v>
      </c>
      <c r="K1718" s="110">
        <f t="shared" si="100"/>
        <v>7.126927375793457E-4</v>
      </c>
      <c r="L1718" s="60"/>
      <c r="M1718" s="41"/>
      <c r="N1718" s="41"/>
      <c r="O1718" s="41"/>
    </row>
    <row r="1719" spans="1:15" s="7" customFormat="1" ht="18.75">
      <c r="A1719" s="56"/>
      <c r="B1719" s="57" t="s">
        <v>1501</v>
      </c>
      <c r="C1719" s="31"/>
      <c r="D1719" s="32"/>
      <c r="E1719" s="44"/>
      <c r="F1719" s="34"/>
      <c r="G1719" s="269"/>
      <c r="H1719" s="54"/>
      <c r="I1719" s="35"/>
      <c r="J1719" s="37"/>
      <c r="K1719" s="116">
        <f t="shared" si="100"/>
        <v>169948339.40927193</v>
      </c>
      <c r="L1719" s="60"/>
      <c r="M1719" s="41"/>
      <c r="N1719" s="41"/>
      <c r="O1719" s="41"/>
    </row>
    <row r="1720" spans="1:15" s="7" customFormat="1" ht="18.75">
      <c r="A1720" s="56"/>
      <c r="B1720" s="57"/>
      <c r="C1720" s="31"/>
      <c r="D1720" s="32"/>
      <c r="E1720" s="44"/>
      <c r="F1720" s="34"/>
      <c r="G1720" s="80"/>
      <c r="H1720" s="54"/>
      <c r="I1720" s="35"/>
      <c r="J1720" s="37"/>
      <c r="K1720" s="116"/>
      <c r="L1720" s="60"/>
      <c r="M1720" s="41"/>
      <c r="N1720" s="41"/>
      <c r="O1720" s="41"/>
    </row>
    <row r="1721" spans="1:15" s="7" customFormat="1" ht="18.75">
      <c r="A1721" s="56"/>
      <c r="B1721" s="57"/>
      <c r="C1721" s="31"/>
      <c r="D1721" s="32"/>
      <c r="E1721" s="44"/>
      <c r="F1721" s="34"/>
      <c r="G1721" s="80"/>
      <c r="H1721" s="54"/>
      <c r="I1721" s="35"/>
      <c r="J1721" s="37"/>
      <c r="K1721" s="116"/>
      <c r="L1721" s="60"/>
      <c r="M1721" s="41"/>
      <c r="N1721" s="41"/>
      <c r="O1721" s="41"/>
    </row>
    <row r="1722" spans="1:15" s="7" customFormat="1" ht="18.75">
      <c r="A1722" s="56"/>
      <c r="B1722" s="57" t="s">
        <v>96</v>
      </c>
      <c r="C1722" s="62" t="s">
        <v>185</v>
      </c>
      <c r="D1722" s="32" t="s">
        <v>140</v>
      </c>
      <c r="E1722" s="44">
        <v>44084</v>
      </c>
      <c r="F1722" s="34">
        <v>258843.99</v>
      </c>
      <c r="G1722" s="80" t="s">
        <v>213</v>
      </c>
      <c r="H1722" s="159">
        <v>2379905.4300000002</v>
      </c>
      <c r="I1722" s="35" t="s">
        <v>1502</v>
      </c>
      <c r="J1722" s="37">
        <f t="shared" ref="J1722:J1730" si="101">F1722-H1722</f>
        <v>-2121061.4400000004</v>
      </c>
      <c r="K1722" s="116"/>
      <c r="L1722" s="60"/>
      <c r="M1722" s="41"/>
      <c r="N1722" s="41"/>
      <c r="O1722" s="41"/>
    </row>
    <row r="1723" spans="1:15" s="7" customFormat="1" ht="18.75">
      <c r="A1723" s="56"/>
      <c r="B1723" s="57"/>
      <c r="C1723" s="62" t="s">
        <v>189</v>
      </c>
      <c r="D1723" s="32" t="s">
        <v>120</v>
      </c>
      <c r="E1723" s="44">
        <v>44084</v>
      </c>
      <c r="F1723" s="34">
        <v>1506160.6399999999</v>
      </c>
      <c r="G1723" s="80" t="s">
        <v>213</v>
      </c>
      <c r="H1723" s="159">
        <v>1147498.54</v>
      </c>
      <c r="I1723" s="35">
        <v>43927</v>
      </c>
      <c r="J1723" s="37">
        <f t="shared" si="101"/>
        <v>358662.09999999986</v>
      </c>
      <c r="K1723" s="110">
        <f t="shared" ref="K1723:K1732" si="102">J1722+K1722</f>
        <v>-2121061.4400000004</v>
      </c>
      <c r="L1723" s="60"/>
      <c r="M1723" s="41"/>
      <c r="N1723" s="41"/>
      <c r="O1723" s="41"/>
    </row>
    <row r="1724" spans="1:15" s="7" customFormat="1" ht="18.75">
      <c r="A1724" s="56"/>
      <c r="B1724" s="57"/>
      <c r="C1724" s="62" t="s">
        <v>191</v>
      </c>
      <c r="D1724" s="32" t="s">
        <v>146</v>
      </c>
      <c r="E1724" s="44">
        <v>44084</v>
      </c>
      <c r="F1724" s="34">
        <v>450144.81</v>
      </c>
      <c r="G1724" s="80" t="s">
        <v>213</v>
      </c>
      <c r="H1724" s="159">
        <v>767965.76</v>
      </c>
      <c r="I1724" s="35">
        <v>43837</v>
      </c>
      <c r="J1724" s="37">
        <f t="shared" si="101"/>
        <v>-317820.95</v>
      </c>
      <c r="K1724" s="110">
        <f t="shared" si="102"/>
        <v>-1762399.3400000005</v>
      </c>
      <c r="L1724" s="60"/>
      <c r="M1724" s="41"/>
      <c r="N1724" s="41"/>
      <c r="O1724" s="41"/>
    </row>
    <row r="1725" spans="1:15" s="7" customFormat="1" ht="18.75">
      <c r="A1725" s="56"/>
      <c r="B1725" s="57"/>
      <c r="C1725" s="62" t="s">
        <v>195</v>
      </c>
      <c r="D1725" s="32" t="s">
        <v>80</v>
      </c>
      <c r="E1725" s="44">
        <v>44084</v>
      </c>
      <c r="F1725" s="34">
        <v>1376579.7</v>
      </c>
      <c r="G1725" s="80" t="s">
        <v>213</v>
      </c>
      <c r="H1725" s="159">
        <v>767847.43</v>
      </c>
      <c r="I1725" s="35" t="s">
        <v>885</v>
      </c>
      <c r="J1725" s="37">
        <f t="shared" si="101"/>
        <v>608732.2699999999</v>
      </c>
      <c r="K1725" s="110">
        <f t="shared" si="102"/>
        <v>-2080220.2900000005</v>
      </c>
      <c r="L1725" s="60"/>
      <c r="M1725" s="41"/>
      <c r="N1725" s="41"/>
      <c r="O1725" s="41"/>
    </row>
    <row r="1726" spans="1:15" s="7" customFormat="1" ht="18.75">
      <c r="A1726" s="56"/>
      <c r="B1726" s="57"/>
      <c r="C1726" s="62" t="s">
        <v>199</v>
      </c>
      <c r="D1726" s="32" t="s">
        <v>124</v>
      </c>
      <c r="E1726" s="44">
        <v>44084</v>
      </c>
      <c r="F1726" s="34">
        <v>658875.76</v>
      </c>
      <c r="G1726" s="80" t="s">
        <v>213</v>
      </c>
      <c r="H1726" s="159">
        <v>616744.86</v>
      </c>
      <c r="I1726" s="44">
        <v>43871</v>
      </c>
      <c r="J1726" s="37">
        <f t="shared" si="101"/>
        <v>42130.900000000023</v>
      </c>
      <c r="K1726" s="110">
        <f t="shared" si="102"/>
        <v>-1471488.0200000005</v>
      </c>
      <c r="L1726" s="60"/>
      <c r="M1726" s="41"/>
      <c r="N1726" s="41"/>
      <c r="O1726" s="41"/>
    </row>
    <row r="1727" spans="1:15" s="7" customFormat="1" ht="18.75">
      <c r="A1727" s="56"/>
      <c r="B1727" s="57"/>
      <c r="C1727" s="62" t="s">
        <v>201</v>
      </c>
      <c r="D1727" s="32" t="s">
        <v>155</v>
      </c>
      <c r="E1727" s="44">
        <v>44084</v>
      </c>
      <c r="F1727" s="34">
        <v>1005427.29</v>
      </c>
      <c r="G1727" s="80" t="s">
        <v>213</v>
      </c>
      <c r="H1727" s="159"/>
      <c r="I1727" s="44"/>
      <c r="J1727" s="37">
        <f t="shared" si="101"/>
        <v>1005427.29</v>
      </c>
      <c r="K1727" s="110">
        <f t="shared" si="102"/>
        <v>-1429357.1200000006</v>
      </c>
      <c r="L1727" s="60"/>
      <c r="M1727" s="41"/>
      <c r="N1727" s="41"/>
      <c r="O1727" s="41"/>
    </row>
    <row r="1728" spans="1:15" s="7" customFormat="1" ht="18.75">
      <c r="A1728" s="56"/>
      <c r="B1728" s="57"/>
      <c r="C1728" s="62" t="s">
        <v>203</v>
      </c>
      <c r="D1728" s="32" t="s">
        <v>159</v>
      </c>
      <c r="E1728" s="44">
        <v>44084</v>
      </c>
      <c r="F1728" s="34">
        <v>672780.6</v>
      </c>
      <c r="G1728" s="80" t="s">
        <v>213</v>
      </c>
      <c r="H1728" s="159"/>
      <c r="I1728" s="44"/>
      <c r="J1728" s="37">
        <f t="shared" si="101"/>
        <v>672780.6</v>
      </c>
      <c r="K1728" s="110">
        <f t="shared" si="102"/>
        <v>-423929.83000000054</v>
      </c>
      <c r="L1728" s="60"/>
      <c r="M1728" s="41"/>
      <c r="N1728" s="41"/>
      <c r="O1728" s="41"/>
    </row>
    <row r="1729" spans="1:15" s="7" customFormat="1" ht="18.75">
      <c r="A1729" s="56"/>
      <c r="B1729" s="57"/>
      <c r="C1729" s="42" t="s">
        <v>207</v>
      </c>
      <c r="D1729" s="32" t="s">
        <v>163</v>
      </c>
      <c r="E1729" s="44">
        <v>44084</v>
      </c>
      <c r="F1729" s="34">
        <v>708239.22</v>
      </c>
      <c r="G1729" s="80" t="s">
        <v>213</v>
      </c>
      <c r="H1729" s="159"/>
      <c r="I1729" s="35"/>
      <c r="J1729" s="37">
        <f t="shared" si="101"/>
        <v>708239.22</v>
      </c>
      <c r="K1729" s="110">
        <f t="shared" si="102"/>
        <v>248850.76999999944</v>
      </c>
      <c r="L1729" s="60"/>
      <c r="M1729" s="41"/>
      <c r="N1729" s="41"/>
      <c r="O1729" s="41"/>
    </row>
    <row r="1730" spans="1:15" s="7" customFormat="1" ht="18.75">
      <c r="A1730" s="56"/>
      <c r="B1730" s="57"/>
      <c r="C1730" s="31" t="s">
        <v>212</v>
      </c>
      <c r="D1730" s="32" t="s">
        <v>167</v>
      </c>
      <c r="E1730" s="44">
        <v>44084</v>
      </c>
      <c r="F1730" s="34">
        <v>663200.15850000002</v>
      </c>
      <c r="G1730" s="80" t="s">
        <v>213</v>
      </c>
      <c r="H1730" s="159"/>
      <c r="I1730" s="35"/>
      <c r="J1730" s="37">
        <f t="shared" si="101"/>
        <v>663200.15850000002</v>
      </c>
      <c r="K1730" s="110">
        <f t="shared" si="102"/>
        <v>957089.98999999941</v>
      </c>
      <c r="L1730" s="60"/>
      <c r="M1730" s="41"/>
      <c r="N1730" s="41"/>
      <c r="O1730" s="41"/>
    </row>
    <row r="1731" spans="1:15" s="7" customFormat="1" ht="18.75">
      <c r="A1731" s="56"/>
      <c r="B1731" s="57"/>
      <c r="C1731" s="31"/>
      <c r="D1731" s="32"/>
      <c r="E1731" s="44"/>
      <c r="F1731" s="34"/>
      <c r="G1731" s="80"/>
      <c r="H1731" s="159"/>
      <c r="I1731" s="35"/>
      <c r="J1731" s="37"/>
      <c r="K1731" s="110">
        <f t="shared" si="102"/>
        <v>1620290.1484999994</v>
      </c>
      <c r="L1731" s="60"/>
      <c r="M1731" s="41"/>
      <c r="N1731" s="41"/>
      <c r="O1731" s="41"/>
    </row>
    <row r="1732" spans="1:15" s="7" customFormat="1" ht="18.75">
      <c r="A1732" s="56"/>
      <c r="B1732" s="57" t="s">
        <v>1503</v>
      </c>
      <c r="C1732" s="31"/>
      <c r="D1732" s="32"/>
      <c r="E1732" s="44"/>
      <c r="F1732" s="34"/>
      <c r="G1732" s="80"/>
      <c r="H1732" s="234"/>
      <c r="I1732" s="35"/>
      <c r="J1732" s="37"/>
      <c r="K1732" s="116">
        <f t="shared" si="102"/>
        <v>1620290.1484999994</v>
      </c>
      <c r="L1732" s="60"/>
      <c r="M1732" s="41"/>
      <c r="N1732" s="41"/>
      <c r="O1732" s="41"/>
    </row>
    <row r="1733" spans="1:15" s="7" customFormat="1" ht="18.75">
      <c r="A1733" s="56"/>
      <c r="B1733" s="57"/>
      <c r="C1733" s="31"/>
      <c r="D1733" s="32"/>
      <c r="E1733" s="44"/>
      <c r="F1733" s="34"/>
      <c r="G1733" s="80"/>
      <c r="H1733" s="54"/>
      <c r="I1733" s="35"/>
      <c r="J1733" s="37"/>
      <c r="K1733" s="116"/>
      <c r="L1733" s="60"/>
      <c r="M1733" s="41"/>
      <c r="N1733" s="41"/>
      <c r="O1733" s="41"/>
    </row>
    <row r="1734" spans="1:15" s="7" customFormat="1" ht="18.75">
      <c r="A1734" s="56"/>
      <c r="B1734" s="57"/>
      <c r="C1734" s="31"/>
      <c r="D1734" s="32"/>
      <c r="E1734" s="44"/>
      <c r="F1734" s="34"/>
      <c r="G1734" s="80"/>
      <c r="H1734" s="54"/>
      <c r="I1734" s="35"/>
      <c r="J1734" s="37"/>
      <c r="K1734" s="116"/>
      <c r="L1734" s="60"/>
      <c r="M1734" s="41"/>
      <c r="N1734" s="41"/>
      <c r="O1734" s="41"/>
    </row>
    <row r="1735" spans="1:15" s="7" customFormat="1" ht="18.75">
      <c r="A1735" s="56"/>
      <c r="B1735" s="57" t="s">
        <v>97</v>
      </c>
      <c r="C1735" s="31" t="s">
        <v>191</v>
      </c>
      <c r="D1735" s="32" t="s">
        <v>140</v>
      </c>
      <c r="E1735" s="44">
        <v>43986</v>
      </c>
      <c r="F1735" s="34">
        <v>7621080.4485479984</v>
      </c>
      <c r="G1735" s="80" t="s">
        <v>193</v>
      </c>
      <c r="H1735" s="159">
        <v>7621080.4500000002</v>
      </c>
      <c r="I1735" s="35" t="s">
        <v>1504</v>
      </c>
      <c r="J1735" s="37">
        <f t="shared" ref="J1735:J1741" si="103">F1735-H1735</f>
        <v>-1.4520017430186272E-3</v>
      </c>
      <c r="K1735" s="116"/>
      <c r="L1735" s="60"/>
      <c r="M1735" s="41"/>
      <c r="N1735" s="41"/>
      <c r="O1735" s="41"/>
    </row>
    <row r="1736" spans="1:15" s="7" customFormat="1" ht="18.75">
      <c r="A1736" s="56"/>
      <c r="B1736" s="57"/>
      <c r="C1736" s="31" t="s">
        <v>195</v>
      </c>
      <c r="D1736" s="32" t="s">
        <v>1505</v>
      </c>
      <c r="E1736" s="44" t="s">
        <v>197</v>
      </c>
      <c r="F1736" s="34">
        <v>24639283.102271248</v>
      </c>
      <c r="G1736" s="80" t="s">
        <v>334</v>
      </c>
      <c r="H1736" s="159">
        <v>24639283.100000001</v>
      </c>
      <c r="I1736" s="35" t="s">
        <v>600</v>
      </c>
      <c r="J1736" s="37">
        <f t="shared" si="103"/>
        <v>2.2712461650371552E-3</v>
      </c>
      <c r="K1736" s="110">
        <f t="shared" ref="K1736:K1747" si="104">J1735+K1735</f>
        <v>-1.4520017430186272E-3</v>
      </c>
      <c r="L1736" s="60"/>
      <c r="M1736" s="41"/>
      <c r="N1736" s="41"/>
      <c r="O1736" s="41"/>
    </row>
    <row r="1737" spans="1:15" s="7" customFormat="1" ht="18.75">
      <c r="A1737" s="56"/>
      <c r="B1737" s="57"/>
      <c r="C1737" s="31" t="s">
        <v>199</v>
      </c>
      <c r="D1737" s="32" t="s">
        <v>146</v>
      </c>
      <c r="E1737" s="44">
        <v>44049</v>
      </c>
      <c r="F1737" s="34">
        <v>43064338.048199996</v>
      </c>
      <c r="G1737" s="80" t="s">
        <v>734</v>
      </c>
      <c r="H1737" s="159">
        <v>43064338.048199996</v>
      </c>
      <c r="I1737" s="35" t="s">
        <v>1506</v>
      </c>
      <c r="J1737" s="37">
        <f t="shared" si="103"/>
        <v>0</v>
      </c>
      <c r="K1737" s="110">
        <f t="shared" si="104"/>
        <v>8.1924442201852798E-4</v>
      </c>
      <c r="L1737" s="60"/>
      <c r="M1737" s="41"/>
      <c r="N1737" s="41"/>
      <c r="O1737" s="41"/>
    </row>
    <row r="1738" spans="1:15" s="7" customFormat="1" ht="18.75">
      <c r="A1738" s="56"/>
      <c r="B1738" s="57"/>
      <c r="C1738" s="31" t="s">
        <v>201</v>
      </c>
      <c r="D1738" s="32" t="s">
        <v>80</v>
      </c>
      <c r="E1738" s="44">
        <v>44081</v>
      </c>
      <c r="F1738" s="34">
        <v>49708989.366750002</v>
      </c>
      <c r="G1738" s="80" t="s">
        <v>290</v>
      </c>
      <c r="H1738" s="159">
        <v>49708989.366750002</v>
      </c>
      <c r="I1738" s="44">
        <v>44173</v>
      </c>
      <c r="J1738" s="37">
        <f t="shared" si="103"/>
        <v>0</v>
      </c>
      <c r="K1738" s="110">
        <f t="shared" si="104"/>
        <v>8.1924442201852798E-4</v>
      </c>
      <c r="L1738" s="60"/>
      <c r="M1738" s="41"/>
      <c r="N1738" s="41"/>
      <c r="O1738" s="41"/>
    </row>
    <row r="1739" spans="1:15" s="7" customFormat="1" ht="18.75">
      <c r="A1739" s="56"/>
      <c r="B1739" s="57"/>
      <c r="C1739" s="31" t="s">
        <v>203</v>
      </c>
      <c r="D1739" s="32" t="s">
        <v>124</v>
      </c>
      <c r="E1739" s="44">
        <v>43990</v>
      </c>
      <c r="F1739" s="34">
        <v>71355581.855912</v>
      </c>
      <c r="G1739" s="80" t="s">
        <v>290</v>
      </c>
      <c r="H1739" s="159">
        <v>71355581.855912</v>
      </c>
      <c r="I1739" s="35" t="s">
        <v>1507</v>
      </c>
      <c r="J1739" s="37">
        <f t="shared" si="103"/>
        <v>0</v>
      </c>
      <c r="K1739" s="110">
        <f t="shared" si="104"/>
        <v>8.1924442201852798E-4</v>
      </c>
      <c r="L1739" s="60"/>
      <c r="M1739" s="41"/>
      <c r="N1739" s="41"/>
      <c r="O1739" s="41"/>
    </row>
    <row r="1740" spans="1:15" s="7" customFormat="1" ht="18.75">
      <c r="A1740" s="56"/>
      <c r="B1740" s="57"/>
      <c r="C1740" s="31" t="s">
        <v>207</v>
      </c>
      <c r="D1740" s="32" t="s">
        <v>159</v>
      </c>
      <c r="E1740" s="44" t="s">
        <v>292</v>
      </c>
      <c r="F1740" s="34">
        <v>51649838.939019993</v>
      </c>
      <c r="G1740" s="80" t="s">
        <v>293</v>
      </c>
      <c r="H1740" s="159">
        <v>51649838.939019993</v>
      </c>
      <c r="I1740" s="44" t="s">
        <v>888</v>
      </c>
      <c r="J1740" s="37">
        <f t="shared" si="103"/>
        <v>0</v>
      </c>
      <c r="K1740" s="110">
        <f t="shared" si="104"/>
        <v>8.1924442201852798E-4</v>
      </c>
      <c r="L1740" s="60"/>
      <c r="M1740" s="41"/>
      <c r="N1740" s="41"/>
      <c r="O1740" s="41"/>
    </row>
    <row r="1741" spans="1:15" s="7" customFormat="1" ht="18.75">
      <c r="A1741" s="56"/>
      <c r="B1741" s="57"/>
      <c r="C1741" s="31" t="s">
        <v>212</v>
      </c>
      <c r="D1741" s="32" t="s">
        <v>163</v>
      </c>
      <c r="E1741" s="44">
        <v>44084</v>
      </c>
      <c r="F1741" s="34">
        <v>41027506.398690499</v>
      </c>
      <c r="G1741" s="80" t="s">
        <v>213</v>
      </c>
      <c r="H1741" s="159">
        <v>41027506.398690499</v>
      </c>
      <c r="I1741" s="44" t="s">
        <v>588</v>
      </c>
      <c r="J1741" s="37">
        <f t="shared" si="103"/>
        <v>0</v>
      </c>
      <c r="K1741" s="110">
        <f t="shared" si="104"/>
        <v>8.1924442201852798E-4</v>
      </c>
      <c r="L1741" s="60"/>
      <c r="M1741" s="41"/>
      <c r="N1741" s="41"/>
      <c r="O1741" s="41"/>
    </row>
    <row r="1742" spans="1:15" s="7" customFormat="1" ht="18.75">
      <c r="A1742" s="56"/>
      <c r="B1742" s="57"/>
      <c r="C1742" s="31" t="s">
        <v>214</v>
      </c>
      <c r="D1742" s="32" t="s">
        <v>167</v>
      </c>
      <c r="E1742" s="44">
        <v>43962</v>
      </c>
      <c r="F1742" s="34">
        <v>55642326.885752752</v>
      </c>
      <c r="G1742" s="80" t="s">
        <v>216</v>
      </c>
      <c r="H1742" s="159">
        <v>55642326.885752752</v>
      </c>
      <c r="I1742" s="44">
        <v>44147</v>
      </c>
      <c r="J1742" s="37">
        <f>F1742-H1742</f>
        <v>0</v>
      </c>
      <c r="K1742" s="110">
        <f t="shared" si="104"/>
        <v>8.1924442201852798E-4</v>
      </c>
      <c r="L1742" s="60"/>
      <c r="M1742" s="41"/>
      <c r="N1742" s="41"/>
      <c r="O1742" s="41"/>
    </row>
    <row r="1743" spans="1:15" s="7" customFormat="1" ht="18.75">
      <c r="A1743" s="56"/>
      <c r="B1743" s="57"/>
      <c r="C1743" s="31" t="s">
        <v>218</v>
      </c>
      <c r="D1743" s="32" t="s">
        <v>171</v>
      </c>
      <c r="E1743" s="44">
        <v>44024</v>
      </c>
      <c r="F1743" s="34">
        <v>13461732.975402499</v>
      </c>
      <c r="G1743" s="80">
        <v>44531</v>
      </c>
      <c r="H1743" s="159">
        <v>13461732.975402499</v>
      </c>
      <c r="I1743" s="44">
        <v>44531</v>
      </c>
      <c r="J1743" s="37">
        <f>F1743-H1743</f>
        <v>0</v>
      </c>
      <c r="K1743" s="110">
        <f t="shared" si="104"/>
        <v>8.1924442201852798E-4</v>
      </c>
      <c r="L1743" s="60"/>
      <c r="M1743" s="41"/>
      <c r="N1743" s="41"/>
      <c r="O1743" s="41"/>
    </row>
    <row r="1744" spans="1:15" s="7" customFormat="1" ht="18.75">
      <c r="A1744" s="56"/>
      <c r="B1744" s="57"/>
      <c r="C1744" s="31" t="s">
        <v>219</v>
      </c>
      <c r="D1744" s="32" t="s">
        <v>175</v>
      </c>
      <c r="E1744" s="44">
        <v>44409</v>
      </c>
      <c r="F1744" s="34">
        <v>54457842.090742245</v>
      </c>
      <c r="G1744" s="80">
        <v>44410</v>
      </c>
      <c r="H1744" s="159">
        <v>54457842.090742245</v>
      </c>
      <c r="I1744" s="44" t="s">
        <v>81</v>
      </c>
      <c r="J1744" s="37">
        <f>F1744-H1744</f>
        <v>0</v>
      </c>
      <c r="K1744" s="110">
        <f t="shared" si="104"/>
        <v>8.1924442201852798E-4</v>
      </c>
      <c r="L1744" s="60"/>
      <c r="M1744" s="41"/>
      <c r="N1744" s="41"/>
      <c r="O1744" s="41"/>
    </row>
    <row r="1745" spans="1:15" s="7" customFormat="1" ht="18.75">
      <c r="A1745" s="56"/>
      <c r="B1745" s="57"/>
      <c r="C1745" s="31" t="s">
        <v>221</v>
      </c>
      <c r="D1745" s="32" t="s">
        <v>111</v>
      </c>
      <c r="E1745" s="44">
        <v>44410</v>
      </c>
      <c r="F1745" s="34">
        <v>66454643.621866494</v>
      </c>
      <c r="G1745" s="80" t="s">
        <v>93</v>
      </c>
      <c r="H1745" s="159">
        <v>66454643.621866494</v>
      </c>
      <c r="I1745" s="44">
        <v>44533</v>
      </c>
      <c r="J1745" s="37">
        <f>F1745-H1745</f>
        <v>0</v>
      </c>
      <c r="K1745" s="110">
        <f t="shared" si="104"/>
        <v>8.1924442201852798E-4</v>
      </c>
      <c r="L1745" s="60"/>
      <c r="M1745" s="41"/>
      <c r="N1745" s="41"/>
      <c r="O1745" s="41"/>
    </row>
    <row r="1746" spans="1:15" s="7" customFormat="1" ht="18.75">
      <c r="A1746" s="56"/>
      <c r="B1746" s="57"/>
      <c r="C1746" s="31" t="s">
        <v>222</v>
      </c>
      <c r="D1746" s="32" t="s">
        <v>182</v>
      </c>
      <c r="E1746" s="44">
        <v>44319</v>
      </c>
      <c r="F1746" s="34">
        <v>52225336</v>
      </c>
      <c r="G1746" s="80">
        <v>44320</v>
      </c>
      <c r="H1746" s="159">
        <v>52225336</v>
      </c>
      <c r="I1746" s="44" t="s">
        <v>1508</v>
      </c>
      <c r="J1746" s="37">
        <f>F1746-H1746</f>
        <v>0</v>
      </c>
      <c r="K1746" s="110">
        <f t="shared" si="104"/>
        <v>8.1924442201852798E-4</v>
      </c>
      <c r="L1746" s="60"/>
      <c r="M1746" s="41"/>
      <c r="N1746" s="41"/>
      <c r="O1746" s="41"/>
    </row>
    <row r="1747" spans="1:15" s="7" customFormat="1" ht="18.75">
      <c r="A1747" s="56"/>
      <c r="B1747" s="57" t="s">
        <v>1509</v>
      </c>
      <c r="C1747" s="31"/>
      <c r="D1747" s="32"/>
      <c r="E1747" s="44"/>
      <c r="F1747" s="34"/>
      <c r="G1747" s="80"/>
      <c r="H1747" s="54"/>
      <c r="I1747" s="35"/>
      <c r="J1747" s="37"/>
      <c r="K1747" s="116">
        <f t="shared" si="104"/>
        <v>8.1924442201852798E-4</v>
      </c>
      <c r="L1747" s="60"/>
      <c r="M1747" s="41"/>
      <c r="N1747" s="41"/>
      <c r="O1747" s="41"/>
    </row>
    <row r="1748" spans="1:15" s="7" customFormat="1" ht="18.75">
      <c r="A1748" s="56"/>
      <c r="B1748" s="57"/>
      <c r="C1748" s="31"/>
      <c r="D1748" s="32"/>
      <c r="E1748" s="44"/>
      <c r="F1748" s="34"/>
      <c r="G1748" s="80"/>
      <c r="H1748" s="54"/>
      <c r="I1748" s="35"/>
      <c r="J1748" s="37"/>
      <c r="K1748" s="116"/>
      <c r="L1748" s="60"/>
      <c r="M1748" s="41"/>
      <c r="N1748" s="41"/>
      <c r="O1748" s="41"/>
    </row>
    <row r="1749" spans="1:15" s="7" customFormat="1" ht="18.75">
      <c r="A1749" s="56"/>
      <c r="B1749" s="57"/>
      <c r="C1749" s="31"/>
      <c r="D1749" s="32"/>
      <c r="E1749" s="44"/>
      <c r="F1749" s="34"/>
      <c r="G1749" s="80"/>
      <c r="H1749" s="54"/>
      <c r="I1749" s="35"/>
      <c r="J1749" s="37"/>
      <c r="K1749" s="116"/>
      <c r="L1749" s="60"/>
      <c r="M1749" s="41"/>
      <c r="N1749" s="41"/>
      <c r="O1749" s="41"/>
    </row>
    <row r="1750" spans="1:15" s="7" customFormat="1" ht="18.75">
      <c r="A1750" s="56"/>
      <c r="B1750" s="57"/>
      <c r="C1750" s="31"/>
      <c r="D1750" s="32"/>
      <c r="E1750" s="44"/>
      <c r="F1750" s="34"/>
      <c r="G1750" s="80"/>
      <c r="H1750" s="54"/>
      <c r="I1750" s="35"/>
      <c r="J1750" s="37"/>
      <c r="K1750" s="116"/>
      <c r="L1750" s="60"/>
      <c r="M1750" s="41"/>
      <c r="N1750" s="41"/>
      <c r="O1750" s="41"/>
    </row>
    <row r="1751" spans="1:15" s="7" customFormat="1" ht="18.75">
      <c r="A1751" s="56">
        <v>45</v>
      </c>
      <c r="B1751" s="65" t="s">
        <v>1510</v>
      </c>
      <c r="C1751" s="29" t="s">
        <v>494</v>
      </c>
      <c r="D1751" s="32" t="s">
        <v>908</v>
      </c>
      <c r="E1751" s="44"/>
      <c r="F1751" s="95">
        <v>70936045.069999993</v>
      </c>
      <c r="G1751" s="98">
        <v>42963</v>
      </c>
      <c r="H1751" s="47">
        <v>70701681.150000006</v>
      </c>
      <c r="I1751" s="205"/>
      <c r="J1751" s="37">
        <f t="shared" ref="J1751:J1788" si="105">F1751-H1751</f>
        <v>234363.91999998689</v>
      </c>
      <c r="K1751" s="116">
        <v>0</v>
      </c>
      <c r="L1751" s="71"/>
      <c r="M1751" s="40"/>
      <c r="N1751" s="40"/>
      <c r="O1751" s="41"/>
    </row>
    <row r="1752" spans="1:15" s="7" customFormat="1" ht="18.75">
      <c r="A1752" s="56"/>
      <c r="B1752" s="65"/>
      <c r="C1752" s="29" t="s">
        <v>497</v>
      </c>
      <c r="D1752" s="32" t="s">
        <v>909</v>
      </c>
      <c r="E1752" s="44"/>
      <c r="F1752" s="95">
        <v>89731642.519999996</v>
      </c>
      <c r="G1752" s="98">
        <v>42994</v>
      </c>
      <c r="H1752" s="47">
        <v>89567407.450000003</v>
      </c>
      <c r="I1752" s="270"/>
      <c r="J1752" s="271">
        <f t="shared" si="105"/>
        <v>164235.06999999285</v>
      </c>
      <c r="K1752" s="110">
        <f>J1751+K1751</f>
        <v>234363.91999998689</v>
      </c>
      <c r="L1752" s="71"/>
      <c r="M1752" s="40"/>
      <c r="N1752" s="40"/>
      <c r="O1752" s="41"/>
    </row>
    <row r="1753" spans="1:15" s="7" customFormat="1" ht="18.75">
      <c r="A1753" s="56"/>
      <c r="B1753" s="65"/>
      <c r="C1753" s="29" t="s">
        <v>498</v>
      </c>
      <c r="D1753" s="32" t="s">
        <v>675</v>
      </c>
      <c r="E1753" s="44"/>
      <c r="F1753" s="95">
        <v>148714668.02000001</v>
      </c>
      <c r="G1753" s="98">
        <v>42988</v>
      </c>
      <c r="H1753" s="47">
        <v>148320433.00999999</v>
      </c>
      <c r="I1753" s="198"/>
      <c r="J1753" s="271">
        <f t="shared" si="105"/>
        <v>394235.01000002027</v>
      </c>
      <c r="K1753" s="110">
        <f t="shared" ref="K1753:K1794" si="106">J1752+K1752</f>
        <v>398598.98999997973</v>
      </c>
      <c r="L1753" s="71"/>
      <c r="M1753" s="40"/>
      <c r="N1753" s="40"/>
      <c r="O1753" s="41"/>
    </row>
    <row r="1754" spans="1:15" s="7" customFormat="1" ht="18.75">
      <c r="A1754" s="56"/>
      <c r="B1754" s="65"/>
      <c r="C1754" s="29" t="s">
        <v>501</v>
      </c>
      <c r="D1754" s="32" t="s">
        <v>679</v>
      </c>
      <c r="E1754" s="44"/>
      <c r="F1754" s="95">
        <v>112064974.16</v>
      </c>
      <c r="G1754" s="98" t="s">
        <v>502</v>
      </c>
      <c r="H1754" s="47">
        <f>F1754-305000</f>
        <v>111759974.16</v>
      </c>
      <c r="I1754" s="198"/>
      <c r="J1754" s="271">
        <f t="shared" si="105"/>
        <v>305000</v>
      </c>
      <c r="K1754" s="110">
        <f t="shared" si="106"/>
        <v>792834</v>
      </c>
      <c r="L1754" s="71"/>
      <c r="M1754" s="40"/>
      <c r="N1754" s="40"/>
      <c r="O1754" s="41"/>
    </row>
    <row r="1755" spans="1:15" s="7" customFormat="1" ht="18.75">
      <c r="A1755" s="56"/>
      <c r="B1755" s="65"/>
      <c r="C1755" s="29" t="s">
        <v>504</v>
      </c>
      <c r="D1755" s="32" t="s">
        <v>681</v>
      </c>
      <c r="E1755" s="44"/>
      <c r="F1755" s="95">
        <v>135531179.96000001</v>
      </c>
      <c r="G1755" s="75">
        <v>43222</v>
      </c>
      <c r="H1755" s="47">
        <v>135222508.21000001</v>
      </c>
      <c r="I1755" s="198"/>
      <c r="J1755" s="271">
        <f t="shared" si="105"/>
        <v>308671.75</v>
      </c>
      <c r="K1755" s="110">
        <f t="shared" si="106"/>
        <v>1097834</v>
      </c>
      <c r="L1755" s="71"/>
      <c r="M1755" s="40"/>
      <c r="N1755" s="40"/>
      <c r="O1755" s="41"/>
    </row>
    <row r="1756" spans="1:15" s="7" customFormat="1" ht="18.75">
      <c r="A1756" s="56"/>
      <c r="B1756" s="65"/>
      <c r="C1756" s="29" t="s">
        <v>506</v>
      </c>
      <c r="D1756" s="32" t="s">
        <v>683</v>
      </c>
      <c r="E1756" s="44"/>
      <c r="F1756" s="95">
        <v>89961564.239999995</v>
      </c>
      <c r="G1756" s="75">
        <v>43376</v>
      </c>
      <c r="H1756" s="47">
        <v>87739829.120000005</v>
      </c>
      <c r="I1756" s="198" t="s">
        <v>1511</v>
      </c>
      <c r="J1756" s="271">
        <f t="shared" si="105"/>
        <v>2221735.1199999899</v>
      </c>
      <c r="K1756" s="110">
        <f t="shared" si="106"/>
        <v>1406505.75</v>
      </c>
      <c r="L1756" s="71"/>
      <c r="M1756" s="40"/>
      <c r="N1756" s="40"/>
      <c r="O1756" s="41"/>
    </row>
    <row r="1757" spans="1:15" s="7" customFormat="1" ht="18.75">
      <c r="A1757" s="56"/>
      <c r="B1757" s="65"/>
      <c r="C1757" s="29" t="s">
        <v>508</v>
      </c>
      <c r="D1757" s="32" t="s">
        <v>686</v>
      </c>
      <c r="E1757" s="44"/>
      <c r="F1757" s="95">
        <v>120125113.04000001</v>
      </c>
      <c r="G1757" s="75" t="s">
        <v>509</v>
      </c>
      <c r="H1757" s="47">
        <v>117215855.17</v>
      </c>
      <c r="I1757" s="198" t="s">
        <v>1512</v>
      </c>
      <c r="J1757" s="271">
        <f t="shared" si="105"/>
        <v>2909257.8700000048</v>
      </c>
      <c r="K1757" s="110">
        <f t="shared" si="106"/>
        <v>3628240.8699999899</v>
      </c>
      <c r="L1757" s="71"/>
      <c r="M1757" s="40"/>
      <c r="N1757" s="40"/>
      <c r="O1757" s="41"/>
    </row>
    <row r="1758" spans="1:15" s="7" customFormat="1" ht="18.75">
      <c r="A1758" s="56"/>
      <c r="B1758" s="65"/>
      <c r="C1758" s="29" t="s">
        <v>355</v>
      </c>
      <c r="D1758" s="32" t="s">
        <v>689</v>
      </c>
      <c r="E1758" s="44"/>
      <c r="F1758" s="95">
        <v>135697037.68730804</v>
      </c>
      <c r="G1758" s="75" t="s">
        <v>510</v>
      </c>
      <c r="H1758" s="47">
        <v>132497790.14</v>
      </c>
      <c r="I1758" s="198" t="s">
        <v>1513</v>
      </c>
      <c r="J1758" s="271">
        <f t="shared" si="105"/>
        <v>3199247.5473080426</v>
      </c>
      <c r="K1758" s="110">
        <f t="shared" si="106"/>
        <v>6537498.7399999946</v>
      </c>
      <c r="L1758" s="71"/>
      <c r="M1758" s="40"/>
      <c r="N1758" s="40"/>
      <c r="O1758" s="41"/>
    </row>
    <row r="1759" spans="1:15" s="7" customFormat="1" ht="18.75">
      <c r="A1759" s="56"/>
      <c r="B1759" s="65"/>
      <c r="C1759" s="31" t="s">
        <v>234</v>
      </c>
      <c r="D1759" s="32" t="s">
        <v>692</v>
      </c>
      <c r="E1759" s="44"/>
      <c r="F1759" s="95">
        <v>124554589.35184513</v>
      </c>
      <c r="G1759" s="75" t="s">
        <v>637</v>
      </c>
      <c r="H1759" s="172">
        <v>121557911.58</v>
      </c>
      <c r="I1759" s="198"/>
      <c r="J1759" s="271">
        <f t="shared" si="105"/>
        <v>2996677.7718451321</v>
      </c>
      <c r="K1759" s="110">
        <f t="shared" si="106"/>
        <v>9736746.2873080373</v>
      </c>
      <c r="L1759" s="71"/>
      <c r="M1759" s="40"/>
      <c r="N1759" s="40"/>
      <c r="O1759" s="41"/>
    </row>
    <row r="1760" spans="1:15" s="7" customFormat="1" ht="18.75">
      <c r="A1760" s="56"/>
      <c r="B1760" s="65"/>
      <c r="C1760" s="31" t="s">
        <v>514</v>
      </c>
      <c r="D1760" s="32" t="s">
        <v>1089</v>
      </c>
      <c r="E1760" s="44"/>
      <c r="F1760" s="95">
        <v>121687685.6132006</v>
      </c>
      <c r="G1760" s="75" t="s">
        <v>640</v>
      </c>
      <c r="H1760" s="47">
        <v>118682426.56999999</v>
      </c>
      <c r="I1760" s="198">
        <v>42834</v>
      </c>
      <c r="J1760" s="271">
        <f t="shared" si="105"/>
        <v>3005259.0432006121</v>
      </c>
      <c r="K1760" s="110">
        <f t="shared" si="106"/>
        <v>12733424.059153169</v>
      </c>
      <c r="L1760" s="71"/>
      <c r="M1760" s="40"/>
      <c r="N1760" s="40"/>
      <c r="O1760" s="41"/>
    </row>
    <row r="1761" spans="1:15" s="7" customFormat="1" ht="18.75">
      <c r="A1761" s="56"/>
      <c r="B1761" s="65"/>
      <c r="C1761" s="102" t="s">
        <v>238</v>
      </c>
      <c r="D1761" s="32" t="s">
        <v>694</v>
      </c>
      <c r="E1761" s="44"/>
      <c r="F1761" s="95">
        <v>113263752.35405537</v>
      </c>
      <c r="G1761" s="75" t="s">
        <v>642</v>
      </c>
      <c r="H1761" s="47">
        <v>110557259.58</v>
      </c>
      <c r="I1761" s="198"/>
      <c r="J1761" s="271">
        <f t="shared" si="105"/>
        <v>2706492.7740553766</v>
      </c>
      <c r="K1761" s="110">
        <f t="shared" si="106"/>
        <v>15738683.102353781</v>
      </c>
      <c r="L1761" s="71"/>
      <c r="M1761" s="40"/>
      <c r="N1761" s="40"/>
      <c r="O1761" s="41"/>
    </row>
    <row r="1762" spans="1:15" s="7" customFormat="1" ht="18.75">
      <c r="A1762" s="56"/>
      <c r="B1762" s="65"/>
      <c r="C1762" s="111" t="s">
        <v>240</v>
      </c>
      <c r="D1762" s="32" t="s">
        <v>694</v>
      </c>
      <c r="E1762" s="44"/>
      <c r="F1762" s="95">
        <v>119804495.28580607</v>
      </c>
      <c r="G1762" s="75" t="s">
        <v>644</v>
      </c>
      <c r="H1762" s="47"/>
      <c r="I1762" s="198"/>
      <c r="J1762" s="271">
        <f t="shared" si="105"/>
        <v>119804495.28580607</v>
      </c>
      <c r="K1762" s="110">
        <f t="shared" si="106"/>
        <v>18445175.876409158</v>
      </c>
      <c r="L1762" s="71"/>
      <c r="M1762" s="40"/>
      <c r="N1762" s="40"/>
      <c r="O1762" s="41"/>
    </row>
    <row r="1763" spans="1:15" s="7" customFormat="1" ht="18.75">
      <c r="A1763" s="56"/>
      <c r="B1763" s="65"/>
      <c r="C1763" s="102" t="s">
        <v>243</v>
      </c>
      <c r="D1763" s="32" t="s">
        <v>623</v>
      </c>
      <c r="E1763" s="44"/>
      <c r="F1763" s="95">
        <v>157392779.16528329</v>
      </c>
      <c r="G1763" s="75" t="s">
        <v>575</v>
      </c>
      <c r="H1763" s="47">
        <f>116845744.65+153354847.45</f>
        <v>270200592.10000002</v>
      </c>
      <c r="I1763" s="198" t="s">
        <v>1514</v>
      </c>
      <c r="J1763" s="271">
        <f t="shared" si="105"/>
        <v>-112807812.93471673</v>
      </c>
      <c r="K1763" s="110">
        <f t="shared" si="106"/>
        <v>138249671.16221523</v>
      </c>
      <c r="L1763" s="71"/>
      <c r="M1763" s="40"/>
      <c r="N1763" s="40"/>
      <c r="O1763" s="41"/>
    </row>
    <row r="1764" spans="1:15" s="7" customFormat="1" ht="18.75">
      <c r="A1764" s="56"/>
      <c r="B1764" s="65"/>
      <c r="C1764" s="102" t="s">
        <v>246</v>
      </c>
      <c r="D1764" s="103" t="s">
        <v>1196</v>
      </c>
      <c r="E1764" s="44"/>
      <c r="F1764" s="104">
        <v>123620694.03357136</v>
      </c>
      <c r="G1764" s="105" t="s">
        <v>647</v>
      </c>
      <c r="H1764" s="47">
        <v>120370658.31</v>
      </c>
      <c r="I1764" s="207" t="s">
        <v>1137</v>
      </c>
      <c r="J1764" s="271">
        <f t="shared" si="105"/>
        <v>3250035.7235713601</v>
      </c>
      <c r="K1764" s="110">
        <f t="shared" si="106"/>
        <v>25441858.227498502</v>
      </c>
      <c r="L1764" s="71"/>
      <c r="M1764" s="40"/>
      <c r="N1764" s="40"/>
      <c r="O1764" s="41"/>
    </row>
    <row r="1765" spans="1:15" s="7" customFormat="1" ht="18.75">
      <c r="A1765" s="56"/>
      <c r="B1765" s="65"/>
      <c r="C1765" s="197" t="s">
        <v>248</v>
      </c>
      <c r="D1765" s="166" t="s">
        <v>1385</v>
      </c>
      <c r="E1765" s="44"/>
      <c r="F1765" s="149">
        <v>132277339.7678815</v>
      </c>
      <c r="G1765" s="198" t="s">
        <v>649</v>
      </c>
      <c r="H1765" s="112"/>
      <c r="I1765" s="113"/>
      <c r="J1765" s="271">
        <f t="shared" si="105"/>
        <v>132277339.7678815</v>
      </c>
      <c r="K1765" s="110">
        <f t="shared" si="106"/>
        <v>28691893.951069862</v>
      </c>
      <c r="L1765" s="71"/>
      <c r="M1765" s="40"/>
      <c r="N1765" s="40"/>
      <c r="O1765" s="41"/>
    </row>
    <row r="1766" spans="1:15" s="7" customFormat="1" ht="18.75">
      <c r="A1766" s="56"/>
      <c r="B1766" s="65"/>
      <c r="C1766" s="111" t="s">
        <v>250</v>
      </c>
      <c r="D1766" s="103" t="s">
        <v>215</v>
      </c>
      <c r="E1766" s="44"/>
      <c r="F1766" s="149">
        <v>127893678.87</v>
      </c>
      <c r="G1766" s="105" t="s">
        <v>651</v>
      </c>
      <c r="H1766" s="121">
        <f>128673325.84+124368598.21</f>
        <v>253041924.05000001</v>
      </c>
      <c r="I1766" s="207" t="s">
        <v>1515</v>
      </c>
      <c r="J1766" s="271">
        <f t="shared" si="105"/>
        <v>-125148245.18000001</v>
      </c>
      <c r="K1766" s="110">
        <f t="shared" si="106"/>
        <v>160969233.71895134</v>
      </c>
      <c r="L1766" s="71"/>
      <c r="M1766" s="40"/>
      <c r="N1766" s="40"/>
      <c r="O1766" s="41"/>
    </row>
    <row r="1767" spans="1:15" s="7" customFormat="1" ht="18.75">
      <c r="A1767" s="56"/>
      <c r="B1767" s="65"/>
      <c r="C1767" s="111" t="s">
        <v>139</v>
      </c>
      <c r="D1767" s="103" t="s">
        <v>65</v>
      </c>
      <c r="E1767" s="44"/>
      <c r="F1767" s="149">
        <v>160452273.78</v>
      </c>
      <c r="G1767" s="105" t="s">
        <v>364</v>
      </c>
      <c r="H1767" s="121">
        <v>156004399.08000001</v>
      </c>
      <c r="I1767" s="207" t="s">
        <v>977</v>
      </c>
      <c r="J1767" s="271">
        <f t="shared" si="105"/>
        <v>4447874.6999999881</v>
      </c>
      <c r="K1767" s="110">
        <f t="shared" si="106"/>
        <v>35820988.538951337</v>
      </c>
      <c r="L1767" s="71"/>
      <c r="M1767" s="40"/>
      <c r="N1767" s="40"/>
      <c r="O1767" s="41"/>
    </row>
    <row r="1768" spans="1:15" s="7" customFormat="1" ht="18.75">
      <c r="A1768" s="56"/>
      <c r="B1768" s="65"/>
      <c r="C1768" s="62" t="s">
        <v>142</v>
      </c>
      <c r="D1768" s="103" t="s">
        <v>71</v>
      </c>
      <c r="E1768" s="44"/>
      <c r="F1768" s="149">
        <v>142103051.4322207</v>
      </c>
      <c r="G1768" s="105" t="s">
        <v>364</v>
      </c>
      <c r="H1768" s="121">
        <v>134824927.03999999</v>
      </c>
      <c r="I1768" s="207" t="s">
        <v>1516</v>
      </c>
      <c r="J1768" s="271">
        <f t="shared" si="105"/>
        <v>7278124.3922207057</v>
      </c>
      <c r="K1768" s="110">
        <f t="shared" si="106"/>
        <v>40268863.238951325</v>
      </c>
      <c r="L1768" s="71"/>
      <c r="M1768" s="40"/>
      <c r="N1768" s="40"/>
      <c r="O1768" s="41"/>
    </row>
    <row r="1769" spans="1:15" s="7" customFormat="1" ht="18.75">
      <c r="A1769" s="56"/>
      <c r="B1769" s="65"/>
      <c r="C1769" s="62" t="s">
        <v>145</v>
      </c>
      <c r="D1769" s="103" t="s">
        <v>26</v>
      </c>
      <c r="E1769" s="44"/>
      <c r="F1769" s="149">
        <v>123712421.13369027</v>
      </c>
      <c r="G1769" s="105" t="s">
        <v>364</v>
      </c>
      <c r="H1769" s="121">
        <v>117357084.26000001</v>
      </c>
      <c r="I1769" s="207" t="s">
        <v>1062</v>
      </c>
      <c r="J1769" s="271">
        <f t="shared" si="105"/>
        <v>6355336.8736902624</v>
      </c>
      <c r="K1769" s="110">
        <f t="shared" si="106"/>
        <v>47546987.631172031</v>
      </c>
      <c r="L1769" s="71"/>
      <c r="M1769" s="40"/>
      <c r="N1769" s="40"/>
      <c r="O1769" s="41"/>
    </row>
    <row r="1770" spans="1:15" s="7" customFormat="1" ht="18.75">
      <c r="A1770" s="56"/>
      <c r="B1770" s="65"/>
      <c r="C1770" s="62" t="s">
        <v>148</v>
      </c>
      <c r="D1770" s="103" t="s">
        <v>223</v>
      </c>
      <c r="E1770" s="44"/>
      <c r="F1770" s="149">
        <v>144618843.80273852</v>
      </c>
      <c r="G1770" s="105" t="s">
        <v>366</v>
      </c>
      <c r="H1770" s="121">
        <v>144618843.80273852</v>
      </c>
      <c r="I1770" s="207" t="s">
        <v>1357</v>
      </c>
      <c r="J1770" s="271">
        <f t="shared" si="105"/>
        <v>0</v>
      </c>
      <c r="K1770" s="110">
        <f t="shared" si="106"/>
        <v>53902324.504862294</v>
      </c>
      <c r="L1770" s="71"/>
      <c r="M1770" s="40"/>
      <c r="N1770" s="40"/>
      <c r="O1770" s="41"/>
    </row>
    <row r="1771" spans="1:15" s="7" customFormat="1" ht="18.75">
      <c r="A1771" s="56"/>
      <c r="B1771" s="65"/>
      <c r="C1771" s="62" t="s">
        <v>151</v>
      </c>
      <c r="D1771" s="103" t="s">
        <v>367</v>
      </c>
      <c r="E1771" s="44"/>
      <c r="F1771" s="149">
        <v>151502511.43675199</v>
      </c>
      <c r="G1771" s="105" t="s">
        <v>152</v>
      </c>
      <c r="H1771" s="100">
        <f>151502668.27+53902167.67</f>
        <v>205404835.94</v>
      </c>
      <c r="I1771" s="207" t="s">
        <v>153</v>
      </c>
      <c r="J1771" s="271">
        <f t="shared" si="105"/>
        <v>-53902324.503248006</v>
      </c>
      <c r="K1771" s="110">
        <f t="shared" si="106"/>
        <v>53902324.504862294</v>
      </c>
      <c r="L1771" s="71"/>
      <c r="M1771" s="40"/>
      <c r="N1771" s="40"/>
      <c r="O1771" s="41"/>
    </row>
    <row r="1772" spans="1:15" s="7" customFormat="1" ht="18.75">
      <c r="A1772" s="56"/>
      <c r="B1772" s="65"/>
      <c r="C1772" s="62" t="s">
        <v>154</v>
      </c>
      <c r="D1772" s="103" t="s">
        <v>368</v>
      </c>
      <c r="E1772" s="44"/>
      <c r="F1772" s="149">
        <v>149196988.84499848</v>
      </c>
      <c r="G1772" s="105" t="s">
        <v>156</v>
      </c>
      <c r="H1772" s="121">
        <v>149196988.84499848</v>
      </c>
      <c r="I1772" s="207" t="s">
        <v>568</v>
      </c>
      <c r="J1772" s="271">
        <f t="shared" si="105"/>
        <v>0</v>
      </c>
      <c r="K1772" s="110">
        <f t="shared" si="106"/>
        <v>1.6142874956130981E-3</v>
      </c>
      <c r="L1772" s="71"/>
      <c r="M1772" s="40"/>
      <c r="N1772" s="40"/>
      <c r="O1772" s="41"/>
    </row>
    <row r="1773" spans="1:15" s="7" customFormat="1" ht="18.75">
      <c r="A1773" s="56"/>
      <c r="B1773" s="65"/>
      <c r="C1773" s="62" t="s">
        <v>158</v>
      </c>
      <c r="D1773" s="103" t="s">
        <v>370</v>
      </c>
      <c r="E1773" s="44"/>
      <c r="F1773" s="149">
        <v>128534063.51664898</v>
      </c>
      <c r="G1773" s="105" t="s">
        <v>160</v>
      </c>
      <c r="H1773" s="121">
        <v>128555701.94</v>
      </c>
      <c r="I1773" s="207" t="s">
        <v>1009</v>
      </c>
      <c r="J1773" s="271">
        <f t="shared" si="105"/>
        <v>-21638.423351019621</v>
      </c>
      <c r="K1773" s="110">
        <f t="shared" si="106"/>
        <v>1.6142874956130981E-3</v>
      </c>
      <c r="L1773" s="71"/>
      <c r="M1773" s="40"/>
      <c r="N1773" s="40"/>
      <c r="O1773" s="41"/>
    </row>
    <row r="1774" spans="1:15" s="7" customFormat="1" ht="18.75">
      <c r="A1774" s="56"/>
      <c r="B1774" s="65"/>
      <c r="C1774" s="62" t="s">
        <v>162</v>
      </c>
      <c r="D1774" s="103" t="s">
        <v>371</v>
      </c>
      <c r="E1774" s="44"/>
      <c r="F1774" s="149">
        <v>132205294.19379301</v>
      </c>
      <c r="G1774" s="105" t="s">
        <v>164</v>
      </c>
      <c r="H1774" s="121">
        <v>132248939.42</v>
      </c>
      <c r="I1774" s="207" t="s">
        <v>591</v>
      </c>
      <c r="J1774" s="271">
        <f t="shared" si="105"/>
        <v>-43645.226206988096</v>
      </c>
      <c r="K1774" s="110">
        <f t="shared" si="106"/>
        <v>-21638.421736732125</v>
      </c>
      <c r="L1774" s="71"/>
      <c r="M1774" s="40"/>
      <c r="N1774" s="40"/>
      <c r="O1774" s="41"/>
    </row>
    <row r="1775" spans="1:15" s="7" customFormat="1" ht="18.75">
      <c r="A1775" s="56"/>
      <c r="B1775" s="65"/>
      <c r="C1775" s="62" t="s">
        <v>166</v>
      </c>
      <c r="D1775" s="103" t="s">
        <v>372</v>
      </c>
      <c r="E1775" s="44"/>
      <c r="F1775" s="149">
        <v>169274535.75297058</v>
      </c>
      <c r="G1775" s="105" t="s">
        <v>168</v>
      </c>
      <c r="H1775" s="121">
        <v>169358177.65000001</v>
      </c>
      <c r="I1775" s="207" t="s">
        <v>172</v>
      </c>
      <c r="J1775" s="271">
        <f t="shared" si="105"/>
        <v>-83641.897029429674</v>
      </c>
      <c r="K1775" s="110">
        <f t="shared" si="106"/>
        <v>-65283.647943720222</v>
      </c>
      <c r="L1775" s="71"/>
      <c r="M1775" s="40"/>
      <c r="N1775" s="40"/>
      <c r="O1775" s="41"/>
    </row>
    <row r="1776" spans="1:15" s="7" customFormat="1" ht="18.75">
      <c r="A1776" s="56"/>
      <c r="B1776" s="65"/>
      <c r="C1776" s="62" t="s">
        <v>170</v>
      </c>
      <c r="D1776" s="103" t="s">
        <v>373</v>
      </c>
      <c r="E1776" s="44"/>
      <c r="F1776" s="149">
        <v>148833072.47781318</v>
      </c>
      <c r="G1776" s="105" t="s">
        <v>172</v>
      </c>
      <c r="H1776" s="121">
        <v>148833072.47781318</v>
      </c>
      <c r="I1776" s="207" t="s">
        <v>276</v>
      </c>
      <c r="J1776" s="271">
        <f t="shared" si="105"/>
        <v>0</v>
      </c>
      <c r="K1776" s="110">
        <f t="shared" si="106"/>
        <v>-148925.5449731499</v>
      </c>
      <c r="L1776" s="71"/>
      <c r="M1776" s="40"/>
      <c r="N1776" s="40"/>
      <c r="O1776" s="41"/>
    </row>
    <row r="1777" spans="1:15" s="7" customFormat="1" ht="18.75">
      <c r="A1777" s="56"/>
      <c r="B1777" s="65"/>
      <c r="C1777" s="62" t="s">
        <v>174</v>
      </c>
      <c r="D1777" s="103" t="s">
        <v>92</v>
      </c>
      <c r="E1777" s="44"/>
      <c r="F1777" s="149">
        <v>130756295.6893371</v>
      </c>
      <c r="G1777" s="105" t="s">
        <v>176</v>
      </c>
      <c r="H1777" s="121">
        <v>130778148.77</v>
      </c>
      <c r="I1777" s="207" t="s">
        <v>276</v>
      </c>
      <c r="J1777" s="271">
        <f t="shared" si="105"/>
        <v>-21853.080662891269</v>
      </c>
      <c r="K1777" s="110">
        <f t="shared" si="106"/>
        <v>-148925.5449731499</v>
      </c>
      <c r="L1777" s="71"/>
      <c r="M1777" s="40"/>
      <c r="N1777" s="40"/>
      <c r="O1777" s="41"/>
    </row>
    <row r="1778" spans="1:15" s="7" customFormat="1" ht="18.75">
      <c r="A1778" s="56"/>
      <c r="B1778" s="65"/>
      <c r="C1778" s="62" t="s">
        <v>178</v>
      </c>
      <c r="D1778" s="103" t="s">
        <v>63</v>
      </c>
      <c r="E1778" s="44"/>
      <c r="F1778" s="149">
        <v>96514340.50867486</v>
      </c>
      <c r="G1778" s="105" t="s">
        <v>179</v>
      </c>
      <c r="H1778" s="121">
        <v>96530470.790000007</v>
      </c>
      <c r="I1778" s="207" t="s">
        <v>897</v>
      </c>
      <c r="J1778" s="271">
        <f t="shared" si="105"/>
        <v>-16130.281325146556</v>
      </c>
      <c r="K1778" s="110">
        <f t="shared" si="106"/>
        <v>-170778.62563604116</v>
      </c>
      <c r="L1778" s="71"/>
      <c r="M1778" s="40"/>
      <c r="N1778" s="40"/>
      <c r="O1778" s="41"/>
    </row>
    <row r="1779" spans="1:15" s="7" customFormat="1" ht="18.75">
      <c r="A1779" s="56"/>
      <c r="B1779" s="65"/>
      <c r="C1779" s="62" t="s">
        <v>181</v>
      </c>
      <c r="D1779" s="103" t="s">
        <v>374</v>
      </c>
      <c r="E1779" s="44"/>
      <c r="F1779" s="149">
        <v>183158755.8458696</v>
      </c>
      <c r="G1779" s="105" t="s">
        <v>183</v>
      </c>
      <c r="H1779" s="121">
        <v>183158755.8458696</v>
      </c>
      <c r="I1779" s="207" t="s">
        <v>180</v>
      </c>
      <c r="J1779" s="271">
        <f t="shared" si="105"/>
        <v>0</v>
      </c>
      <c r="K1779" s="110">
        <f t="shared" si="106"/>
        <v>-186908.90696118772</v>
      </c>
      <c r="L1779" s="71"/>
      <c r="M1779" s="40"/>
      <c r="N1779" s="40"/>
      <c r="O1779" s="41"/>
    </row>
    <row r="1780" spans="1:15" s="7" customFormat="1" ht="18.75">
      <c r="A1780" s="56"/>
      <c r="B1780" s="65"/>
      <c r="C1780" s="62" t="s">
        <v>185</v>
      </c>
      <c r="D1780" s="103" t="s">
        <v>376</v>
      </c>
      <c r="E1780" s="44"/>
      <c r="F1780" s="149">
        <v>151712739.54624024</v>
      </c>
      <c r="G1780" s="105" t="s">
        <v>730</v>
      </c>
      <c r="H1780" s="121">
        <v>151712739.54624024</v>
      </c>
      <c r="I1780" s="207" t="s">
        <v>1517</v>
      </c>
      <c r="J1780" s="271">
        <f t="shared" si="105"/>
        <v>0</v>
      </c>
      <c r="K1780" s="110">
        <f t="shared" si="106"/>
        <v>-186908.90696118772</v>
      </c>
      <c r="L1780" s="71"/>
      <c r="M1780" s="40"/>
      <c r="N1780" s="40"/>
      <c r="O1780" s="41"/>
    </row>
    <row r="1781" spans="1:15" s="7" customFormat="1" ht="18.75">
      <c r="A1781" s="56"/>
      <c r="B1781" s="65"/>
      <c r="C1781" s="62" t="s">
        <v>189</v>
      </c>
      <c r="D1781" s="103" t="s">
        <v>54</v>
      </c>
      <c r="E1781" s="44"/>
      <c r="F1781" s="149">
        <v>151432327.28807497</v>
      </c>
      <c r="G1781" s="105" t="s">
        <v>190</v>
      </c>
      <c r="H1781" s="121">
        <v>151407561.88999999</v>
      </c>
      <c r="I1781" s="207" t="s">
        <v>597</v>
      </c>
      <c r="J1781" s="271">
        <f t="shared" si="105"/>
        <v>24765.39807498455</v>
      </c>
      <c r="K1781" s="110">
        <f t="shared" si="106"/>
        <v>-186908.90696118772</v>
      </c>
      <c r="L1781" s="71"/>
      <c r="M1781" s="40"/>
      <c r="N1781" s="40"/>
      <c r="O1781" s="41"/>
    </row>
    <row r="1782" spans="1:15" s="7" customFormat="1" ht="18.75">
      <c r="A1782" s="56"/>
      <c r="B1782" s="65"/>
      <c r="C1782" s="62" t="s">
        <v>191</v>
      </c>
      <c r="D1782" s="103" t="s">
        <v>379</v>
      </c>
      <c r="E1782" s="44">
        <v>43986</v>
      </c>
      <c r="F1782" s="149">
        <v>112780989.26565942</v>
      </c>
      <c r="G1782" s="105" t="s">
        <v>193</v>
      </c>
      <c r="H1782" s="121">
        <v>95871622.819999993</v>
      </c>
      <c r="I1782" s="207" t="s">
        <v>732</v>
      </c>
      <c r="J1782" s="271">
        <f t="shared" si="105"/>
        <v>16909366.445659429</v>
      </c>
      <c r="K1782" s="110">
        <f t="shared" si="106"/>
        <v>-162143.50888620317</v>
      </c>
      <c r="L1782" s="71"/>
      <c r="M1782" s="40"/>
      <c r="N1782" s="40"/>
      <c r="O1782" s="41"/>
    </row>
    <row r="1783" spans="1:15" s="7" customFormat="1" ht="18.75">
      <c r="A1783" s="56"/>
      <c r="B1783" s="65"/>
      <c r="C1783" s="62" t="s">
        <v>195</v>
      </c>
      <c r="D1783" s="103" t="s">
        <v>381</v>
      </c>
      <c r="E1783" s="44" t="s">
        <v>197</v>
      </c>
      <c r="F1783" s="149">
        <v>164940479.53394192</v>
      </c>
      <c r="G1783" s="105" t="s">
        <v>198</v>
      </c>
      <c r="H1783" s="121">
        <v>140210788.58000001</v>
      </c>
      <c r="I1783" s="207">
        <v>43988</v>
      </c>
      <c r="J1783" s="271">
        <f t="shared" si="105"/>
        <v>24729690.953941911</v>
      </c>
      <c r="K1783" s="110">
        <f t="shared" si="106"/>
        <v>16747222.936773226</v>
      </c>
      <c r="L1783" s="71"/>
      <c r="M1783" s="40"/>
      <c r="N1783" s="40"/>
      <c r="O1783" s="41"/>
    </row>
    <row r="1784" spans="1:15" s="7" customFormat="1" ht="18.75">
      <c r="A1784" s="56"/>
      <c r="B1784" s="65"/>
      <c r="C1784" s="62" t="s">
        <v>199</v>
      </c>
      <c r="D1784" s="103" t="s">
        <v>383</v>
      </c>
      <c r="E1784" s="44">
        <v>44049</v>
      </c>
      <c r="F1784" s="149">
        <v>148940066.41979432</v>
      </c>
      <c r="G1784" s="105">
        <v>43897</v>
      </c>
      <c r="H1784" s="121">
        <v>136105033.40000001</v>
      </c>
      <c r="I1784" s="207">
        <v>43837</v>
      </c>
      <c r="J1784" s="271">
        <f t="shared" si="105"/>
        <v>12835033.019794315</v>
      </c>
      <c r="K1784" s="110">
        <f t="shared" si="106"/>
        <v>41476913.890715137</v>
      </c>
      <c r="L1784" s="71"/>
      <c r="M1784" s="40"/>
      <c r="N1784" s="40"/>
      <c r="O1784" s="41"/>
    </row>
    <row r="1785" spans="1:15" s="7" customFormat="1" ht="18.75">
      <c r="A1785" s="56"/>
      <c r="B1785" s="65"/>
      <c r="C1785" s="62" t="s">
        <v>201</v>
      </c>
      <c r="D1785" s="103" t="s">
        <v>384</v>
      </c>
      <c r="E1785" s="44" t="s">
        <v>449</v>
      </c>
      <c r="F1785" s="149">
        <v>116643219.1161321</v>
      </c>
      <c r="G1785" s="105">
        <v>43929</v>
      </c>
      <c r="H1785" s="121">
        <f>116643219.116132+54474090.42</f>
        <v>171117309.53613201</v>
      </c>
      <c r="I1785" s="207">
        <v>44112</v>
      </c>
      <c r="J1785" s="271">
        <f t="shared" si="105"/>
        <v>-54474090.419999912</v>
      </c>
      <c r="K1785" s="110">
        <f t="shared" si="106"/>
        <v>54311946.910509452</v>
      </c>
      <c r="L1785" s="71"/>
      <c r="M1785" s="40"/>
      <c r="N1785" s="40"/>
      <c r="O1785" s="41"/>
    </row>
    <row r="1786" spans="1:15" s="7" customFormat="1" ht="18.75">
      <c r="A1786" s="56"/>
      <c r="B1786" s="65"/>
      <c r="C1786" s="62" t="s">
        <v>203</v>
      </c>
      <c r="D1786" s="103" t="s">
        <v>385</v>
      </c>
      <c r="E1786" s="44">
        <v>43990</v>
      </c>
      <c r="F1786" s="149">
        <v>124685755.6470643</v>
      </c>
      <c r="G1786" s="105" t="s">
        <v>290</v>
      </c>
      <c r="H1786" s="121">
        <v>118208508.42</v>
      </c>
      <c r="I1786" s="207" t="s">
        <v>586</v>
      </c>
      <c r="J1786" s="271">
        <f t="shared" si="105"/>
        <v>6477247.2270642966</v>
      </c>
      <c r="K1786" s="110">
        <f t="shared" si="106"/>
        <v>-162143.50949046016</v>
      </c>
      <c r="L1786" s="71"/>
      <c r="M1786" s="40"/>
      <c r="N1786" s="40"/>
      <c r="O1786" s="41"/>
    </row>
    <row r="1787" spans="1:15" s="7" customFormat="1" ht="18.75">
      <c r="A1787" s="56"/>
      <c r="B1787" s="65"/>
      <c r="C1787" s="62" t="s">
        <v>207</v>
      </c>
      <c r="D1787" s="103" t="s">
        <v>386</v>
      </c>
      <c r="E1787" s="44" t="s">
        <v>209</v>
      </c>
      <c r="F1787" s="149">
        <v>128774619.415436</v>
      </c>
      <c r="G1787" s="105" t="s">
        <v>210</v>
      </c>
      <c r="H1787" s="121">
        <v>124670632.36</v>
      </c>
      <c r="I1787" s="207">
        <v>44022</v>
      </c>
      <c r="J1787" s="271">
        <f t="shared" si="105"/>
        <v>4103987.0554360002</v>
      </c>
      <c r="K1787" s="110">
        <f t="shared" si="106"/>
        <v>6315103.7175738364</v>
      </c>
      <c r="L1787" s="71"/>
      <c r="M1787" s="40"/>
      <c r="N1787" s="40"/>
      <c r="O1787" s="41"/>
    </row>
    <row r="1788" spans="1:15" s="7" customFormat="1" ht="18.75">
      <c r="A1788" s="56"/>
      <c r="B1788" s="65"/>
      <c r="C1788" s="62" t="s">
        <v>212</v>
      </c>
      <c r="D1788" s="103" t="s">
        <v>388</v>
      </c>
      <c r="E1788" s="44">
        <v>44084</v>
      </c>
      <c r="F1788" s="149">
        <v>126191918.43902092</v>
      </c>
      <c r="G1788" s="105" t="s">
        <v>213</v>
      </c>
      <c r="H1788" s="121">
        <v>117054062.05</v>
      </c>
      <c r="I1788" s="207">
        <v>44085</v>
      </c>
      <c r="J1788" s="271">
        <f t="shared" si="105"/>
        <v>9137856.3890209198</v>
      </c>
      <c r="K1788" s="110">
        <f t="shared" si="106"/>
        <v>10419090.773009837</v>
      </c>
      <c r="L1788" s="71"/>
      <c r="M1788" s="40"/>
      <c r="N1788" s="40"/>
      <c r="O1788" s="41"/>
    </row>
    <row r="1789" spans="1:15" s="7" customFormat="1" ht="18.75">
      <c r="A1789" s="56"/>
      <c r="B1789" s="65"/>
      <c r="C1789" s="62" t="s">
        <v>214</v>
      </c>
      <c r="D1789" s="103" t="s">
        <v>39</v>
      </c>
      <c r="E1789" s="44">
        <v>43962</v>
      </c>
      <c r="F1789" s="149">
        <v>129975371.16518471</v>
      </c>
      <c r="G1789" s="105" t="s">
        <v>216</v>
      </c>
      <c r="H1789" s="121">
        <v>154427021.56</v>
      </c>
      <c r="I1789" s="207" t="s">
        <v>1167</v>
      </c>
      <c r="J1789" s="271">
        <f>F1789-H1789</f>
        <v>-24451650.394815296</v>
      </c>
      <c r="K1789" s="110">
        <f t="shared" si="106"/>
        <v>19556947.162030756</v>
      </c>
      <c r="L1789" s="71"/>
      <c r="M1789" s="40"/>
      <c r="N1789" s="40"/>
      <c r="O1789" s="41"/>
    </row>
    <row r="1790" spans="1:15" s="7" customFormat="1" ht="18.75">
      <c r="A1790" s="56"/>
      <c r="B1790" s="65"/>
      <c r="C1790" s="62" t="s">
        <v>218</v>
      </c>
      <c r="D1790" s="103" t="s">
        <v>390</v>
      </c>
      <c r="E1790" s="44">
        <v>0</v>
      </c>
      <c r="F1790" s="149">
        <v>171473839.46544838</v>
      </c>
      <c r="G1790" s="105">
        <v>44531</v>
      </c>
      <c r="H1790" s="121">
        <v>148318752.25999999</v>
      </c>
      <c r="I1790" s="207">
        <v>44257</v>
      </c>
      <c r="J1790" s="271">
        <f>F1790-H1790</f>
        <v>23155087.205448389</v>
      </c>
      <c r="K1790" s="110">
        <f t="shared" si="106"/>
        <v>-4894703.2327845395</v>
      </c>
      <c r="L1790" s="71"/>
      <c r="M1790" s="40"/>
      <c r="N1790" s="40"/>
      <c r="O1790" s="41"/>
    </row>
    <row r="1791" spans="1:15" s="7" customFormat="1" ht="18.75">
      <c r="A1791" s="56"/>
      <c r="B1791" s="65"/>
      <c r="C1791" s="62" t="s">
        <v>219</v>
      </c>
      <c r="D1791" s="103" t="s">
        <v>392</v>
      </c>
      <c r="E1791" s="44">
        <v>44409</v>
      </c>
      <c r="F1791" s="149">
        <v>164691293.38156435</v>
      </c>
      <c r="G1791" s="105">
        <v>44379</v>
      </c>
      <c r="H1791" s="121">
        <v>144100618.03999999</v>
      </c>
      <c r="I1791" s="207" t="s">
        <v>1221</v>
      </c>
      <c r="J1791" s="271">
        <f>F1791-H1791</f>
        <v>20590675.341564357</v>
      </c>
      <c r="K1791" s="110">
        <f t="shared" si="106"/>
        <v>18260383.97266385</v>
      </c>
      <c r="L1791" s="71">
        <f>J1793+J1791</f>
        <v>82761287.746474504</v>
      </c>
      <c r="M1791" s="40"/>
      <c r="N1791" s="40"/>
      <c r="O1791" s="41"/>
    </row>
    <row r="1792" spans="1:15" s="7" customFormat="1" ht="18.75">
      <c r="A1792" s="56"/>
      <c r="B1792" s="65"/>
      <c r="C1792" s="62" t="s">
        <v>221</v>
      </c>
      <c r="D1792" s="103" t="s">
        <v>61</v>
      </c>
      <c r="E1792" s="44">
        <v>44441</v>
      </c>
      <c r="F1792" s="149">
        <v>96522873.333059236</v>
      </c>
      <c r="G1792" s="105">
        <v>44289</v>
      </c>
      <c r="H1792" s="121">
        <v>121402347.37</v>
      </c>
      <c r="I1792" s="207">
        <v>44442</v>
      </c>
      <c r="J1792" s="271">
        <f>F1792-H1792</f>
        <v>-24879474.036940768</v>
      </c>
      <c r="K1792" s="110">
        <f t="shared" si="106"/>
        <v>38851059.314228207</v>
      </c>
      <c r="L1792" s="71"/>
      <c r="M1792" s="40"/>
      <c r="N1792" s="40"/>
      <c r="O1792" s="41"/>
    </row>
    <row r="1793" spans="1:15" s="7" customFormat="1" ht="18.75">
      <c r="A1793" s="56"/>
      <c r="B1793" s="65"/>
      <c r="C1793" s="62" t="s">
        <v>222</v>
      </c>
      <c r="D1793" s="103" t="s">
        <v>528</v>
      </c>
      <c r="E1793" s="44">
        <v>44411</v>
      </c>
      <c r="F1793" s="149">
        <v>137385867.25491014</v>
      </c>
      <c r="G1793" s="105" t="s">
        <v>85</v>
      </c>
      <c r="H1793" s="121">
        <v>75215254.849999994</v>
      </c>
      <c r="I1793" s="207">
        <v>44443</v>
      </c>
      <c r="J1793" s="271">
        <f>F1793-H1793</f>
        <v>62170612.404910147</v>
      </c>
      <c r="K1793" s="110">
        <f t="shared" si="106"/>
        <v>13971585.277287439</v>
      </c>
      <c r="L1793" s="71"/>
      <c r="M1793" s="40"/>
      <c r="N1793" s="40"/>
      <c r="O1793" s="41"/>
    </row>
    <row r="1794" spans="1:15" s="7" customFormat="1" ht="18.75">
      <c r="A1794" s="56"/>
      <c r="B1794" s="65" t="s">
        <v>1518</v>
      </c>
      <c r="C1794" s="41"/>
      <c r="D1794" s="32"/>
      <c r="E1794" s="44"/>
      <c r="F1794" s="34"/>
      <c r="G1794" s="76"/>
      <c r="H1794" s="47"/>
      <c r="I1794" s="205"/>
      <c r="J1794" s="37"/>
      <c r="K1794" s="116">
        <f t="shared" si="106"/>
        <v>76142197.682197586</v>
      </c>
      <c r="L1794" s="71"/>
      <c r="M1794" s="40"/>
      <c r="N1794" s="40"/>
      <c r="O1794" s="41"/>
    </row>
    <row r="1795" spans="1:15" s="7" customFormat="1" ht="18.75">
      <c r="A1795" s="56"/>
      <c r="B1795" s="65"/>
      <c r="C1795" s="41"/>
      <c r="D1795" s="32"/>
      <c r="E1795" s="44"/>
      <c r="F1795" s="34"/>
      <c r="G1795" s="76"/>
      <c r="H1795" s="47"/>
      <c r="I1795" s="205"/>
      <c r="J1795" s="37"/>
      <c r="K1795" s="116"/>
      <c r="L1795" s="71"/>
      <c r="M1795" s="40"/>
      <c r="N1795" s="40"/>
      <c r="O1795" s="41"/>
    </row>
    <row r="1796" spans="1:15" s="7" customFormat="1" ht="18.75">
      <c r="A1796" s="81">
        <v>46</v>
      </c>
      <c r="B1796" s="57" t="s">
        <v>99</v>
      </c>
      <c r="C1796" s="31" t="s">
        <v>506</v>
      </c>
      <c r="D1796" s="32" t="s">
        <v>1519</v>
      </c>
      <c r="E1796" s="44"/>
      <c r="F1796" s="34">
        <v>18156349.614802968</v>
      </c>
      <c r="G1796" s="35"/>
      <c r="H1796" s="36"/>
      <c r="I1796" s="35"/>
      <c r="J1796" s="110">
        <f t="shared" ref="J1796:J1802" si="107">F1796-H1796</f>
        <v>18156349.614802968</v>
      </c>
      <c r="K1796" s="64">
        <v>0</v>
      </c>
      <c r="L1796" s="60"/>
      <c r="M1796" s="41"/>
      <c r="N1796" s="41"/>
      <c r="O1796" s="41"/>
    </row>
    <row r="1797" spans="1:15" s="7" customFormat="1" ht="18.75">
      <c r="A1797" s="81"/>
      <c r="B1797" s="57"/>
      <c r="C1797" s="31" t="s">
        <v>1520</v>
      </c>
      <c r="D1797" s="32" t="s">
        <v>1369</v>
      </c>
      <c r="E1797" s="44"/>
      <c r="F1797" s="95">
        <v>16093123.758042872</v>
      </c>
      <c r="G1797" s="96"/>
      <c r="H1797" s="36"/>
      <c r="I1797" s="35"/>
      <c r="J1797" s="110">
        <f t="shared" si="107"/>
        <v>16093123.758042872</v>
      </c>
      <c r="K1797" s="59">
        <f t="shared" ref="K1797:K1835" si="108">K1796+J1796</f>
        <v>18156349.614802968</v>
      </c>
      <c r="L1797" s="60"/>
      <c r="M1797" s="41"/>
      <c r="N1797" s="41"/>
      <c r="O1797" s="41"/>
    </row>
    <row r="1798" spans="1:15" s="7" customFormat="1" ht="18.75">
      <c r="A1798" s="81"/>
      <c r="B1798" s="57"/>
      <c r="C1798" s="31" t="s">
        <v>355</v>
      </c>
      <c r="D1798" s="32" t="s">
        <v>1246</v>
      </c>
      <c r="E1798" s="44"/>
      <c r="F1798" s="34">
        <v>17755384.785601806</v>
      </c>
      <c r="G1798" s="96"/>
      <c r="H1798" s="36"/>
      <c r="I1798" s="35"/>
      <c r="J1798" s="110">
        <f t="shared" si="107"/>
        <v>17755384.785601806</v>
      </c>
      <c r="K1798" s="59">
        <f t="shared" si="108"/>
        <v>34249473.372845843</v>
      </c>
      <c r="L1798" s="60"/>
      <c r="M1798" s="41"/>
      <c r="N1798" s="41"/>
      <c r="O1798" s="41"/>
    </row>
    <row r="1799" spans="1:15" s="7" customFormat="1" ht="18.75">
      <c r="A1799" s="81"/>
      <c r="B1799" s="109"/>
      <c r="C1799" s="31" t="s">
        <v>234</v>
      </c>
      <c r="D1799" s="32" t="s">
        <v>1249</v>
      </c>
      <c r="E1799" s="44"/>
      <c r="F1799" s="95">
        <v>15498140.278258441</v>
      </c>
      <c r="G1799" s="75" t="s">
        <v>684</v>
      </c>
      <c r="H1799" s="36"/>
      <c r="I1799" s="35"/>
      <c r="J1799" s="110">
        <f t="shared" si="107"/>
        <v>15498140.278258441</v>
      </c>
      <c r="K1799" s="59">
        <f t="shared" si="108"/>
        <v>52004858.158447653</v>
      </c>
      <c r="L1799" s="60"/>
      <c r="M1799" s="41"/>
      <c r="N1799" s="41"/>
      <c r="O1799" s="41"/>
    </row>
    <row r="1800" spans="1:15" s="7" customFormat="1" ht="18.75">
      <c r="A1800" s="81"/>
      <c r="B1800" s="109"/>
      <c r="C1800" s="31" t="s">
        <v>514</v>
      </c>
      <c r="D1800" s="32" t="s">
        <v>1250</v>
      </c>
      <c r="E1800" s="44"/>
      <c r="F1800" s="95">
        <v>17317301.008858077</v>
      </c>
      <c r="G1800" s="75" t="s">
        <v>687</v>
      </c>
      <c r="H1800" s="36"/>
      <c r="I1800" s="35"/>
      <c r="J1800" s="110">
        <f t="shared" si="107"/>
        <v>17317301.008858077</v>
      </c>
      <c r="K1800" s="59">
        <f t="shared" si="108"/>
        <v>67502998.436706096</v>
      </c>
      <c r="L1800" s="60"/>
      <c r="M1800" s="41"/>
      <c r="N1800" s="41"/>
      <c r="O1800" s="41"/>
    </row>
    <row r="1801" spans="1:15" s="7" customFormat="1" ht="18.75">
      <c r="A1801" s="81"/>
      <c r="B1801" s="109"/>
      <c r="C1801" s="102" t="s">
        <v>238</v>
      </c>
      <c r="D1801" s="103" t="s">
        <v>1253</v>
      </c>
      <c r="E1801" s="44"/>
      <c r="F1801" s="104">
        <v>15924890.696122944</v>
      </c>
      <c r="G1801" s="75" t="s">
        <v>690</v>
      </c>
      <c r="H1801" s="36"/>
      <c r="I1801" s="35"/>
      <c r="J1801" s="110">
        <f t="shared" si="107"/>
        <v>15924890.696122944</v>
      </c>
      <c r="K1801" s="59">
        <f t="shared" si="108"/>
        <v>84820299.445564181</v>
      </c>
      <c r="L1801" s="60"/>
      <c r="M1801" s="41"/>
      <c r="N1801" s="41"/>
      <c r="O1801" s="41"/>
    </row>
    <row r="1802" spans="1:15" s="7" customFormat="1" ht="18.75">
      <c r="A1802" s="81"/>
      <c r="B1802" s="109"/>
      <c r="C1802" s="111" t="s">
        <v>240</v>
      </c>
      <c r="D1802" s="103" t="s">
        <v>1255</v>
      </c>
      <c r="E1802" s="44"/>
      <c r="F1802" s="104">
        <v>18051708.524594877</v>
      </c>
      <c r="G1802" s="75" t="s">
        <v>693</v>
      </c>
      <c r="H1802" s="36"/>
      <c r="I1802" s="35"/>
      <c r="J1802" s="110">
        <f t="shared" si="107"/>
        <v>18051708.524594877</v>
      </c>
      <c r="K1802" s="59">
        <f t="shared" si="108"/>
        <v>100745190.14168712</v>
      </c>
      <c r="L1802" s="60"/>
      <c r="M1802" s="41"/>
      <c r="N1802" s="41"/>
      <c r="O1802" s="41"/>
    </row>
    <row r="1803" spans="1:15" s="7" customFormat="1" ht="18.75">
      <c r="A1803" s="81"/>
      <c r="B1803" s="109"/>
      <c r="C1803" s="102" t="s">
        <v>243</v>
      </c>
      <c r="D1803" s="103" t="s">
        <v>741</v>
      </c>
      <c r="E1803" s="44"/>
      <c r="F1803" s="104">
        <v>17982914.776284453</v>
      </c>
      <c r="G1803" s="75"/>
      <c r="H1803" s="36"/>
      <c r="I1803" s="35"/>
      <c r="J1803" s="110">
        <f>F1803-H1803</f>
        <v>17982914.776284453</v>
      </c>
      <c r="K1803" s="59">
        <f t="shared" si="108"/>
        <v>118796898.666282</v>
      </c>
      <c r="L1803" s="60"/>
      <c r="M1803" s="41"/>
      <c r="N1803" s="41"/>
      <c r="O1803" s="41"/>
    </row>
    <row r="1804" spans="1:15" s="7" customFormat="1" ht="18.75">
      <c r="A1804" s="81"/>
      <c r="B1804" s="109"/>
      <c r="C1804" s="102" t="s">
        <v>246</v>
      </c>
      <c r="D1804" s="103" t="s">
        <v>742</v>
      </c>
      <c r="E1804" s="44"/>
      <c r="F1804" s="104">
        <v>20557055.336186461</v>
      </c>
      <c r="G1804" s="105" t="s">
        <v>697</v>
      </c>
      <c r="H1804" s="36"/>
      <c r="I1804" s="35"/>
      <c r="J1804" s="110">
        <f t="shared" ref="J1804:J1834" si="109">F1804-H1804</f>
        <v>20557055.336186461</v>
      </c>
      <c r="K1804" s="59">
        <f t="shared" si="108"/>
        <v>136779813.44256645</v>
      </c>
      <c r="L1804" s="60"/>
      <c r="M1804" s="41"/>
      <c r="N1804" s="41"/>
      <c r="O1804" s="41"/>
    </row>
    <row r="1805" spans="1:15" s="7" customFormat="1" ht="18.75">
      <c r="A1805" s="81"/>
      <c r="B1805" s="109"/>
      <c r="C1805" s="111" t="s">
        <v>248</v>
      </c>
      <c r="D1805" s="103" t="s">
        <v>744</v>
      </c>
      <c r="E1805" s="44"/>
      <c r="F1805" s="104">
        <v>23432304.415466834</v>
      </c>
      <c r="G1805" s="105" t="s">
        <v>698</v>
      </c>
      <c r="H1805" s="36">
        <f>15498140.28+15924890.7+20557055.34+18156349.62+16093123.76+17317301.01+17755384.78+17982914.78+18051708.53+23432304.42+23351796.89</f>
        <v>204120970.11000001</v>
      </c>
      <c r="I1805" s="35" t="s">
        <v>1521</v>
      </c>
      <c r="J1805" s="110">
        <f t="shared" si="109"/>
        <v>-180688665.69453317</v>
      </c>
      <c r="K1805" s="59">
        <f t="shared" si="108"/>
        <v>157336868.77875292</v>
      </c>
      <c r="L1805" s="60"/>
      <c r="M1805" s="41"/>
      <c r="N1805" s="41"/>
      <c r="O1805" s="41"/>
    </row>
    <row r="1806" spans="1:15" s="7" customFormat="1" ht="18.75">
      <c r="A1806" s="81"/>
      <c r="B1806" s="109"/>
      <c r="C1806" s="111" t="s">
        <v>250</v>
      </c>
      <c r="D1806" s="103" t="s">
        <v>260</v>
      </c>
      <c r="E1806" s="44"/>
      <c r="F1806" s="104">
        <v>23351796.890000001</v>
      </c>
      <c r="G1806" s="105" t="s">
        <v>700</v>
      </c>
      <c r="H1806" s="112"/>
      <c r="I1806" s="113"/>
      <c r="J1806" s="110">
        <f t="shared" si="109"/>
        <v>23351796.890000001</v>
      </c>
      <c r="K1806" s="59">
        <f t="shared" si="108"/>
        <v>-23351796.915780246</v>
      </c>
      <c r="L1806" s="60"/>
      <c r="M1806" s="41"/>
      <c r="N1806" s="41"/>
      <c r="O1806" s="41"/>
    </row>
    <row r="1807" spans="1:15" s="7" customFormat="1" ht="18.75">
      <c r="A1807" s="81"/>
      <c r="B1807" s="109"/>
      <c r="C1807" s="62" t="s">
        <v>139</v>
      </c>
      <c r="D1807" s="103" t="s">
        <v>263</v>
      </c>
      <c r="E1807" s="44"/>
      <c r="F1807" s="104">
        <v>24014819.379999999</v>
      </c>
      <c r="G1807" s="105" t="s">
        <v>700</v>
      </c>
      <c r="H1807" s="36">
        <v>24014819.379999999</v>
      </c>
      <c r="I1807" s="35" t="s">
        <v>700</v>
      </c>
      <c r="J1807" s="110">
        <f t="shared" si="109"/>
        <v>0</v>
      </c>
      <c r="K1807" s="59">
        <f t="shared" si="108"/>
        <v>-2.5780245661735535E-2</v>
      </c>
      <c r="L1807" s="60"/>
      <c r="M1807" s="41"/>
      <c r="N1807" s="41"/>
      <c r="O1807" s="41"/>
    </row>
    <row r="1808" spans="1:15" s="7" customFormat="1" ht="18.75">
      <c r="A1808" s="81"/>
      <c r="B1808" s="109"/>
      <c r="C1808" s="62" t="s">
        <v>142</v>
      </c>
      <c r="D1808" s="103" t="s">
        <v>265</v>
      </c>
      <c r="E1808" s="44"/>
      <c r="F1808" s="104">
        <v>25206546.487797361</v>
      </c>
      <c r="G1808" s="105"/>
      <c r="H1808" s="36">
        <v>25206546.489999998</v>
      </c>
      <c r="I1808" s="35" t="s">
        <v>1211</v>
      </c>
      <c r="J1808" s="110">
        <f t="shared" si="109"/>
        <v>-2.2026374936103821E-3</v>
      </c>
      <c r="K1808" s="59">
        <f t="shared" si="108"/>
        <v>-2.5780245661735535E-2</v>
      </c>
      <c r="L1808" s="60"/>
      <c r="M1808" s="41"/>
      <c r="N1808" s="41"/>
      <c r="O1808" s="41"/>
    </row>
    <row r="1809" spans="1:15" s="7" customFormat="1" ht="18.75">
      <c r="A1809" s="81"/>
      <c r="B1809" s="109"/>
      <c r="C1809" s="62" t="s">
        <v>145</v>
      </c>
      <c r="D1809" s="103" t="s">
        <v>267</v>
      </c>
      <c r="E1809" s="44"/>
      <c r="F1809" s="104">
        <v>18611284.833490737</v>
      </c>
      <c r="G1809" s="105" t="s">
        <v>431</v>
      </c>
      <c r="H1809" s="121">
        <v>18611284.829999998</v>
      </c>
      <c r="I1809" s="35" t="s">
        <v>1211</v>
      </c>
      <c r="J1809" s="110">
        <f t="shared" si="109"/>
        <v>3.490738570690155E-3</v>
      </c>
      <c r="K1809" s="59">
        <f t="shared" si="108"/>
        <v>-2.7982883155345917E-2</v>
      </c>
      <c r="L1809" s="60"/>
      <c r="M1809" s="41"/>
      <c r="N1809" s="41"/>
      <c r="O1809" s="41"/>
    </row>
    <row r="1810" spans="1:15" s="7" customFormat="1" ht="18.75">
      <c r="A1810" s="81"/>
      <c r="B1810" s="109"/>
      <c r="C1810" s="62" t="s">
        <v>148</v>
      </c>
      <c r="D1810" s="103" t="s">
        <v>268</v>
      </c>
      <c r="E1810" s="44"/>
      <c r="F1810" s="104">
        <v>23303434.02123969</v>
      </c>
      <c r="G1810" s="105" t="s">
        <v>433</v>
      </c>
      <c r="H1810" s="121">
        <v>23303434.02123969</v>
      </c>
      <c r="I1810" s="35" t="s">
        <v>1522</v>
      </c>
      <c r="J1810" s="110">
        <f t="shared" si="109"/>
        <v>0</v>
      </c>
      <c r="K1810" s="59">
        <f t="shared" si="108"/>
        <v>-2.4492144584655762E-2</v>
      </c>
      <c r="L1810" s="60"/>
      <c r="M1810" s="41"/>
      <c r="N1810" s="41"/>
      <c r="O1810" s="41"/>
    </row>
    <row r="1811" spans="1:15" s="7" customFormat="1" ht="18.75">
      <c r="A1811" s="81"/>
      <c r="B1811" s="109"/>
      <c r="C1811" s="62" t="s">
        <v>151</v>
      </c>
      <c r="D1811" s="103" t="s">
        <v>122</v>
      </c>
      <c r="E1811" s="44"/>
      <c r="F1811" s="104">
        <v>20021904.736744523</v>
      </c>
      <c r="G1811" s="105" t="s">
        <v>152</v>
      </c>
      <c r="H1811" s="121">
        <v>20021904.739999998</v>
      </c>
      <c r="I1811" s="35" t="s">
        <v>1523</v>
      </c>
      <c r="J1811" s="110">
        <f t="shared" si="109"/>
        <v>-3.2554753124713898E-3</v>
      </c>
      <c r="K1811" s="59">
        <f t="shared" si="108"/>
        <v>-2.4492144584655762E-2</v>
      </c>
      <c r="L1811" s="60"/>
      <c r="M1811" s="41"/>
      <c r="N1811" s="41"/>
      <c r="O1811" s="41"/>
    </row>
    <row r="1812" spans="1:15" s="7" customFormat="1" ht="18.75">
      <c r="A1812" s="81"/>
      <c r="B1812" s="109"/>
      <c r="C1812" s="62" t="s">
        <v>154</v>
      </c>
      <c r="D1812" s="103" t="s">
        <v>271</v>
      </c>
      <c r="E1812" s="44"/>
      <c r="F1812" s="104">
        <v>25471732.405795727</v>
      </c>
      <c r="G1812" s="105" t="s">
        <v>156</v>
      </c>
      <c r="H1812" s="121">
        <v>25471732.41</v>
      </c>
      <c r="I1812" s="35" t="s">
        <v>770</v>
      </c>
      <c r="J1812" s="110">
        <f t="shared" si="109"/>
        <v>-4.2042732238769531E-3</v>
      </c>
      <c r="K1812" s="59">
        <f t="shared" si="108"/>
        <v>-2.7747619897127151E-2</v>
      </c>
      <c r="L1812" s="60"/>
      <c r="M1812" s="41"/>
      <c r="N1812" s="41"/>
      <c r="O1812" s="41"/>
    </row>
    <row r="1813" spans="1:15" s="7" customFormat="1" ht="18.75">
      <c r="A1813" s="81"/>
      <c r="B1813" s="109"/>
      <c r="C1813" s="62" t="s">
        <v>158</v>
      </c>
      <c r="D1813" s="103" t="s">
        <v>273</v>
      </c>
      <c r="E1813" s="44"/>
      <c r="F1813" s="104">
        <v>23773749.294214927</v>
      </c>
      <c r="G1813" s="105" t="s">
        <v>160</v>
      </c>
      <c r="H1813" s="121">
        <v>23773749.289999999</v>
      </c>
      <c r="I1813" s="35" t="s">
        <v>1223</v>
      </c>
      <c r="J1813" s="110">
        <f t="shared" si="109"/>
        <v>4.2149275541305542E-3</v>
      </c>
      <c r="K1813" s="59">
        <f t="shared" si="108"/>
        <v>-3.1951893121004105E-2</v>
      </c>
      <c r="L1813" s="60"/>
      <c r="M1813" s="41"/>
      <c r="N1813" s="41"/>
      <c r="O1813" s="41"/>
    </row>
    <row r="1814" spans="1:15" s="7" customFormat="1" ht="18.75">
      <c r="A1814" s="81"/>
      <c r="B1814" s="109"/>
      <c r="C1814" s="62" t="s">
        <v>162</v>
      </c>
      <c r="D1814" s="103" t="s">
        <v>275</v>
      </c>
      <c r="E1814" s="44"/>
      <c r="F1814" s="104">
        <v>23769875.358206399</v>
      </c>
      <c r="G1814" s="105" t="s">
        <v>164</v>
      </c>
      <c r="H1814" s="121">
        <v>23769875.359999999</v>
      </c>
      <c r="I1814" s="35" t="s">
        <v>1259</v>
      </c>
      <c r="J1814" s="110">
        <f t="shared" si="109"/>
        <v>-1.7936006188392639E-3</v>
      </c>
      <c r="K1814" s="59">
        <f t="shared" si="108"/>
        <v>-2.773696556687355E-2</v>
      </c>
      <c r="L1814" s="60"/>
      <c r="M1814" s="41"/>
      <c r="N1814" s="41"/>
      <c r="O1814" s="41"/>
    </row>
    <row r="1815" spans="1:15" s="7" customFormat="1" ht="18.75">
      <c r="A1815" s="81"/>
      <c r="B1815" s="109"/>
      <c r="C1815" s="62" t="s">
        <v>166</v>
      </c>
      <c r="D1815" s="103" t="s">
        <v>277</v>
      </c>
      <c r="E1815" s="44"/>
      <c r="F1815" s="104">
        <v>26637403.071023643</v>
      </c>
      <c r="G1815" s="105" t="s">
        <v>168</v>
      </c>
      <c r="H1815" s="121">
        <f>26637403.08+1207775.42</f>
        <v>27845178.5</v>
      </c>
      <c r="I1815" s="35" t="s">
        <v>774</v>
      </c>
      <c r="J1815" s="110">
        <f t="shared" si="109"/>
        <v>-1207775.428976357</v>
      </c>
      <c r="K1815" s="59">
        <f t="shared" si="108"/>
        <v>-2.9530566185712814E-2</v>
      </c>
      <c r="L1815" s="60"/>
      <c r="M1815" s="41"/>
      <c r="N1815" s="41"/>
      <c r="O1815" s="41"/>
    </row>
    <row r="1816" spans="1:15" s="7" customFormat="1" ht="18.75">
      <c r="A1816" s="81"/>
      <c r="B1816" s="109"/>
      <c r="C1816" s="62" t="s">
        <v>170</v>
      </c>
      <c r="D1816" s="103" t="s">
        <v>279</v>
      </c>
      <c r="E1816" s="44"/>
      <c r="F1816" s="104">
        <v>29174420.222394828</v>
      </c>
      <c r="G1816" s="105" t="s">
        <v>172</v>
      </c>
      <c r="H1816" s="121">
        <v>22133286.219999999</v>
      </c>
      <c r="I1816" s="35" t="s">
        <v>1524</v>
      </c>
      <c r="J1816" s="110">
        <f t="shared" si="109"/>
        <v>7041134.0023948289</v>
      </c>
      <c r="K1816" s="59">
        <f t="shared" si="108"/>
        <v>-1207775.4585069232</v>
      </c>
      <c r="L1816" s="60"/>
      <c r="M1816" s="41"/>
      <c r="N1816" s="41"/>
      <c r="O1816" s="41"/>
    </row>
    <row r="1817" spans="1:15" s="7" customFormat="1" ht="18.75">
      <c r="A1817" s="81"/>
      <c r="B1817" s="109"/>
      <c r="C1817" s="62" t="s">
        <v>174</v>
      </c>
      <c r="D1817" s="103" t="s">
        <v>281</v>
      </c>
      <c r="E1817" s="44"/>
      <c r="F1817" s="104">
        <v>25895504.469999999</v>
      </c>
      <c r="G1817" s="105" t="s">
        <v>1126</v>
      </c>
      <c r="H1817" s="121">
        <v>25895504.469999999</v>
      </c>
      <c r="I1817" s="35" t="s">
        <v>1524</v>
      </c>
      <c r="J1817" s="110">
        <f t="shared" si="109"/>
        <v>0</v>
      </c>
      <c r="K1817" s="59">
        <f t="shared" si="108"/>
        <v>5833358.5438879058</v>
      </c>
      <c r="L1817" s="60"/>
      <c r="M1817" s="41"/>
      <c r="N1817" s="41"/>
      <c r="O1817" s="41"/>
    </row>
    <row r="1818" spans="1:15" s="7" customFormat="1" ht="18.75">
      <c r="A1818" s="81"/>
      <c r="B1818" s="109"/>
      <c r="C1818" s="62" t="s">
        <v>178</v>
      </c>
      <c r="D1818" s="103" t="s">
        <v>283</v>
      </c>
      <c r="E1818" s="44"/>
      <c r="F1818" s="104">
        <v>28612182.928500358</v>
      </c>
      <c r="G1818" s="105" t="s">
        <v>179</v>
      </c>
      <c r="H1818" s="121">
        <v>24241319.300000001</v>
      </c>
      <c r="I1818" s="35" t="s">
        <v>1524</v>
      </c>
      <c r="J1818" s="110">
        <f t="shared" si="109"/>
        <v>4370863.6285003573</v>
      </c>
      <c r="K1818" s="59">
        <f t="shared" si="108"/>
        <v>5833358.5438879058</v>
      </c>
      <c r="L1818" s="60"/>
      <c r="M1818" s="41"/>
      <c r="N1818" s="41"/>
      <c r="O1818" s="41"/>
    </row>
    <row r="1819" spans="1:15" s="7" customFormat="1" ht="18.75">
      <c r="A1819" s="81"/>
      <c r="B1819" s="109"/>
      <c r="C1819" s="62" t="s">
        <v>181</v>
      </c>
      <c r="D1819" s="103" t="s">
        <v>84</v>
      </c>
      <c r="E1819" s="44"/>
      <c r="F1819" s="104">
        <v>23947292.864890706</v>
      </c>
      <c r="G1819" s="105" t="s">
        <v>183</v>
      </c>
      <c r="H1819" s="121">
        <v>23947292.870000001</v>
      </c>
      <c r="I1819" s="35" t="s">
        <v>1066</v>
      </c>
      <c r="J1819" s="110">
        <f t="shared" si="109"/>
        <v>-5.1092952489852905E-3</v>
      </c>
      <c r="K1819" s="59">
        <f t="shared" si="108"/>
        <v>10204222.172388263</v>
      </c>
      <c r="L1819" s="60"/>
      <c r="M1819" s="41"/>
      <c r="N1819" s="41"/>
      <c r="O1819" s="41"/>
    </row>
    <row r="1820" spans="1:15" s="7" customFormat="1" ht="18.75">
      <c r="A1820" s="81"/>
      <c r="B1820" s="109"/>
      <c r="C1820" s="62" t="s">
        <v>185</v>
      </c>
      <c r="D1820" s="103" t="s">
        <v>283</v>
      </c>
      <c r="E1820" s="44"/>
      <c r="F1820" s="104">
        <v>26415774.750512697</v>
      </c>
      <c r="G1820" s="105" t="s">
        <v>187</v>
      </c>
      <c r="H1820" s="121">
        <v>26415774.75</v>
      </c>
      <c r="I1820" s="35" t="s">
        <v>1066</v>
      </c>
      <c r="J1820" s="110">
        <f t="shared" si="109"/>
        <v>5.1269680261611938E-4</v>
      </c>
      <c r="K1820" s="59">
        <f t="shared" si="108"/>
        <v>10204222.167278968</v>
      </c>
      <c r="L1820" s="60"/>
      <c r="M1820" s="41"/>
      <c r="N1820" s="41"/>
      <c r="O1820" s="41"/>
    </row>
    <row r="1821" spans="1:15" s="7" customFormat="1" ht="18.75">
      <c r="A1821" s="81"/>
      <c r="B1821" s="109"/>
      <c r="C1821" s="62" t="s">
        <v>189</v>
      </c>
      <c r="D1821" s="103" t="s">
        <v>775</v>
      </c>
      <c r="E1821" s="44"/>
      <c r="F1821" s="104">
        <v>22099877.067179363</v>
      </c>
      <c r="G1821" s="105" t="s">
        <v>377</v>
      </c>
      <c r="H1821" s="121">
        <f>6478896.71+22099877.07</f>
        <v>28578773.780000001</v>
      </c>
      <c r="I1821" s="35" t="s">
        <v>731</v>
      </c>
      <c r="J1821" s="110">
        <f t="shared" si="109"/>
        <v>-6478896.712820638</v>
      </c>
      <c r="K1821" s="59">
        <f t="shared" si="108"/>
        <v>10204222.167791665</v>
      </c>
      <c r="L1821" s="60"/>
      <c r="M1821" s="41"/>
      <c r="N1821" s="41"/>
      <c r="O1821" s="41"/>
    </row>
    <row r="1822" spans="1:15" s="7" customFormat="1" ht="18.75">
      <c r="A1822" s="81"/>
      <c r="B1822" s="109"/>
      <c r="C1822" s="62" t="s">
        <v>191</v>
      </c>
      <c r="D1822" s="103" t="s">
        <v>289</v>
      </c>
      <c r="E1822" s="44">
        <v>43986</v>
      </c>
      <c r="F1822" s="104">
        <v>24805201.36930652</v>
      </c>
      <c r="G1822" s="105" t="s">
        <v>193</v>
      </c>
      <c r="H1822" s="121">
        <v>27723593.699999999</v>
      </c>
      <c r="I1822" s="35" t="s">
        <v>1525</v>
      </c>
      <c r="J1822" s="110">
        <f t="shared" si="109"/>
        <v>-2918392.3306934796</v>
      </c>
      <c r="K1822" s="59">
        <f t="shared" si="108"/>
        <v>3725325.4549710266</v>
      </c>
      <c r="L1822" s="60"/>
      <c r="M1822" s="41"/>
      <c r="N1822" s="41"/>
      <c r="O1822" s="41"/>
    </row>
    <row r="1823" spans="1:15" s="7" customFormat="1" ht="18.75">
      <c r="A1823" s="81"/>
      <c r="B1823" s="109"/>
      <c r="C1823" s="62" t="s">
        <v>195</v>
      </c>
      <c r="D1823" s="103" t="s">
        <v>777</v>
      </c>
      <c r="E1823" s="44" t="s">
        <v>197</v>
      </c>
      <c r="F1823" s="104">
        <v>27495537.931569487</v>
      </c>
      <c r="G1823" s="105" t="s">
        <v>198</v>
      </c>
      <c r="H1823" s="121">
        <v>27495537.93</v>
      </c>
      <c r="I1823" s="35" t="s">
        <v>600</v>
      </c>
      <c r="J1823" s="110">
        <f t="shared" si="109"/>
        <v>1.5694871544837952E-3</v>
      </c>
      <c r="K1823" s="59">
        <f t="shared" si="108"/>
        <v>806933.124277547</v>
      </c>
      <c r="L1823" s="60"/>
      <c r="M1823" s="41"/>
      <c r="N1823" s="41"/>
      <c r="O1823" s="41"/>
    </row>
    <row r="1824" spans="1:15" s="7" customFormat="1" ht="18.75">
      <c r="A1824" s="81"/>
      <c r="B1824" s="109"/>
      <c r="C1824" s="62" t="s">
        <v>199</v>
      </c>
      <c r="D1824" s="103" t="s">
        <v>74</v>
      </c>
      <c r="E1824" s="44">
        <v>44049</v>
      </c>
      <c r="F1824" s="104">
        <v>27723593.700381599</v>
      </c>
      <c r="G1824" s="105">
        <v>43897</v>
      </c>
      <c r="H1824" s="121">
        <v>24805201.359999999</v>
      </c>
      <c r="I1824" s="35" t="s">
        <v>391</v>
      </c>
      <c r="J1824" s="110">
        <f t="shared" si="109"/>
        <v>2918392.3403816</v>
      </c>
      <c r="K1824" s="59">
        <f t="shared" si="108"/>
        <v>806933.12584703416</v>
      </c>
      <c r="L1824" s="60"/>
      <c r="M1824" s="41"/>
      <c r="N1824" s="41"/>
      <c r="O1824" s="41"/>
    </row>
    <row r="1825" spans="1:15" s="7" customFormat="1" ht="18.75">
      <c r="A1825" s="81"/>
      <c r="B1825" s="109"/>
      <c r="C1825" s="62" t="s">
        <v>201</v>
      </c>
      <c r="D1825" s="103" t="s">
        <v>779</v>
      </c>
      <c r="E1825" s="44" t="s">
        <v>449</v>
      </c>
      <c r="F1825" s="104">
        <v>27404046.656406</v>
      </c>
      <c r="G1825" s="105">
        <v>43929</v>
      </c>
      <c r="H1825" s="121">
        <v>27404046.656406</v>
      </c>
      <c r="I1825" s="44">
        <v>43899</v>
      </c>
      <c r="J1825" s="110">
        <f t="shared" si="109"/>
        <v>0</v>
      </c>
      <c r="K1825" s="59">
        <f t="shared" si="108"/>
        <v>3725325.4662286341</v>
      </c>
      <c r="L1825" s="60"/>
      <c r="M1825" s="41"/>
      <c r="N1825" s="41"/>
      <c r="O1825" s="41"/>
    </row>
    <row r="1826" spans="1:15" s="7" customFormat="1" ht="18.75">
      <c r="A1826" s="81"/>
      <c r="B1826" s="109"/>
      <c r="C1826" s="62" t="s">
        <v>203</v>
      </c>
      <c r="D1826" s="103" t="s">
        <v>298</v>
      </c>
      <c r="E1826" s="44">
        <v>44020</v>
      </c>
      <c r="F1826" s="104">
        <v>31491565.727999199</v>
      </c>
      <c r="G1826" s="105" t="s">
        <v>450</v>
      </c>
      <c r="H1826" s="121">
        <v>31491565.73</v>
      </c>
      <c r="I1826" s="44">
        <v>44052</v>
      </c>
      <c r="J1826" s="110">
        <f t="shared" si="109"/>
        <v>-2.0008012652397156E-3</v>
      </c>
      <c r="K1826" s="59">
        <f t="shared" si="108"/>
        <v>3725325.4662286341</v>
      </c>
      <c r="L1826" s="60"/>
      <c r="M1826" s="41"/>
      <c r="N1826" s="41"/>
      <c r="O1826" s="41"/>
    </row>
    <row r="1827" spans="1:15" s="7" customFormat="1" ht="18.75">
      <c r="A1827" s="81"/>
      <c r="B1827" s="109"/>
      <c r="C1827" s="62" t="s">
        <v>207</v>
      </c>
      <c r="D1827" s="103" t="s">
        <v>299</v>
      </c>
      <c r="E1827" s="44" t="s">
        <v>209</v>
      </c>
      <c r="F1827" s="104">
        <v>31881424.115793798</v>
      </c>
      <c r="G1827" s="105" t="s">
        <v>210</v>
      </c>
      <c r="H1827" s="121">
        <v>31881424.120000001</v>
      </c>
      <c r="I1827" s="44">
        <v>44144</v>
      </c>
      <c r="J1827" s="110">
        <f t="shared" si="109"/>
        <v>-4.2062029242515564E-3</v>
      </c>
      <c r="K1827" s="59">
        <f t="shared" si="108"/>
        <v>3725325.4642278329</v>
      </c>
      <c r="L1827" s="60"/>
      <c r="M1827" s="41"/>
      <c r="N1827" s="41"/>
      <c r="O1827" s="41"/>
    </row>
    <row r="1828" spans="1:15" s="7" customFormat="1" ht="18.75">
      <c r="A1828" s="81"/>
      <c r="B1828" s="109"/>
      <c r="C1828" s="62" t="s">
        <v>212</v>
      </c>
      <c r="D1828" s="103" t="s">
        <v>29</v>
      </c>
      <c r="E1828" s="44">
        <v>44084</v>
      </c>
      <c r="F1828" s="104">
        <v>28765519.904597994</v>
      </c>
      <c r="G1828" s="105" t="s">
        <v>213</v>
      </c>
      <c r="H1828" s="121">
        <v>28765519.91</v>
      </c>
      <c r="I1828" s="44" t="s">
        <v>391</v>
      </c>
      <c r="J1828" s="110">
        <f t="shared" si="109"/>
        <v>-5.402006208896637E-3</v>
      </c>
      <c r="K1828" s="59">
        <f t="shared" si="108"/>
        <v>3725325.4600216299</v>
      </c>
      <c r="L1828" s="60"/>
      <c r="M1828" s="41"/>
      <c r="N1828" s="41"/>
      <c r="O1828" s="41"/>
    </row>
    <row r="1829" spans="1:15" s="7" customFormat="1" ht="18.75">
      <c r="A1829" s="81"/>
      <c r="B1829" s="109"/>
      <c r="C1829" s="62" t="s">
        <v>214</v>
      </c>
      <c r="D1829" s="103" t="s">
        <v>301</v>
      </c>
      <c r="E1829" s="44">
        <v>43962</v>
      </c>
      <c r="F1829" s="104">
        <v>26327623.454990461</v>
      </c>
      <c r="G1829" s="105" t="s">
        <v>216</v>
      </c>
      <c r="H1829" s="121">
        <v>26327623.454990461</v>
      </c>
      <c r="I1829" s="44">
        <v>44085</v>
      </c>
      <c r="J1829" s="110">
        <f t="shared" si="109"/>
        <v>0</v>
      </c>
      <c r="K1829" s="59">
        <f t="shared" si="108"/>
        <v>3725325.4546196237</v>
      </c>
      <c r="L1829" s="60"/>
      <c r="M1829" s="41"/>
      <c r="N1829" s="41"/>
      <c r="O1829" s="41"/>
    </row>
    <row r="1830" spans="1:15" s="7" customFormat="1" ht="18.75">
      <c r="A1830" s="81"/>
      <c r="B1830" s="109"/>
      <c r="C1830" s="62" t="s">
        <v>218</v>
      </c>
      <c r="D1830" s="103" t="s">
        <v>313</v>
      </c>
      <c r="E1830" s="44">
        <v>44024</v>
      </c>
      <c r="F1830" s="104">
        <v>28259730.81642599</v>
      </c>
      <c r="G1830" s="105">
        <v>43952</v>
      </c>
      <c r="H1830" s="121">
        <v>28259730.82</v>
      </c>
      <c r="I1830" s="44" t="s">
        <v>391</v>
      </c>
      <c r="J1830" s="110">
        <f t="shared" si="109"/>
        <v>-3.5740099847316742E-3</v>
      </c>
      <c r="K1830" s="59">
        <f t="shared" si="108"/>
        <v>3725325.4546196237</v>
      </c>
      <c r="L1830" s="60"/>
      <c r="M1830" s="41"/>
      <c r="N1830" s="41"/>
      <c r="O1830" s="41"/>
    </row>
    <row r="1831" spans="1:15" s="7" customFormat="1" ht="18.75">
      <c r="A1831" s="81"/>
      <c r="B1831" s="109"/>
      <c r="C1831" s="62" t="s">
        <v>219</v>
      </c>
      <c r="D1831" s="103" t="s">
        <v>314</v>
      </c>
      <c r="E1831" s="44">
        <v>44409</v>
      </c>
      <c r="F1831" s="104">
        <v>30443430.847920053</v>
      </c>
      <c r="G1831" s="105" t="s">
        <v>220</v>
      </c>
      <c r="H1831" s="121">
        <v>30443430.850000001</v>
      </c>
      <c r="I1831" s="44">
        <v>44441</v>
      </c>
      <c r="J1831" s="110">
        <f t="shared" si="109"/>
        <v>-2.0799487829208374E-3</v>
      </c>
      <c r="K1831" s="59">
        <f t="shared" si="108"/>
        <v>3725325.4510456137</v>
      </c>
      <c r="L1831" s="60"/>
      <c r="M1831" s="41"/>
      <c r="N1831" s="41"/>
      <c r="O1831" s="41"/>
    </row>
    <row r="1832" spans="1:15" s="7" customFormat="1" ht="18.75">
      <c r="A1832" s="81"/>
      <c r="B1832" s="109"/>
      <c r="C1832" s="62" t="s">
        <v>221</v>
      </c>
      <c r="D1832" s="103" t="s">
        <v>315</v>
      </c>
      <c r="E1832" s="44">
        <v>44441</v>
      </c>
      <c r="F1832" s="104">
        <v>32154758.680404935</v>
      </c>
      <c r="G1832" s="105" t="s">
        <v>27</v>
      </c>
      <c r="H1832" s="121">
        <v>32154758.68</v>
      </c>
      <c r="I1832" s="44" t="s">
        <v>589</v>
      </c>
      <c r="J1832" s="110">
        <f t="shared" si="109"/>
        <v>4.049353301525116E-4</v>
      </c>
      <c r="K1832" s="59">
        <f t="shared" si="108"/>
        <v>3725325.448965665</v>
      </c>
      <c r="L1832" s="60"/>
      <c r="M1832" s="41"/>
      <c r="N1832" s="41"/>
      <c r="O1832" s="41"/>
    </row>
    <row r="1833" spans="1:15" s="7" customFormat="1" ht="18.75">
      <c r="A1833" s="81"/>
      <c r="B1833" s="109"/>
      <c r="C1833" s="62" t="s">
        <v>222</v>
      </c>
      <c r="D1833" s="103" t="s">
        <v>316</v>
      </c>
      <c r="E1833" s="44">
        <v>44472</v>
      </c>
      <c r="F1833" s="104">
        <v>29808409.464026075</v>
      </c>
      <c r="G1833" s="105" t="s">
        <v>391</v>
      </c>
      <c r="H1833" s="121">
        <v>29808409.460000001</v>
      </c>
      <c r="I1833" s="44" t="s">
        <v>82</v>
      </c>
      <c r="J1833" s="110">
        <f t="shared" si="109"/>
        <v>4.0260739624500275E-3</v>
      </c>
      <c r="K1833" s="59">
        <f t="shared" si="108"/>
        <v>3725325.4493706003</v>
      </c>
      <c r="L1833" s="60"/>
      <c r="M1833" s="41"/>
      <c r="N1833" s="41"/>
      <c r="O1833" s="41"/>
    </row>
    <row r="1834" spans="1:15" s="7" customFormat="1" ht="18.75">
      <c r="A1834" s="81"/>
      <c r="B1834" s="109"/>
      <c r="C1834" s="62" t="s">
        <v>349</v>
      </c>
      <c r="D1834" s="103" t="s">
        <v>316</v>
      </c>
      <c r="E1834" s="44">
        <v>44472</v>
      </c>
      <c r="F1834" s="104">
        <v>29739243.510000002</v>
      </c>
      <c r="G1834" s="105" t="s">
        <v>391</v>
      </c>
      <c r="H1834" s="121">
        <v>29739243.510000002</v>
      </c>
      <c r="I1834" s="44" t="s">
        <v>211</v>
      </c>
      <c r="J1834" s="110">
        <f t="shared" si="109"/>
        <v>0</v>
      </c>
      <c r="K1834" s="59">
        <f t="shared" si="108"/>
        <v>3725325.4533966742</v>
      </c>
      <c r="L1834" s="60"/>
      <c r="M1834" s="41"/>
      <c r="N1834" s="41"/>
      <c r="O1834" s="41"/>
    </row>
    <row r="1835" spans="1:15" s="7" customFormat="1" ht="18.75">
      <c r="A1835" s="81"/>
      <c r="B1835" s="57" t="s">
        <v>1526</v>
      </c>
      <c r="C1835" s="31"/>
      <c r="D1835" s="32"/>
      <c r="E1835" s="44"/>
      <c r="F1835" s="34"/>
      <c r="G1835" s="35"/>
      <c r="H1835" s="36"/>
      <c r="I1835" s="35"/>
      <c r="J1835" s="110"/>
      <c r="K1835" s="64">
        <f t="shared" si="108"/>
        <v>3725325.4533966742</v>
      </c>
      <c r="L1835" s="60"/>
      <c r="M1835" s="41"/>
      <c r="N1835" s="41"/>
      <c r="O1835" s="41"/>
    </row>
    <row r="1836" spans="1:15" s="7" customFormat="1" ht="18.75">
      <c r="A1836" s="81"/>
      <c r="B1836" s="57"/>
      <c r="C1836" s="31"/>
      <c r="D1836" s="32"/>
      <c r="E1836" s="44"/>
      <c r="F1836" s="34"/>
      <c r="G1836" s="80"/>
      <c r="H1836" s="36"/>
      <c r="I1836" s="35"/>
      <c r="J1836" s="110"/>
      <c r="K1836" s="64"/>
      <c r="L1836" s="60"/>
      <c r="M1836" s="41"/>
      <c r="N1836" s="41"/>
      <c r="O1836" s="41"/>
    </row>
    <row r="1837" spans="1:15" s="7" customFormat="1" ht="18.75">
      <c r="A1837" s="56">
        <v>47</v>
      </c>
      <c r="B1837" s="30" t="s">
        <v>100</v>
      </c>
      <c r="C1837" s="29" t="s">
        <v>497</v>
      </c>
      <c r="D1837" s="32" t="s">
        <v>671</v>
      </c>
      <c r="E1837" s="44"/>
      <c r="F1837" s="165">
        <v>284409000.05000001</v>
      </c>
      <c r="G1837" s="98" t="s">
        <v>674</v>
      </c>
      <c r="H1837" s="36">
        <v>284409000.05000001</v>
      </c>
      <c r="I1837" s="272"/>
      <c r="J1837" s="37">
        <f t="shared" ref="J1837:J1881" si="110">F1837-H1837</f>
        <v>0</v>
      </c>
      <c r="K1837" s="37">
        <v>0</v>
      </c>
      <c r="L1837" s="39"/>
      <c r="M1837" s="40"/>
      <c r="N1837" s="40"/>
      <c r="O1837" s="41"/>
    </row>
    <row r="1838" spans="1:15" s="7" customFormat="1" ht="18.75">
      <c r="A1838" s="56"/>
      <c r="B1838" s="30"/>
      <c r="C1838" s="31" t="s">
        <v>498</v>
      </c>
      <c r="D1838" s="32" t="s">
        <v>673</v>
      </c>
      <c r="E1838" s="44"/>
      <c r="F1838" s="34">
        <v>303380167.82999998</v>
      </c>
      <c r="G1838" s="35">
        <v>42988</v>
      </c>
      <c r="H1838" s="36">
        <v>100000000</v>
      </c>
      <c r="I1838" s="272"/>
      <c r="J1838" s="37">
        <f t="shared" si="110"/>
        <v>203380167.82999998</v>
      </c>
      <c r="K1838" s="37">
        <f>J1837+K1837</f>
        <v>0</v>
      </c>
      <c r="L1838" s="39"/>
      <c r="M1838" s="40"/>
      <c r="N1838" s="40"/>
      <c r="O1838" s="41"/>
    </row>
    <row r="1839" spans="1:15" s="7" customFormat="1" ht="18.75">
      <c r="A1839" s="56"/>
      <c r="B1839" s="30"/>
      <c r="C1839" s="29" t="s">
        <v>564</v>
      </c>
      <c r="D1839" s="32" t="s">
        <v>558</v>
      </c>
      <c r="E1839" s="44"/>
      <c r="F1839" s="95">
        <v>298394674.18000001</v>
      </c>
      <c r="G1839" s="98">
        <v>43044</v>
      </c>
      <c r="H1839" s="36">
        <v>100000000</v>
      </c>
      <c r="I1839" s="272" t="s">
        <v>940</v>
      </c>
      <c r="J1839" s="37">
        <f t="shared" si="110"/>
        <v>198394674.18000001</v>
      </c>
      <c r="K1839" s="37">
        <f t="shared" ref="K1839:K1883" si="111">J1838+K1838</f>
        <v>203380167.82999998</v>
      </c>
      <c r="L1839" s="39"/>
      <c r="M1839" s="40"/>
      <c r="N1839" s="40"/>
      <c r="O1839" s="41"/>
    </row>
    <row r="1840" spans="1:15" s="7" customFormat="1" ht="18.75">
      <c r="A1840" s="56"/>
      <c r="B1840" s="30"/>
      <c r="C1840" s="29" t="s">
        <v>500</v>
      </c>
      <c r="D1840" s="32" t="s">
        <v>908</v>
      </c>
      <c r="E1840" s="44"/>
      <c r="F1840" s="95">
        <v>290222619.33999997</v>
      </c>
      <c r="G1840" s="98" t="s">
        <v>801</v>
      </c>
      <c r="H1840" s="36">
        <v>103380167.83</v>
      </c>
      <c r="I1840" s="272" t="s">
        <v>941</v>
      </c>
      <c r="J1840" s="37">
        <f t="shared" si="110"/>
        <v>186842451.50999999</v>
      </c>
      <c r="K1840" s="37">
        <f t="shared" si="111"/>
        <v>401774842.00999999</v>
      </c>
      <c r="L1840" s="39"/>
      <c r="M1840" s="40"/>
      <c r="N1840" s="40"/>
      <c r="O1840" s="41"/>
    </row>
    <row r="1841" spans="1:15" s="7" customFormat="1" ht="18.75">
      <c r="A1841" s="56"/>
      <c r="B1841" s="30"/>
      <c r="C1841" s="29" t="s">
        <v>501</v>
      </c>
      <c r="D1841" s="32" t="s">
        <v>909</v>
      </c>
      <c r="E1841" s="44"/>
      <c r="F1841" s="95">
        <v>271438317.30000001</v>
      </c>
      <c r="G1841" s="98" t="s">
        <v>502</v>
      </c>
      <c r="H1841" s="36">
        <v>100000000</v>
      </c>
      <c r="I1841" s="272" t="s">
        <v>1527</v>
      </c>
      <c r="J1841" s="37">
        <f t="shared" si="110"/>
        <v>171438317.30000001</v>
      </c>
      <c r="K1841" s="37">
        <f t="shared" si="111"/>
        <v>588617293.51999998</v>
      </c>
      <c r="L1841" s="39"/>
      <c r="M1841" s="40"/>
      <c r="N1841" s="40"/>
      <c r="O1841" s="41"/>
    </row>
    <row r="1842" spans="1:15" s="7" customFormat="1" ht="18.75">
      <c r="A1842" s="56"/>
      <c r="B1842" s="30"/>
      <c r="C1842" s="29" t="s">
        <v>504</v>
      </c>
      <c r="D1842" s="32" t="s">
        <v>675</v>
      </c>
      <c r="E1842" s="44"/>
      <c r="F1842" s="95">
        <v>285946776.87</v>
      </c>
      <c r="G1842" s="98">
        <v>43375</v>
      </c>
      <c r="H1842" s="36">
        <v>500000000</v>
      </c>
      <c r="I1842" s="272" t="s">
        <v>1528</v>
      </c>
      <c r="J1842" s="37">
        <f t="shared" si="110"/>
        <v>-214053223.13</v>
      </c>
      <c r="K1842" s="37">
        <f t="shared" si="111"/>
        <v>760055610.81999993</v>
      </c>
      <c r="L1842" s="39"/>
      <c r="M1842" s="40"/>
      <c r="N1842" s="40"/>
      <c r="O1842" s="41"/>
    </row>
    <row r="1843" spans="1:15" s="7" customFormat="1" ht="18.75">
      <c r="A1843" s="56"/>
      <c r="B1843" s="30"/>
      <c r="C1843" s="273" t="s">
        <v>804</v>
      </c>
      <c r="D1843" s="32"/>
      <c r="E1843" s="44"/>
      <c r="F1843" s="95">
        <v>-354333945.94</v>
      </c>
      <c r="G1843" s="98"/>
      <c r="H1843" s="36"/>
      <c r="I1843" s="272"/>
      <c r="J1843" s="37">
        <f t="shared" si="110"/>
        <v>-354333945.94</v>
      </c>
      <c r="K1843" s="37">
        <f t="shared" si="111"/>
        <v>546002387.68999994</v>
      </c>
      <c r="L1843" s="39"/>
      <c r="M1843" s="40"/>
      <c r="N1843" s="40"/>
      <c r="O1843" s="41"/>
    </row>
    <row r="1844" spans="1:15" s="7" customFormat="1" ht="18.75">
      <c r="A1844" s="56"/>
      <c r="B1844" s="30"/>
      <c r="C1844" s="29" t="s">
        <v>506</v>
      </c>
      <c r="D1844" s="32" t="s">
        <v>677</v>
      </c>
      <c r="E1844" s="44"/>
      <c r="F1844" s="95">
        <v>224536608.99000001</v>
      </c>
      <c r="G1844" s="98">
        <v>43376</v>
      </c>
      <c r="H1844" s="36">
        <v>300000000</v>
      </c>
      <c r="I1844" s="272" t="s">
        <v>1529</v>
      </c>
      <c r="J1844" s="37">
        <f t="shared" si="110"/>
        <v>-75463391.00999999</v>
      </c>
      <c r="K1844" s="37">
        <f t="shared" si="111"/>
        <v>191668441.74999994</v>
      </c>
      <c r="L1844" s="39"/>
      <c r="M1844" s="40"/>
      <c r="N1844" s="40"/>
      <c r="O1844" s="41"/>
    </row>
    <row r="1845" spans="1:15" s="7" customFormat="1" ht="18.75">
      <c r="A1845" s="56"/>
      <c r="B1845" s="30"/>
      <c r="C1845" s="29" t="s">
        <v>508</v>
      </c>
      <c r="D1845" s="32" t="s">
        <v>678</v>
      </c>
      <c r="E1845" s="44"/>
      <c r="F1845" s="95">
        <v>205417147.28</v>
      </c>
      <c r="G1845" s="75" t="s">
        <v>509</v>
      </c>
      <c r="H1845" s="36">
        <v>200000000</v>
      </c>
      <c r="I1845" s="272" t="s">
        <v>1530</v>
      </c>
      <c r="J1845" s="37">
        <f t="shared" si="110"/>
        <v>5417147.2800000012</v>
      </c>
      <c r="K1845" s="37">
        <f t="shared" si="111"/>
        <v>116205050.73999995</v>
      </c>
      <c r="L1845" s="39"/>
      <c r="M1845" s="40"/>
      <c r="N1845" s="40"/>
      <c r="O1845" s="41"/>
    </row>
    <row r="1846" spans="1:15" s="7" customFormat="1" ht="18.75">
      <c r="A1846" s="56"/>
      <c r="B1846" s="30"/>
      <c r="C1846" s="29" t="s">
        <v>355</v>
      </c>
      <c r="D1846" s="32" t="s">
        <v>679</v>
      </c>
      <c r="E1846" s="44"/>
      <c r="F1846" s="95">
        <v>277825374.58305001</v>
      </c>
      <c r="G1846" s="75" t="s">
        <v>1523</v>
      </c>
      <c r="H1846" s="87"/>
      <c r="I1846" s="272"/>
      <c r="J1846" s="37">
        <f t="shared" si="110"/>
        <v>277825374.58305001</v>
      </c>
      <c r="K1846" s="37">
        <f t="shared" si="111"/>
        <v>121622198.01999995</v>
      </c>
      <c r="L1846" s="39"/>
      <c r="M1846" s="40"/>
      <c r="N1846" s="40"/>
      <c r="O1846" s="41"/>
    </row>
    <row r="1847" spans="1:15" s="7" customFormat="1" ht="18.75">
      <c r="A1847" s="56"/>
      <c r="B1847" s="30"/>
      <c r="C1847" s="31" t="s">
        <v>234</v>
      </c>
      <c r="D1847" s="32" t="s">
        <v>681</v>
      </c>
      <c r="E1847" s="44"/>
      <c r="F1847" s="95">
        <v>270311273.38624495</v>
      </c>
      <c r="G1847" s="75" t="s">
        <v>513</v>
      </c>
      <c r="H1847" s="216"/>
      <c r="I1847" s="272"/>
      <c r="J1847" s="37">
        <f t="shared" si="110"/>
        <v>270311273.38624495</v>
      </c>
      <c r="K1847" s="37">
        <f t="shared" si="111"/>
        <v>399447572.60304999</v>
      </c>
      <c r="L1847" s="39"/>
      <c r="M1847" s="40"/>
      <c r="N1847" s="40"/>
      <c r="O1847" s="41"/>
    </row>
    <row r="1848" spans="1:15" s="7" customFormat="1" ht="18.75">
      <c r="A1848" s="56"/>
      <c r="B1848" s="30"/>
      <c r="C1848" s="31" t="s">
        <v>514</v>
      </c>
      <c r="D1848" s="32" t="s">
        <v>683</v>
      </c>
      <c r="E1848" s="44"/>
      <c r="F1848" s="95">
        <v>275261305.18294799</v>
      </c>
      <c r="G1848" s="75" t="s">
        <v>640</v>
      </c>
      <c r="H1848" s="121">
        <v>200000000</v>
      </c>
      <c r="I1848" s="261" t="s">
        <v>1531</v>
      </c>
      <c r="J1848" s="37">
        <f t="shared" si="110"/>
        <v>75261305.182947993</v>
      </c>
      <c r="K1848" s="37">
        <f t="shared" si="111"/>
        <v>669758845.98929501</v>
      </c>
      <c r="L1848" s="39"/>
      <c r="M1848" s="40"/>
      <c r="N1848" s="40"/>
      <c r="O1848" s="41"/>
    </row>
    <row r="1849" spans="1:15" s="7" customFormat="1" ht="18.75">
      <c r="A1849" s="56"/>
      <c r="B1849" s="30"/>
      <c r="C1849" s="102" t="s">
        <v>238</v>
      </c>
      <c r="D1849" s="32" t="s">
        <v>686</v>
      </c>
      <c r="E1849" s="44"/>
      <c r="F1849" s="95">
        <v>276061903.30708498</v>
      </c>
      <c r="G1849" s="75" t="s">
        <v>642</v>
      </c>
      <c r="H1849" s="121">
        <v>100000000</v>
      </c>
      <c r="I1849" s="274" t="s">
        <v>1532</v>
      </c>
      <c r="J1849" s="37">
        <f t="shared" si="110"/>
        <v>176061903.30708498</v>
      </c>
      <c r="K1849" s="37">
        <f t="shared" si="111"/>
        <v>745020151.172243</v>
      </c>
      <c r="L1849" s="39"/>
      <c r="M1849" s="40"/>
      <c r="N1849" s="40"/>
      <c r="O1849" s="41"/>
    </row>
    <row r="1850" spans="1:15" s="7" customFormat="1" ht="18.75">
      <c r="A1850" s="56"/>
      <c r="B1850" s="30"/>
      <c r="C1850" s="102" t="s">
        <v>517</v>
      </c>
      <c r="D1850" s="32" t="s">
        <v>689</v>
      </c>
      <c r="E1850" s="44"/>
      <c r="F1850" s="95">
        <v>310357339.67634898</v>
      </c>
      <c r="G1850" s="75" t="s">
        <v>644</v>
      </c>
      <c r="H1850" s="121">
        <v>200000000</v>
      </c>
      <c r="I1850" s="272" t="s">
        <v>1533</v>
      </c>
      <c r="J1850" s="37">
        <f t="shared" si="110"/>
        <v>110357339.67634898</v>
      </c>
      <c r="K1850" s="37">
        <f t="shared" si="111"/>
        <v>921082054.47932792</v>
      </c>
      <c r="L1850" s="39"/>
      <c r="M1850" s="40"/>
      <c r="N1850" s="40"/>
      <c r="O1850" s="41"/>
    </row>
    <row r="1851" spans="1:15" s="7" customFormat="1" ht="18.75">
      <c r="A1851" s="56"/>
      <c r="B1851" s="30"/>
      <c r="C1851" s="102" t="s">
        <v>243</v>
      </c>
      <c r="D1851" s="32" t="s">
        <v>1089</v>
      </c>
      <c r="E1851" s="44"/>
      <c r="F1851" s="95">
        <v>335420006.65771508</v>
      </c>
      <c r="G1851" s="75"/>
      <c r="H1851" s="121">
        <v>421082054</v>
      </c>
      <c r="I1851" s="261" t="s">
        <v>957</v>
      </c>
      <c r="J1851" s="37">
        <f t="shared" si="110"/>
        <v>-85662047.342284918</v>
      </c>
      <c r="K1851" s="37">
        <f t="shared" si="111"/>
        <v>1031439394.1556768</v>
      </c>
      <c r="L1851" s="39"/>
      <c r="M1851" s="40"/>
      <c r="N1851" s="40"/>
      <c r="O1851" s="41"/>
    </row>
    <row r="1852" spans="1:15" s="7" customFormat="1" ht="18.75">
      <c r="A1852" s="56"/>
      <c r="B1852" s="30"/>
      <c r="C1852" s="102" t="s">
        <v>246</v>
      </c>
      <c r="D1852" s="103" t="s">
        <v>694</v>
      </c>
      <c r="E1852" s="44"/>
      <c r="F1852" s="104">
        <v>308683362.55276799</v>
      </c>
      <c r="G1852" s="105" t="s">
        <v>647</v>
      </c>
      <c r="H1852" s="121">
        <v>200000000</v>
      </c>
      <c r="I1852" s="261" t="s">
        <v>915</v>
      </c>
      <c r="J1852" s="37">
        <f t="shared" si="110"/>
        <v>108683362.55276799</v>
      </c>
      <c r="K1852" s="37">
        <f t="shared" si="111"/>
        <v>945777346.81339192</v>
      </c>
      <c r="L1852" s="39"/>
      <c r="M1852" s="40"/>
      <c r="N1852" s="40"/>
      <c r="O1852" s="41"/>
    </row>
    <row r="1853" spans="1:15" s="7" customFormat="1" ht="18.75">
      <c r="A1853" s="56"/>
      <c r="B1853" s="30"/>
      <c r="C1853" s="111" t="s">
        <v>248</v>
      </c>
      <c r="D1853" s="103" t="s">
        <v>621</v>
      </c>
      <c r="E1853" s="44"/>
      <c r="F1853" s="104">
        <v>320694454.18237501</v>
      </c>
      <c r="G1853" s="105" t="s">
        <v>649</v>
      </c>
      <c r="H1853" s="121">
        <v>250000000</v>
      </c>
      <c r="I1853" s="261" t="s">
        <v>1257</v>
      </c>
      <c r="J1853" s="37">
        <f t="shared" si="110"/>
        <v>70694454.182375014</v>
      </c>
      <c r="K1853" s="37">
        <f t="shared" si="111"/>
        <v>1054460709.3661599</v>
      </c>
      <c r="L1853" s="39"/>
      <c r="M1853" s="40"/>
      <c r="N1853" s="40"/>
      <c r="O1853" s="41"/>
    </row>
    <row r="1854" spans="1:15" s="7" customFormat="1" ht="18.75">
      <c r="A1854" s="56"/>
      <c r="B1854" s="30"/>
      <c r="C1854" s="111" t="s">
        <v>250</v>
      </c>
      <c r="D1854" s="103" t="s">
        <v>202</v>
      </c>
      <c r="E1854" s="44"/>
      <c r="F1854" s="149">
        <v>285503011.37</v>
      </c>
      <c r="G1854" s="105" t="s">
        <v>651</v>
      </c>
      <c r="H1854" s="121">
        <f>200000000+100000000</f>
        <v>300000000</v>
      </c>
      <c r="I1854" s="261" t="s">
        <v>1534</v>
      </c>
      <c r="J1854" s="37">
        <f t="shared" si="110"/>
        <v>-14496988.629999995</v>
      </c>
      <c r="K1854" s="37">
        <f t="shared" si="111"/>
        <v>1125155163.5485349</v>
      </c>
      <c r="L1854" s="39"/>
      <c r="M1854" s="40"/>
      <c r="N1854" s="40"/>
      <c r="O1854" s="41"/>
    </row>
    <row r="1855" spans="1:15" s="7" customFormat="1" ht="18.75">
      <c r="A1855" s="56"/>
      <c r="B1855" s="30"/>
      <c r="C1855" s="111" t="s">
        <v>139</v>
      </c>
      <c r="D1855" s="103" t="s">
        <v>204</v>
      </c>
      <c r="E1855" s="44"/>
      <c r="F1855" s="149">
        <v>286104745.74000001</v>
      </c>
      <c r="G1855" s="105" t="s">
        <v>364</v>
      </c>
      <c r="H1855" s="121">
        <v>250000000</v>
      </c>
      <c r="I1855" s="272" t="s">
        <v>1535</v>
      </c>
      <c r="J1855" s="37">
        <f t="shared" si="110"/>
        <v>36104745.74000001</v>
      </c>
      <c r="K1855" s="37">
        <f t="shared" si="111"/>
        <v>1110658174.9185348</v>
      </c>
      <c r="L1855" s="39"/>
      <c r="M1855" s="40"/>
      <c r="N1855" s="40"/>
      <c r="O1855" s="41"/>
    </row>
    <row r="1856" spans="1:15" s="7" customFormat="1" ht="18.75">
      <c r="A1856" s="56"/>
      <c r="B1856" s="30"/>
      <c r="C1856" s="62" t="s">
        <v>142</v>
      </c>
      <c r="D1856" s="103" t="s">
        <v>208</v>
      </c>
      <c r="E1856" s="44"/>
      <c r="F1856" s="149">
        <v>293152802.45600998</v>
      </c>
      <c r="G1856" s="105"/>
      <c r="H1856" s="121">
        <v>300000000</v>
      </c>
      <c r="I1856" s="275" t="s">
        <v>1536</v>
      </c>
      <c r="J1856" s="37">
        <f t="shared" si="110"/>
        <v>-6847197.543990016</v>
      </c>
      <c r="K1856" s="37">
        <f t="shared" si="111"/>
        <v>1146762920.6585348</v>
      </c>
      <c r="L1856" s="39"/>
      <c r="M1856" s="40"/>
      <c r="N1856" s="40"/>
      <c r="O1856" s="41"/>
    </row>
    <row r="1857" spans="1:15" s="7" customFormat="1" ht="18.75">
      <c r="A1857" s="56"/>
      <c r="B1857" s="30"/>
      <c r="C1857" s="62" t="s">
        <v>145</v>
      </c>
      <c r="D1857" s="103" t="s">
        <v>52</v>
      </c>
      <c r="E1857" s="44"/>
      <c r="F1857" s="149">
        <v>264826450.61880001</v>
      </c>
      <c r="G1857" s="105" t="s">
        <v>579</v>
      </c>
      <c r="H1857" s="121">
        <v>300000000</v>
      </c>
      <c r="I1857" s="276" t="s">
        <v>1535</v>
      </c>
      <c r="J1857" s="37">
        <f t="shared" si="110"/>
        <v>-35173549.381199986</v>
      </c>
      <c r="K1857" s="37">
        <f t="shared" si="111"/>
        <v>1139915723.1145449</v>
      </c>
      <c r="L1857" s="39"/>
      <c r="M1857" s="40"/>
      <c r="N1857" s="40"/>
      <c r="O1857" s="41"/>
    </row>
    <row r="1858" spans="1:15" s="7" customFormat="1" ht="18.75">
      <c r="A1858" s="56"/>
      <c r="B1858" s="30"/>
      <c r="C1858" s="62" t="s">
        <v>148</v>
      </c>
      <c r="D1858" s="103" t="s">
        <v>215</v>
      </c>
      <c r="E1858" s="44"/>
      <c r="F1858" s="149">
        <v>293296534.64328003</v>
      </c>
      <c r="G1858" s="105" t="s">
        <v>918</v>
      </c>
      <c r="H1858" s="121">
        <v>250000000</v>
      </c>
      <c r="I1858" s="277" t="s">
        <v>365</v>
      </c>
      <c r="J1858" s="37">
        <f t="shared" si="110"/>
        <v>43296534.643280029</v>
      </c>
      <c r="K1858" s="37">
        <f t="shared" si="111"/>
        <v>1104742173.7333448</v>
      </c>
      <c r="L1858" s="39"/>
      <c r="M1858" s="40"/>
      <c r="N1858" s="40"/>
      <c r="O1858" s="41"/>
    </row>
    <row r="1859" spans="1:15" s="7" customFormat="1" ht="18.75">
      <c r="A1859" s="56"/>
      <c r="B1859" s="158"/>
      <c r="C1859" s="31" t="s">
        <v>151</v>
      </c>
      <c r="D1859" s="32" t="s">
        <v>65</v>
      </c>
      <c r="E1859" s="44"/>
      <c r="F1859" s="95">
        <v>283788990.8847</v>
      </c>
      <c r="G1859" s="35" t="s">
        <v>152</v>
      </c>
      <c r="H1859" s="121">
        <v>300000000</v>
      </c>
      <c r="I1859" s="125" t="s">
        <v>261</v>
      </c>
      <c r="J1859" s="37">
        <f t="shared" si="110"/>
        <v>-16211009.1153</v>
      </c>
      <c r="K1859" s="37">
        <f t="shared" si="111"/>
        <v>1148038708.3766248</v>
      </c>
      <c r="L1859" s="39"/>
      <c r="M1859" s="40"/>
      <c r="N1859" s="40"/>
      <c r="O1859" s="41"/>
    </row>
    <row r="1860" spans="1:15" s="7" customFormat="1" ht="18.75">
      <c r="A1860" s="278"/>
      <c r="B1860" s="134"/>
      <c r="C1860" s="102" t="s">
        <v>154</v>
      </c>
      <c r="D1860" s="279" t="s">
        <v>71</v>
      </c>
      <c r="E1860" s="44"/>
      <c r="F1860" s="95">
        <v>308647532.24820894</v>
      </c>
      <c r="G1860" s="102" t="s">
        <v>156</v>
      </c>
      <c r="H1860" s="121">
        <v>300000000</v>
      </c>
      <c r="I1860" s="125" t="s">
        <v>1537</v>
      </c>
      <c r="J1860" s="37">
        <f t="shared" si="110"/>
        <v>8647532.24820894</v>
      </c>
      <c r="K1860" s="37">
        <f t="shared" si="111"/>
        <v>1131827699.2613249</v>
      </c>
      <c r="L1860" s="148"/>
      <c r="M1860" s="134"/>
      <c r="N1860" s="134"/>
      <c r="O1860" s="134"/>
    </row>
    <row r="1861" spans="1:15" s="7" customFormat="1" ht="18.75">
      <c r="A1861" s="278"/>
      <c r="B1861" s="134"/>
      <c r="C1861" s="62" t="s">
        <v>158</v>
      </c>
      <c r="D1861" s="103" t="s">
        <v>26</v>
      </c>
      <c r="E1861" s="44"/>
      <c r="F1861" s="149">
        <v>292253625.86316746</v>
      </c>
      <c r="G1861" s="105" t="s">
        <v>160</v>
      </c>
      <c r="H1861" s="121">
        <v>350000000</v>
      </c>
      <c r="I1861" s="125" t="s">
        <v>834</v>
      </c>
      <c r="J1861" s="37">
        <f t="shared" si="110"/>
        <v>-57746374.136832535</v>
      </c>
      <c r="K1861" s="37">
        <f t="shared" si="111"/>
        <v>1140475231.5095339</v>
      </c>
      <c r="L1861" s="148"/>
      <c r="M1861" s="134"/>
      <c r="N1861" s="134"/>
      <c r="O1861" s="134"/>
    </row>
    <row r="1862" spans="1:15" s="7" customFormat="1" ht="18.75">
      <c r="A1862" s="278"/>
      <c r="B1862" s="134"/>
      <c r="C1862" s="62" t="s">
        <v>162</v>
      </c>
      <c r="D1862" s="103" t="s">
        <v>223</v>
      </c>
      <c r="E1862" s="44"/>
      <c r="F1862" s="149">
        <v>285073222.85205752</v>
      </c>
      <c r="G1862" s="280" t="s">
        <v>164</v>
      </c>
      <c r="H1862" s="121">
        <v>300000000</v>
      </c>
      <c r="I1862" s="125" t="s">
        <v>527</v>
      </c>
      <c r="J1862" s="37">
        <f t="shared" si="110"/>
        <v>-14926777.147942483</v>
      </c>
      <c r="K1862" s="37">
        <f t="shared" si="111"/>
        <v>1082728857.3727014</v>
      </c>
      <c r="L1862" s="148"/>
      <c r="M1862" s="134"/>
      <c r="N1862" s="134"/>
      <c r="O1862" s="134"/>
    </row>
    <row r="1863" spans="1:15" s="7" customFormat="1" ht="18.75">
      <c r="A1863" s="278"/>
      <c r="B1863" s="134"/>
      <c r="C1863" s="62" t="s">
        <v>166</v>
      </c>
      <c r="D1863" s="103" t="s">
        <v>367</v>
      </c>
      <c r="E1863" s="44"/>
      <c r="F1863" s="149">
        <v>287693605.92574352</v>
      </c>
      <c r="G1863" s="280" t="s">
        <v>168</v>
      </c>
      <c r="H1863" s="121">
        <v>300000000</v>
      </c>
      <c r="I1863" s="125" t="s">
        <v>269</v>
      </c>
      <c r="J1863" s="37">
        <f t="shared" si="110"/>
        <v>-12306394.07425648</v>
      </c>
      <c r="K1863" s="37">
        <f t="shared" si="111"/>
        <v>1067802080.2247589</v>
      </c>
      <c r="L1863" s="148"/>
      <c r="M1863" s="134"/>
      <c r="N1863" s="134"/>
      <c r="O1863" s="134"/>
    </row>
    <row r="1864" spans="1:15" s="7" customFormat="1" ht="18.75">
      <c r="A1864" s="278"/>
      <c r="B1864" s="134"/>
      <c r="C1864" s="62" t="s">
        <v>170</v>
      </c>
      <c r="D1864" s="103" t="s">
        <v>368</v>
      </c>
      <c r="E1864" s="44"/>
      <c r="F1864" s="149">
        <v>301168272.09705597</v>
      </c>
      <c r="G1864" s="280" t="s">
        <v>172</v>
      </c>
      <c r="H1864" s="121">
        <v>300000000</v>
      </c>
      <c r="I1864" s="125" t="s">
        <v>726</v>
      </c>
      <c r="J1864" s="37">
        <f t="shared" si="110"/>
        <v>1168272.0970559716</v>
      </c>
      <c r="K1864" s="37">
        <f t="shared" si="111"/>
        <v>1055495686.1505024</v>
      </c>
      <c r="L1864" s="148"/>
      <c r="M1864" s="134"/>
      <c r="N1864" s="134"/>
      <c r="O1864" s="134"/>
    </row>
    <row r="1865" spans="1:15" s="7" customFormat="1" ht="18.75">
      <c r="A1865" s="278"/>
      <c r="B1865" s="134"/>
      <c r="C1865" s="62" t="s">
        <v>174</v>
      </c>
      <c r="D1865" s="103" t="s">
        <v>370</v>
      </c>
      <c r="E1865" s="44"/>
      <c r="F1865" s="149">
        <v>312062559.44900399</v>
      </c>
      <c r="G1865" s="134" t="s">
        <v>176</v>
      </c>
      <c r="H1865" s="121">
        <v>300000000</v>
      </c>
      <c r="I1865" s="125" t="s">
        <v>656</v>
      </c>
      <c r="J1865" s="37">
        <f t="shared" si="110"/>
        <v>12062559.449003994</v>
      </c>
      <c r="K1865" s="37">
        <f t="shared" si="111"/>
        <v>1056663958.2475584</v>
      </c>
      <c r="L1865" s="148"/>
      <c r="M1865" s="134"/>
      <c r="N1865" s="134"/>
      <c r="O1865" s="134"/>
    </row>
    <row r="1866" spans="1:15" s="7" customFormat="1" ht="18.75">
      <c r="A1866" s="278"/>
      <c r="B1866" s="134"/>
      <c r="C1866" s="62" t="s">
        <v>178</v>
      </c>
      <c r="D1866" s="103" t="s">
        <v>371</v>
      </c>
      <c r="E1866" s="44"/>
      <c r="F1866" s="149">
        <v>300294568.37390846</v>
      </c>
      <c r="G1866" s="134" t="s">
        <v>179</v>
      </c>
      <c r="H1866" s="121">
        <v>300000000</v>
      </c>
      <c r="I1866" s="125" t="s">
        <v>1538</v>
      </c>
      <c r="J1866" s="37">
        <f t="shared" si="110"/>
        <v>294568.37390846014</v>
      </c>
      <c r="K1866" s="37">
        <f t="shared" si="111"/>
        <v>1068726517.6965623</v>
      </c>
      <c r="L1866" s="148"/>
      <c r="M1866" s="134"/>
      <c r="N1866" s="134"/>
      <c r="O1866" s="134"/>
    </row>
    <row r="1867" spans="1:15" s="7" customFormat="1" ht="18.75">
      <c r="A1867" s="278"/>
      <c r="B1867" s="134"/>
      <c r="C1867" s="62" t="s">
        <v>181</v>
      </c>
      <c r="D1867" s="103" t="s">
        <v>372</v>
      </c>
      <c r="E1867" s="44"/>
      <c r="F1867" s="149">
        <v>297580330.84172398</v>
      </c>
      <c r="G1867" s="134" t="s">
        <v>183</v>
      </c>
      <c r="H1867" s="121">
        <f>500000000+300000000</f>
        <v>800000000</v>
      </c>
      <c r="I1867" s="125" t="s">
        <v>1263</v>
      </c>
      <c r="J1867" s="37">
        <f t="shared" si="110"/>
        <v>-502419669.15827602</v>
      </c>
      <c r="K1867" s="37">
        <f t="shared" si="111"/>
        <v>1069021086.0704708</v>
      </c>
      <c r="L1867" s="148"/>
      <c r="M1867" s="134"/>
      <c r="N1867" s="134"/>
      <c r="O1867" s="134"/>
    </row>
    <row r="1868" spans="1:15" s="7" customFormat="1" ht="18.75">
      <c r="A1868" s="278"/>
      <c r="B1868" s="134"/>
      <c r="C1868" s="62" t="s">
        <v>185</v>
      </c>
      <c r="D1868" s="103" t="s">
        <v>373</v>
      </c>
      <c r="E1868" s="44"/>
      <c r="F1868" s="149">
        <v>286489506.35579407</v>
      </c>
      <c r="G1868" s="134" t="s">
        <v>730</v>
      </c>
      <c r="H1868" s="121">
        <v>300000000</v>
      </c>
      <c r="I1868" s="125" t="s">
        <v>1226</v>
      </c>
      <c r="J1868" s="37">
        <f t="shared" si="110"/>
        <v>-13510493.644205928</v>
      </c>
      <c r="K1868" s="37">
        <f t="shared" si="111"/>
        <v>566601416.91219473</v>
      </c>
      <c r="L1868" s="148"/>
      <c r="M1868" s="134"/>
      <c r="N1868" s="134"/>
      <c r="O1868" s="134"/>
    </row>
    <row r="1869" spans="1:15" s="7" customFormat="1" ht="18.75">
      <c r="A1869" s="278"/>
      <c r="B1869" s="134"/>
      <c r="C1869" s="62" t="s">
        <v>189</v>
      </c>
      <c r="D1869" s="103" t="s">
        <v>92</v>
      </c>
      <c r="E1869" s="44"/>
      <c r="F1869" s="149">
        <v>278113144.7927385</v>
      </c>
      <c r="G1869" s="134" t="s">
        <v>377</v>
      </c>
      <c r="H1869" s="121">
        <v>300000000</v>
      </c>
      <c r="I1869" s="125" t="s">
        <v>1539</v>
      </c>
      <c r="J1869" s="37">
        <f t="shared" si="110"/>
        <v>-21886855.207261503</v>
      </c>
      <c r="K1869" s="37">
        <f t="shared" si="111"/>
        <v>553090923.2679888</v>
      </c>
      <c r="L1869" s="148"/>
      <c r="M1869" s="134"/>
      <c r="N1869" s="134"/>
      <c r="O1869" s="134"/>
    </row>
    <row r="1870" spans="1:15" s="7" customFormat="1" ht="18.75">
      <c r="A1870" s="56"/>
      <c r="B1870" s="134"/>
      <c r="C1870" s="62" t="s">
        <v>191</v>
      </c>
      <c r="D1870" s="136" t="s">
        <v>63</v>
      </c>
      <c r="E1870" s="44">
        <v>43986</v>
      </c>
      <c r="F1870" s="89">
        <v>357179129.44345802</v>
      </c>
      <c r="G1870" s="134" t="s">
        <v>193</v>
      </c>
      <c r="H1870" s="159">
        <v>100000000</v>
      </c>
      <c r="I1870" s="125" t="s">
        <v>1504</v>
      </c>
      <c r="J1870" s="37">
        <f t="shared" si="110"/>
        <v>257179129.44345802</v>
      </c>
      <c r="K1870" s="37">
        <f t="shared" si="111"/>
        <v>531204068.0607273</v>
      </c>
      <c r="L1870" s="148"/>
      <c r="M1870" s="134"/>
      <c r="N1870" s="134"/>
      <c r="O1870" s="134"/>
    </row>
    <row r="1871" spans="1:15" s="7" customFormat="1" ht="18.75">
      <c r="A1871" s="56"/>
      <c r="B1871" s="134"/>
      <c r="C1871" s="62" t="s">
        <v>195</v>
      </c>
      <c r="D1871" s="136" t="s">
        <v>374</v>
      </c>
      <c r="E1871" s="44" t="s">
        <v>197</v>
      </c>
      <c r="F1871" s="89">
        <v>295688323.56312901</v>
      </c>
      <c r="G1871" s="134" t="s">
        <v>198</v>
      </c>
      <c r="H1871" s="159">
        <f>50000000+150000000</f>
        <v>200000000</v>
      </c>
      <c r="I1871" s="281" t="s">
        <v>884</v>
      </c>
      <c r="J1871" s="37">
        <f t="shared" si="110"/>
        <v>95688323.563129008</v>
      </c>
      <c r="K1871" s="37">
        <f t="shared" si="111"/>
        <v>788383197.50418532</v>
      </c>
      <c r="L1871" s="148"/>
      <c r="M1871" s="134"/>
      <c r="N1871" s="134"/>
      <c r="O1871" s="134"/>
    </row>
    <row r="1872" spans="1:15" s="7" customFormat="1" ht="18.75">
      <c r="A1872" s="56"/>
      <c r="B1872" s="134"/>
      <c r="C1872" s="62" t="s">
        <v>199</v>
      </c>
      <c r="D1872" s="136" t="s">
        <v>376</v>
      </c>
      <c r="E1872" s="44">
        <v>44049</v>
      </c>
      <c r="F1872" s="89">
        <v>280661057.77374005</v>
      </c>
      <c r="G1872" s="44">
        <v>43897</v>
      </c>
      <c r="H1872" s="159">
        <v>300000000</v>
      </c>
      <c r="I1872" s="281" t="s">
        <v>334</v>
      </c>
      <c r="J1872" s="37">
        <f t="shared" si="110"/>
        <v>-19338942.226259947</v>
      </c>
      <c r="K1872" s="37">
        <f t="shared" si="111"/>
        <v>884071521.06731439</v>
      </c>
      <c r="L1872" s="148"/>
      <c r="M1872" s="134"/>
      <c r="N1872" s="134"/>
      <c r="O1872" s="134"/>
    </row>
    <row r="1873" spans="1:15" s="7" customFormat="1" ht="18.75">
      <c r="A1873" s="56"/>
      <c r="B1873" s="134"/>
      <c r="C1873" s="62" t="s">
        <v>201</v>
      </c>
      <c r="D1873" s="136" t="s">
        <v>54</v>
      </c>
      <c r="E1873" s="44" t="s">
        <v>449</v>
      </c>
      <c r="F1873" s="89">
        <v>278004986.91251999</v>
      </c>
      <c r="G1873" s="44">
        <v>43929</v>
      </c>
      <c r="H1873" s="159">
        <v>300000000</v>
      </c>
      <c r="I1873" s="281" t="s">
        <v>601</v>
      </c>
      <c r="J1873" s="37">
        <f t="shared" si="110"/>
        <v>-21995013.087480009</v>
      </c>
      <c r="K1873" s="37">
        <f t="shared" si="111"/>
        <v>864732578.84105444</v>
      </c>
      <c r="L1873" s="148"/>
      <c r="M1873" s="134"/>
      <c r="N1873" s="134"/>
      <c r="O1873" s="134"/>
    </row>
    <row r="1874" spans="1:15" s="7" customFormat="1" ht="18.75">
      <c r="A1874" s="56"/>
      <c r="B1874" s="134"/>
      <c r="C1874" s="62" t="s">
        <v>203</v>
      </c>
      <c r="D1874" s="136" t="s">
        <v>1540</v>
      </c>
      <c r="E1874" s="44">
        <v>44020</v>
      </c>
      <c r="F1874" s="89">
        <v>323517100.66099203</v>
      </c>
      <c r="G1874" s="44" t="s">
        <v>450</v>
      </c>
      <c r="H1874" s="159">
        <v>300000000</v>
      </c>
      <c r="I1874" s="281" t="s">
        <v>586</v>
      </c>
      <c r="J1874" s="37">
        <f t="shared" si="110"/>
        <v>23517100.660992026</v>
      </c>
      <c r="K1874" s="37">
        <f t="shared" si="111"/>
        <v>842737565.75357437</v>
      </c>
      <c r="L1874" s="148"/>
      <c r="M1874" s="134"/>
      <c r="N1874" s="134"/>
      <c r="O1874" s="134"/>
    </row>
    <row r="1875" spans="1:15" s="7" customFormat="1" ht="18.75">
      <c r="A1875" s="56"/>
      <c r="B1875" s="134"/>
      <c r="C1875" s="62" t="s">
        <v>207</v>
      </c>
      <c r="D1875" s="136" t="s">
        <v>381</v>
      </c>
      <c r="E1875" s="44" t="s">
        <v>292</v>
      </c>
      <c r="F1875" s="89">
        <v>329065138.00313997</v>
      </c>
      <c r="G1875" s="44" t="s">
        <v>293</v>
      </c>
      <c r="H1875" s="159">
        <v>300000000</v>
      </c>
      <c r="I1875" s="281" t="s">
        <v>1336</v>
      </c>
      <c r="J1875" s="37">
        <f t="shared" si="110"/>
        <v>29065138.003139973</v>
      </c>
      <c r="K1875" s="37">
        <f t="shared" si="111"/>
        <v>866254666.4145664</v>
      </c>
      <c r="L1875" s="148"/>
      <c r="M1875" s="134"/>
      <c r="N1875" s="134"/>
      <c r="O1875" s="134"/>
    </row>
    <row r="1876" spans="1:15" s="7" customFormat="1" ht="18.75">
      <c r="A1876" s="56"/>
      <c r="B1876" s="134"/>
      <c r="C1876" s="62" t="s">
        <v>212</v>
      </c>
      <c r="D1876" s="136" t="s">
        <v>383</v>
      </c>
      <c r="E1876" s="44">
        <v>44022</v>
      </c>
      <c r="F1876" s="89">
        <v>340724726.97763503</v>
      </c>
      <c r="G1876" s="44" t="s">
        <v>1541</v>
      </c>
      <c r="H1876" s="159">
        <v>200000000</v>
      </c>
      <c r="I1876" s="281" t="s">
        <v>602</v>
      </c>
      <c r="J1876" s="37">
        <f t="shared" si="110"/>
        <v>140724726.97763503</v>
      </c>
      <c r="K1876" s="37">
        <f t="shared" si="111"/>
        <v>895319804.41770637</v>
      </c>
      <c r="L1876" s="148"/>
      <c r="M1876" s="134"/>
      <c r="N1876" s="134"/>
      <c r="O1876" s="134"/>
    </row>
    <row r="1877" spans="1:15" s="7" customFormat="1" ht="18.75">
      <c r="A1877" s="56"/>
      <c r="B1877" s="134"/>
      <c r="C1877" s="62" t="s">
        <v>214</v>
      </c>
      <c r="D1877" s="136" t="s">
        <v>384</v>
      </c>
      <c r="E1877" s="44">
        <v>43962</v>
      </c>
      <c r="F1877" s="89">
        <v>364514608.828062</v>
      </c>
      <c r="G1877" s="44" t="s">
        <v>216</v>
      </c>
      <c r="H1877" s="159">
        <f>300000000+100000000</f>
        <v>400000000</v>
      </c>
      <c r="I1877" s="281" t="s">
        <v>664</v>
      </c>
      <c r="J1877" s="37">
        <f t="shared" si="110"/>
        <v>-35485391.171938002</v>
      </c>
      <c r="K1877" s="37">
        <f t="shared" si="111"/>
        <v>1036044531.3953414</v>
      </c>
      <c r="L1877" s="148"/>
      <c r="M1877" s="134"/>
      <c r="N1877" s="134"/>
      <c r="O1877" s="134"/>
    </row>
    <row r="1878" spans="1:15" s="7" customFormat="1" ht="18.75">
      <c r="A1878" s="56"/>
      <c r="B1878" s="134"/>
      <c r="C1878" s="62" t="s">
        <v>218</v>
      </c>
      <c r="D1878" s="136" t="s">
        <v>385</v>
      </c>
      <c r="E1878" s="44" t="s">
        <v>387</v>
      </c>
      <c r="F1878" s="89">
        <v>431565753.18745351</v>
      </c>
      <c r="G1878" s="44">
        <v>44531</v>
      </c>
      <c r="H1878" s="159">
        <f>200000000+300000000</f>
        <v>500000000</v>
      </c>
      <c r="I1878" s="281" t="s">
        <v>294</v>
      </c>
      <c r="J1878" s="37">
        <f t="shared" si="110"/>
        <v>-68434246.812546492</v>
      </c>
      <c r="K1878" s="37">
        <f t="shared" si="111"/>
        <v>1000559140.2234035</v>
      </c>
      <c r="L1878" s="148"/>
      <c r="M1878" s="134"/>
      <c r="N1878" s="134"/>
      <c r="O1878" s="134"/>
    </row>
    <row r="1879" spans="1:15" s="7" customFormat="1" ht="18.75">
      <c r="A1879" s="56"/>
      <c r="B1879" s="134"/>
      <c r="C1879" s="62" t="s">
        <v>219</v>
      </c>
      <c r="D1879" s="136" t="s">
        <v>386</v>
      </c>
      <c r="E1879" s="44">
        <v>44409</v>
      </c>
      <c r="F1879" s="89">
        <v>459912146.75787151</v>
      </c>
      <c r="G1879" s="44" t="s">
        <v>220</v>
      </c>
      <c r="H1879" s="159">
        <v>400000000</v>
      </c>
      <c r="I1879" s="281" t="s">
        <v>1542</v>
      </c>
      <c r="J1879" s="37">
        <f t="shared" si="110"/>
        <v>59912146.757871509</v>
      </c>
      <c r="K1879" s="37">
        <f t="shared" si="111"/>
        <v>932124893.41085696</v>
      </c>
      <c r="L1879" s="47"/>
      <c r="M1879" s="76"/>
      <c r="N1879" s="134"/>
      <c r="O1879" s="134"/>
    </row>
    <row r="1880" spans="1:15" s="7" customFormat="1" ht="18.75">
      <c r="A1880" s="56"/>
      <c r="B1880" s="134"/>
      <c r="C1880" s="62" t="s">
        <v>221</v>
      </c>
      <c r="D1880" s="136" t="s">
        <v>388</v>
      </c>
      <c r="E1880" s="44">
        <v>44441</v>
      </c>
      <c r="F1880" s="89">
        <v>388393932.37698895</v>
      </c>
      <c r="G1880" s="44" t="s">
        <v>93</v>
      </c>
      <c r="H1880" s="47">
        <f>100000000+200000000+100000000</f>
        <v>400000000</v>
      </c>
      <c r="I1880" s="76" t="s">
        <v>389</v>
      </c>
      <c r="J1880" s="37">
        <f t="shared" si="110"/>
        <v>-11606067.623011053</v>
      </c>
      <c r="K1880" s="37">
        <f t="shared" si="111"/>
        <v>992037040.16872847</v>
      </c>
      <c r="L1880" s="47"/>
      <c r="M1880" s="76"/>
      <c r="N1880" s="134"/>
      <c r="O1880" s="134"/>
    </row>
    <row r="1881" spans="1:15" s="7" customFormat="1" ht="18.75">
      <c r="A1881" s="56"/>
      <c r="B1881" s="134"/>
      <c r="C1881" s="62" t="s">
        <v>222</v>
      </c>
      <c r="D1881" s="136" t="s">
        <v>388</v>
      </c>
      <c r="E1881" s="44">
        <v>44319</v>
      </c>
      <c r="F1881" s="89">
        <v>319349434.80928952</v>
      </c>
      <c r="G1881" s="44" t="s">
        <v>224</v>
      </c>
      <c r="H1881" s="47">
        <f>150000000+150000000</f>
        <v>300000000</v>
      </c>
      <c r="I1881" s="76" t="s">
        <v>605</v>
      </c>
      <c r="J1881" s="37">
        <f t="shared" si="110"/>
        <v>19349434.809289515</v>
      </c>
      <c r="K1881" s="37">
        <f t="shared" si="111"/>
        <v>980430972.54571748</v>
      </c>
      <c r="L1881" s="47"/>
      <c r="M1881" s="76"/>
      <c r="N1881" s="134"/>
      <c r="O1881" s="134"/>
    </row>
    <row r="1882" spans="1:15" s="7" customFormat="1" ht="18.75">
      <c r="A1882" s="56"/>
      <c r="B1882" s="134"/>
      <c r="C1882" s="62"/>
      <c r="D1882" s="136"/>
      <c r="E1882" s="44"/>
      <c r="F1882" s="89"/>
      <c r="G1882" s="44"/>
      <c r="H1882" s="47">
        <v>200000000</v>
      </c>
      <c r="I1882" s="76" t="s">
        <v>1453</v>
      </c>
      <c r="J1882" s="37">
        <f>F1882-H1882</f>
        <v>-200000000</v>
      </c>
      <c r="K1882" s="37">
        <f t="shared" si="111"/>
        <v>999780407.35500693</v>
      </c>
      <c r="L1882" s="47"/>
      <c r="M1882" s="76"/>
      <c r="N1882" s="134"/>
      <c r="O1882" s="134"/>
    </row>
    <row r="1883" spans="1:15" s="7" customFormat="1" ht="18.75">
      <c r="A1883" s="30"/>
      <c r="B1883" s="30" t="s">
        <v>1543</v>
      </c>
      <c r="C1883" s="31"/>
      <c r="D1883" s="32"/>
      <c r="E1883" s="44"/>
      <c r="F1883" s="78">
        <v>92037040.168728501</v>
      </c>
      <c r="G1883" s="44"/>
      <c r="H1883" s="54"/>
      <c r="I1883" s="201"/>
      <c r="K1883" s="38">
        <f t="shared" si="111"/>
        <v>799780407.35500693</v>
      </c>
      <c r="L1883" s="39"/>
      <c r="M1883" s="40"/>
      <c r="N1883" s="40"/>
      <c r="O1883" s="41"/>
    </row>
    <row r="1884" spans="1:15" s="7" customFormat="1" ht="18.75">
      <c r="A1884" s="30"/>
      <c r="B1884" s="30"/>
      <c r="C1884" s="31"/>
      <c r="D1884" s="32"/>
      <c r="E1884" s="44"/>
      <c r="F1884" s="53"/>
      <c r="G1884" s="202"/>
      <c r="H1884" s="159"/>
      <c r="I1884" s="201"/>
      <c r="J1884" s="37">
        <f>J1870+J1871+J1874+J1875+J1876+J1881+J1879+J1865+J1864+J1860+J1858+J1855</f>
        <v>726715644.39306402</v>
      </c>
      <c r="K1884" s="38"/>
      <c r="L1884" s="39"/>
      <c r="M1884" s="40"/>
      <c r="N1884" s="40"/>
      <c r="O1884" s="41"/>
    </row>
    <row r="1885" spans="1:15" s="7" customFormat="1" ht="18.75">
      <c r="A1885" s="282">
        <v>48</v>
      </c>
      <c r="B1885" s="30" t="s">
        <v>101</v>
      </c>
      <c r="D1885" s="51"/>
      <c r="E1885" s="44"/>
      <c r="F1885" s="53"/>
      <c r="G1885" s="160"/>
      <c r="H1885" s="54"/>
      <c r="L1885" s="55"/>
    </row>
    <row r="1886" spans="1:15" s="7" customFormat="1" ht="18.75">
      <c r="A1886" s="282"/>
      <c r="B1886" s="30"/>
      <c r="D1886" s="51"/>
      <c r="E1886" s="44"/>
      <c r="F1886" s="53"/>
      <c r="G1886" s="160"/>
      <c r="H1886" s="54"/>
      <c r="L1886" s="55"/>
    </row>
    <row r="1887" spans="1:15" s="7" customFormat="1" ht="18.75">
      <c r="A1887" s="30"/>
      <c r="B1887" s="30"/>
      <c r="D1887" s="51"/>
      <c r="E1887" s="44"/>
      <c r="F1887" s="53"/>
      <c r="G1887" s="160"/>
      <c r="H1887" s="54"/>
      <c r="L1887" s="55"/>
      <c r="O1887" s="41"/>
    </row>
    <row r="1888" spans="1:15" s="7" customFormat="1" ht="18.75">
      <c r="A1888" s="30"/>
      <c r="B1888" s="30" t="s">
        <v>1544</v>
      </c>
      <c r="D1888" s="51"/>
      <c r="E1888" s="44"/>
      <c r="F1888" s="53"/>
      <c r="G1888" s="160"/>
      <c r="H1888" s="54"/>
      <c r="L1888" s="55"/>
      <c r="O1888" s="41"/>
    </row>
    <row r="1889" spans="1:15" s="7" customFormat="1" ht="18.75">
      <c r="A1889" s="30"/>
      <c r="B1889" s="46"/>
      <c r="D1889" s="160"/>
      <c r="E1889" s="44"/>
      <c r="F1889" s="53"/>
      <c r="G1889" s="160"/>
      <c r="H1889" s="54"/>
      <c r="L1889" s="55"/>
      <c r="O1889" s="41"/>
    </row>
    <row r="1890" spans="1:15" s="7" customFormat="1" ht="18.75">
      <c r="A1890" s="56">
        <v>49</v>
      </c>
      <c r="B1890" s="46" t="s">
        <v>1545</v>
      </c>
      <c r="C1890" s="31" t="s">
        <v>178</v>
      </c>
      <c r="D1890" s="45" t="s">
        <v>1546</v>
      </c>
      <c r="E1890" s="44"/>
      <c r="F1890" s="34">
        <v>2639269.4290704001</v>
      </c>
      <c r="G1890" s="35" t="s">
        <v>179</v>
      </c>
      <c r="H1890" s="36">
        <v>2639269.4290704001</v>
      </c>
      <c r="I1890" s="35" t="s">
        <v>1148</v>
      </c>
      <c r="J1890" s="37">
        <f>F1890-H1890</f>
        <v>0</v>
      </c>
      <c r="K1890" s="37">
        <v>0</v>
      </c>
      <c r="L1890" s="39"/>
      <c r="M1890" s="40"/>
      <c r="N1890" s="40"/>
      <c r="O1890" s="41"/>
    </row>
    <row r="1891" spans="1:15" s="7" customFormat="1" ht="18.75">
      <c r="A1891" s="56"/>
      <c r="B1891" s="46"/>
      <c r="C1891" s="31" t="s">
        <v>181</v>
      </c>
      <c r="D1891" s="45" t="s">
        <v>1547</v>
      </c>
      <c r="E1891" s="44"/>
      <c r="F1891" s="34">
        <v>6277380.6503820298</v>
      </c>
      <c r="G1891" s="35" t="s">
        <v>183</v>
      </c>
      <c r="H1891" s="36">
        <v>6277380.6500000004</v>
      </c>
      <c r="I1891" s="35" t="s">
        <v>845</v>
      </c>
      <c r="J1891" s="37">
        <f>F1891-H1891</f>
        <v>3.820294514298439E-4</v>
      </c>
      <c r="K1891" s="37">
        <f>J1890+K1890</f>
        <v>0</v>
      </c>
      <c r="L1891" s="39"/>
      <c r="M1891" s="40"/>
      <c r="N1891" s="40"/>
      <c r="O1891" s="41"/>
    </row>
    <row r="1892" spans="1:15" s="7" customFormat="1" ht="18.75">
      <c r="A1892" s="56"/>
      <c r="B1892" s="46"/>
      <c r="C1892" s="31" t="s">
        <v>185</v>
      </c>
      <c r="D1892" s="45" t="s">
        <v>1548</v>
      </c>
      <c r="E1892" s="44"/>
      <c r="F1892" s="34">
        <v>14621744.2070364</v>
      </c>
      <c r="G1892" s="35" t="s">
        <v>187</v>
      </c>
      <c r="H1892" s="36">
        <v>14621744.2070364</v>
      </c>
      <c r="I1892" s="35" t="s">
        <v>660</v>
      </c>
      <c r="J1892" s="37">
        <f>F1892-H1892</f>
        <v>0</v>
      </c>
      <c r="K1892" s="37">
        <f>J1891+K1891</f>
        <v>3.820294514298439E-4</v>
      </c>
      <c r="L1892" s="39"/>
      <c r="M1892" s="40"/>
      <c r="N1892" s="40"/>
      <c r="O1892" s="41"/>
    </row>
    <row r="1893" spans="1:15" s="7" customFormat="1" ht="18.75">
      <c r="A1893" s="56"/>
      <c r="B1893" s="46"/>
      <c r="C1893" s="31" t="s">
        <v>189</v>
      </c>
      <c r="D1893" s="45" t="s">
        <v>1549</v>
      </c>
      <c r="E1893" s="44"/>
      <c r="F1893" s="34">
        <v>16389486.166231342</v>
      </c>
      <c r="G1893" s="35" t="s">
        <v>190</v>
      </c>
      <c r="H1893" s="36">
        <v>16389486.166231301</v>
      </c>
      <c r="I1893" s="35" t="s">
        <v>282</v>
      </c>
      <c r="J1893" s="37">
        <f t="shared" ref="J1893:J1906" si="112">F1893-H1893</f>
        <v>4.0978193283081055E-8</v>
      </c>
      <c r="K1893" s="37">
        <f t="shared" ref="K1893:K1907" si="113">J1892+K1892</f>
        <v>3.820294514298439E-4</v>
      </c>
      <c r="L1893" s="39"/>
      <c r="M1893" s="40"/>
      <c r="N1893" s="40"/>
      <c r="O1893" s="41"/>
    </row>
    <row r="1894" spans="1:15" s="7" customFormat="1" ht="18.75">
      <c r="A1894" s="56"/>
      <c r="B1894" s="46"/>
      <c r="C1894" s="31" t="s">
        <v>191</v>
      </c>
      <c r="D1894" s="45" t="s">
        <v>124</v>
      </c>
      <c r="E1894" s="44">
        <v>43986</v>
      </c>
      <c r="F1894" s="34">
        <v>18521917.801497705</v>
      </c>
      <c r="G1894" s="35" t="s">
        <v>193</v>
      </c>
      <c r="H1894" s="36">
        <v>18521917.800000001</v>
      </c>
      <c r="I1894" s="35" t="s">
        <v>1140</v>
      </c>
      <c r="J1894" s="37">
        <f t="shared" si="112"/>
        <v>1.4977045357227325E-3</v>
      </c>
      <c r="K1894" s="37">
        <f t="shared" si="113"/>
        <v>3.8207042962312698E-4</v>
      </c>
      <c r="L1894" s="39"/>
      <c r="M1894" s="40"/>
      <c r="N1894" s="40"/>
      <c r="O1894" s="41"/>
    </row>
    <row r="1895" spans="1:15" s="7" customFormat="1" ht="18.75">
      <c r="A1895" s="56"/>
      <c r="B1895" s="46"/>
      <c r="C1895" s="31" t="s">
        <v>195</v>
      </c>
      <c r="D1895" s="45" t="s">
        <v>155</v>
      </c>
      <c r="E1895" s="44" t="s">
        <v>197</v>
      </c>
      <c r="F1895" s="34">
        <v>5097527.2321220106</v>
      </c>
      <c r="G1895" s="35" t="s">
        <v>198</v>
      </c>
      <c r="H1895" s="36">
        <v>5097527.2300000004</v>
      </c>
      <c r="I1895" s="35" t="s">
        <v>1550</v>
      </c>
      <c r="J1895" s="37">
        <f t="shared" si="112"/>
        <v>2.1220101043581963E-3</v>
      </c>
      <c r="K1895" s="37">
        <f t="shared" si="113"/>
        <v>1.8797749653458595E-3</v>
      </c>
      <c r="L1895" s="39"/>
      <c r="M1895" s="40"/>
      <c r="N1895" s="40"/>
      <c r="O1895" s="41"/>
    </row>
    <row r="1896" spans="1:15" s="7" customFormat="1" ht="18.75">
      <c r="A1896" s="56"/>
      <c r="B1896" s="46"/>
      <c r="C1896" s="31" t="s">
        <v>199</v>
      </c>
      <c r="D1896" s="45" t="s">
        <v>159</v>
      </c>
      <c r="E1896" s="44">
        <v>44049</v>
      </c>
      <c r="F1896" s="34">
        <v>13939782.829728002</v>
      </c>
      <c r="G1896" s="44">
        <v>43897</v>
      </c>
      <c r="H1896" s="36">
        <v>13939782.83</v>
      </c>
      <c r="I1896" s="35" t="s">
        <v>1551</v>
      </c>
      <c r="J1896" s="37">
        <f t="shared" si="112"/>
        <v>-2.7199834585189819E-4</v>
      </c>
      <c r="K1896" s="37">
        <f t="shared" si="113"/>
        <v>4.0017850697040558E-3</v>
      </c>
      <c r="L1896" s="39"/>
      <c r="M1896" s="40"/>
      <c r="N1896" s="40"/>
      <c r="O1896" s="41"/>
    </row>
    <row r="1897" spans="1:15" s="7" customFormat="1" ht="18.75">
      <c r="A1897" s="56"/>
      <c r="B1897" s="46"/>
      <c r="C1897" s="31" t="s">
        <v>201</v>
      </c>
      <c r="D1897" s="45" t="s">
        <v>163</v>
      </c>
      <c r="E1897" s="44">
        <v>44081</v>
      </c>
      <c r="F1897" s="34">
        <v>22723245.064476598</v>
      </c>
      <c r="G1897" s="44">
        <v>44020</v>
      </c>
      <c r="H1897" s="36">
        <v>22723245.059999999</v>
      </c>
      <c r="I1897" s="44">
        <v>43898</v>
      </c>
      <c r="J1897" s="37">
        <f t="shared" si="112"/>
        <v>4.476599395275116E-3</v>
      </c>
      <c r="K1897" s="37">
        <f t="shared" si="113"/>
        <v>3.7297867238521576E-3</v>
      </c>
      <c r="L1897" s="39"/>
      <c r="M1897" s="40"/>
      <c r="N1897" s="40"/>
      <c r="O1897" s="41"/>
    </row>
    <row r="1898" spans="1:15" s="7" customFormat="1" ht="18.75">
      <c r="A1898" s="56"/>
      <c r="B1898" s="46"/>
      <c r="C1898" s="31" t="s">
        <v>203</v>
      </c>
      <c r="D1898" s="45" t="s">
        <v>167</v>
      </c>
      <c r="E1898" s="44">
        <v>43990</v>
      </c>
      <c r="F1898" s="34">
        <v>21066691.198146239</v>
      </c>
      <c r="G1898" s="44" t="s">
        <v>290</v>
      </c>
      <c r="H1898" s="36">
        <v>21066691.198146239</v>
      </c>
      <c r="I1898" s="35" t="s">
        <v>1552</v>
      </c>
      <c r="J1898" s="37">
        <f t="shared" si="112"/>
        <v>0</v>
      </c>
      <c r="K1898" s="37">
        <f t="shared" si="113"/>
        <v>8.2063861191272736E-3</v>
      </c>
      <c r="L1898" s="39"/>
      <c r="M1898" s="40"/>
      <c r="N1898" s="40"/>
      <c r="O1898" s="41"/>
    </row>
    <row r="1899" spans="1:15" s="7" customFormat="1" ht="18.75">
      <c r="A1899" s="56"/>
      <c r="B1899" s="46"/>
      <c r="C1899" s="31" t="s">
        <v>207</v>
      </c>
      <c r="D1899" s="45" t="s">
        <v>171</v>
      </c>
      <c r="E1899" s="44" t="s">
        <v>209</v>
      </c>
      <c r="F1899" s="34">
        <v>22339526.112051699</v>
      </c>
      <c r="G1899" s="44" t="s">
        <v>210</v>
      </c>
      <c r="H1899" s="36">
        <v>22339526.109999999</v>
      </c>
      <c r="I1899" s="35" t="s">
        <v>903</v>
      </c>
      <c r="J1899" s="37">
        <f t="shared" si="112"/>
        <v>2.0516999065876007E-3</v>
      </c>
      <c r="K1899" s="37">
        <f t="shared" si="113"/>
        <v>8.2063861191272736E-3</v>
      </c>
      <c r="L1899" s="39"/>
      <c r="M1899" s="40"/>
      <c r="N1899" s="40"/>
      <c r="O1899" s="41"/>
    </row>
    <row r="1900" spans="1:15" s="7" customFormat="1" ht="18.75">
      <c r="A1900" s="56"/>
      <c r="B1900" s="46"/>
      <c r="C1900" s="31" t="s">
        <v>212</v>
      </c>
      <c r="D1900" s="45" t="s">
        <v>175</v>
      </c>
      <c r="E1900" s="44">
        <v>44084</v>
      </c>
      <c r="F1900" s="34">
        <v>23139025.65885422</v>
      </c>
      <c r="G1900" s="44" t="s">
        <v>213</v>
      </c>
      <c r="H1900" s="36">
        <v>23139025.66</v>
      </c>
      <c r="I1900" s="35" t="s">
        <v>602</v>
      </c>
      <c r="J1900" s="37">
        <f t="shared" si="112"/>
        <v>-1.145780086517334E-3</v>
      </c>
      <c r="K1900" s="37">
        <f t="shared" si="113"/>
        <v>1.0258086025714874E-2</v>
      </c>
      <c r="L1900" s="39"/>
      <c r="M1900" s="40"/>
      <c r="N1900" s="40"/>
      <c r="O1900" s="41"/>
    </row>
    <row r="1901" spans="1:15" s="7" customFormat="1" ht="18.75">
      <c r="A1901" s="56"/>
      <c r="B1901" s="46"/>
      <c r="C1901" s="31" t="s">
        <v>214</v>
      </c>
      <c r="D1901" s="45" t="s">
        <v>111</v>
      </c>
      <c r="E1901" s="44">
        <v>0</v>
      </c>
      <c r="F1901" s="34">
        <v>21748742.931569468</v>
      </c>
      <c r="G1901" s="44" t="s">
        <v>216</v>
      </c>
      <c r="H1901" s="36">
        <v>21748742.93</v>
      </c>
      <c r="I1901" s="35">
        <v>44116</v>
      </c>
      <c r="J1901" s="37">
        <f t="shared" si="112"/>
        <v>1.5694685280323029E-3</v>
      </c>
      <c r="K1901" s="37">
        <f t="shared" si="113"/>
        <v>9.1123059391975403E-3</v>
      </c>
      <c r="L1901" s="39"/>
      <c r="M1901" s="40"/>
      <c r="N1901" s="40"/>
      <c r="O1901" s="41"/>
    </row>
    <row r="1902" spans="1:15" s="7" customFormat="1" ht="18.75">
      <c r="A1902" s="56"/>
      <c r="B1902" s="46"/>
      <c r="C1902" s="31" t="s">
        <v>218</v>
      </c>
      <c r="D1902" s="45" t="s">
        <v>182</v>
      </c>
      <c r="E1902" s="44">
        <v>44024</v>
      </c>
      <c r="F1902" s="34">
        <v>25162843.529846117</v>
      </c>
      <c r="G1902" s="44">
        <v>44531</v>
      </c>
      <c r="H1902" s="36">
        <v>25162843.530000001</v>
      </c>
      <c r="I1902" s="35" t="s">
        <v>217</v>
      </c>
      <c r="J1902" s="37">
        <f t="shared" si="112"/>
        <v>-1.5388429164886475E-4</v>
      </c>
      <c r="K1902" s="37">
        <f t="shared" si="113"/>
        <v>1.0681774467229843E-2</v>
      </c>
      <c r="L1902" s="39"/>
      <c r="M1902" s="40"/>
      <c r="N1902" s="40"/>
      <c r="O1902" s="41"/>
    </row>
    <row r="1903" spans="1:15" s="7" customFormat="1" ht="18.75">
      <c r="A1903" s="56"/>
      <c r="B1903" s="46"/>
      <c r="C1903" s="31" t="s">
        <v>219</v>
      </c>
      <c r="D1903" s="45" t="s">
        <v>186</v>
      </c>
      <c r="E1903" s="44">
        <v>44409</v>
      </c>
      <c r="F1903" s="34">
        <v>20940591.072986457</v>
      </c>
      <c r="G1903" s="44" t="s">
        <v>220</v>
      </c>
      <c r="H1903" s="36">
        <v>20940591.07</v>
      </c>
      <c r="I1903" s="44">
        <v>44531</v>
      </c>
      <c r="J1903" s="37">
        <f t="shared" si="112"/>
        <v>2.9864571988582611E-3</v>
      </c>
      <c r="K1903" s="37">
        <f t="shared" si="113"/>
        <v>1.0527890175580978E-2</v>
      </c>
      <c r="L1903" s="39"/>
      <c r="M1903" s="40"/>
      <c r="N1903" s="40"/>
      <c r="O1903" s="41"/>
    </row>
    <row r="1904" spans="1:15" s="7" customFormat="1" ht="18.75">
      <c r="A1904" s="56"/>
      <c r="B1904" s="46"/>
      <c r="C1904" s="31" t="s">
        <v>221</v>
      </c>
      <c r="D1904" s="45" t="s">
        <v>192</v>
      </c>
      <c r="E1904" s="44">
        <v>44441</v>
      </c>
      <c r="F1904" s="34">
        <v>26170459.940478887</v>
      </c>
      <c r="G1904" s="44" t="s">
        <v>93</v>
      </c>
      <c r="H1904" s="36">
        <v>26170459.940000001</v>
      </c>
      <c r="I1904" s="44" t="s">
        <v>1553</v>
      </c>
      <c r="J1904" s="37">
        <f t="shared" si="112"/>
        <v>4.7888606786727905E-4</v>
      </c>
      <c r="K1904" s="37">
        <f t="shared" si="113"/>
        <v>1.351434737443924E-2</v>
      </c>
      <c r="L1904" s="39"/>
      <c r="M1904" s="40"/>
      <c r="N1904" s="40"/>
      <c r="O1904" s="41"/>
    </row>
    <row r="1905" spans="1:15" s="7" customFormat="1" ht="18.75">
      <c r="A1905" s="56"/>
      <c r="B1905" s="46"/>
      <c r="C1905" s="31" t="s">
        <v>222</v>
      </c>
      <c r="D1905" s="45" t="s">
        <v>196</v>
      </c>
      <c r="E1905" s="44">
        <v>44319</v>
      </c>
      <c r="F1905" s="34">
        <v>21207756.46409516</v>
      </c>
      <c r="G1905" s="44" t="s">
        <v>224</v>
      </c>
      <c r="H1905" s="36">
        <v>21207756.469999999</v>
      </c>
      <c r="I1905" s="44" t="s">
        <v>711</v>
      </c>
      <c r="J1905" s="37">
        <f t="shared" si="112"/>
        <v>-5.9048384428024292E-3</v>
      </c>
      <c r="K1905" s="37">
        <f t="shared" si="113"/>
        <v>1.3993233442306519E-2</v>
      </c>
      <c r="L1905" s="39"/>
      <c r="M1905" s="40"/>
      <c r="N1905" s="40"/>
      <c r="O1905" s="41"/>
    </row>
    <row r="1906" spans="1:15" s="7" customFormat="1" ht="18.75">
      <c r="A1906" s="56"/>
      <c r="B1906" s="46"/>
      <c r="C1906" s="31" t="s">
        <v>349</v>
      </c>
      <c r="D1906" s="45" t="s">
        <v>41</v>
      </c>
      <c r="E1906" s="44">
        <v>44381</v>
      </c>
      <c r="F1906" s="34">
        <v>27468579.826108567</v>
      </c>
      <c r="G1906" s="44" t="s">
        <v>351</v>
      </c>
      <c r="H1906" s="36">
        <v>27468579.829999998</v>
      </c>
      <c r="I1906" s="44" t="s">
        <v>351</v>
      </c>
      <c r="J1906" s="37">
        <f t="shared" si="112"/>
        <v>-3.8914307951927185E-3</v>
      </c>
      <c r="K1906" s="37">
        <f t="shared" si="113"/>
        <v>8.0883949995040894E-3</v>
      </c>
      <c r="L1906" s="39"/>
      <c r="M1906" s="40"/>
      <c r="N1906" s="40"/>
      <c r="O1906" s="41"/>
    </row>
    <row r="1907" spans="1:15" s="7" customFormat="1" ht="18.75">
      <c r="A1907" s="56"/>
      <c r="B1907" s="46" t="s">
        <v>1554</v>
      </c>
      <c r="C1907" s="31"/>
      <c r="D1907" s="45"/>
      <c r="E1907" s="44"/>
      <c r="F1907" s="34"/>
      <c r="G1907" s="54"/>
      <c r="H1907" s="36"/>
      <c r="I1907" s="35"/>
      <c r="J1907" s="37"/>
      <c r="K1907" s="38">
        <f t="shared" si="113"/>
        <v>4.1969642043113708E-3</v>
      </c>
      <c r="L1907" s="39"/>
      <c r="M1907" s="40"/>
      <c r="N1907" s="40"/>
      <c r="O1907" s="41"/>
    </row>
    <row r="1908" spans="1:15" s="7" customFormat="1" ht="18.75">
      <c r="A1908" s="56"/>
      <c r="B1908" s="46"/>
      <c r="C1908" s="31"/>
      <c r="D1908" s="45"/>
      <c r="E1908" s="44"/>
      <c r="F1908" s="86"/>
      <c r="G1908" s="80"/>
      <c r="H1908" s="115"/>
      <c r="I1908" s="35"/>
      <c r="J1908" s="37"/>
      <c r="K1908" s="38"/>
      <c r="L1908" s="39"/>
      <c r="M1908" s="40"/>
      <c r="N1908" s="40"/>
    </row>
    <row r="1909" spans="1:15" s="7" customFormat="1" ht="18.75">
      <c r="A1909" s="282">
        <v>50</v>
      </c>
      <c r="B1909" s="192" t="s">
        <v>102</v>
      </c>
      <c r="D1909" s="51"/>
      <c r="E1909" s="44"/>
      <c r="F1909" s="53"/>
      <c r="G1909" s="160"/>
      <c r="H1909" s="54"/>
      <c r="L1909" s="55"/>
    </row>
    <row r="1910" spans="1:15" s="7" customFormat="1" ht="18.75">
      <c r="A1910" s="30"/>
      <c r="B1910" s="192" t="s">
        <v>1555</v>
      </c>
      <c r="D1910" s="51"/>
      <c r="E1910" s="44"/>
      <c r="F1910" s="53"/>
      <c r="G1910" s="160"/>
      <c r="H1910" s="54"/>
      <c r="L1910" s="55"/>
      <c r="O1910" s="41"/>
    </row>
    <row r="1911" spans="1:15" s="7" customFormat="1" ht="18.75">
      <c r="A1911" s="30"/>
      <c r="B1911" s="192"/>
      <c r="D1911" s="51"/>
      <c r="E1911" s="44"/>
      <c r="F1911" s="53"/>
      <c r="G1911" s="160"/>
      <c r="H1911" s="54"/>
      <c r="L1911" s="55"/>
      <c r="O1911" s="41"/>
    </row>
    <row r="1912" spans="1:15" s="7" customFormat="1" ht="18.75">
      <c r="A1912" s="30"/>
      <c r="B1912" s="192" t="s">
        <v>103</v>
      </c>
      <c r="C1912" s="7" t="s">
        <v>219</v>
      </c>
      <c r="D1912" s="51" t="s">
        <v>140</v>
      </c>
      <c r="E1912" s="44">
        <v>44409</v>
      </c>
      <c r="F1912" s="283">
        <v>3780716.9332692372</v>
      </c>
      <c r="G1912" s="44">
        <v>44410</v>
      </c>
      <c r="H1912" s="159">
        <v>3780716.93</v>
      </c>
      <c r="I1912" s="7" t="s">
        <v>1167</v>
      </c>
      <c r="J1912" s="55">
        <f>F1912-H1912</f>
        <v>3.2692370004951954E-3</v>
      </c>
      <c r="L1912" s="55"/>
      <c r="O1912" s="41"/>
    </row>
    <row r="1913" spans="1:15" s="7" customFormat="1" ht="18.75">
      <c r="A1913" s="30"/>
      <c r="B1913" s="192"/>
      <c r="C1913" s="7" t="s">
        <v>221</v>
      </c>
      <c r="D1913" s="51" t="s">
        <v>120</v>
      </c>
      <c r="E1913" s="44">
        <v>44441</v>
      </c>
      <c r="F1913" s="283">
        <v>16489442.232166363</v>
      </c>
      <c r="G1913" s="160" t="s">
        <v>93</v>
      </c>
      <c r="H1913" s="159">
        <v>16489442.23</v>
      </c>
      <c r="I1913" s="44">
        <v>44230</v>
      </c>
      <c r="J1913" s="55">
        <f>F1913-H1913</f>
        <v>2.1663624793291092E-3</v>
      </c>
      <c r="K1913" s="37">
        <f>J1912+K1912</f>
        <v>3.2692370004951954E-3</v>
      </c>
      <c r="L1913" s="55"/>
      <c r="O1913" s="41"/>
    </row>
    <row r="1914" spans="1:15" s="7" customFormat="1" ht="18.75">
      <c r="A1914" s="30"/>
      <c r="B1914" s="192"/>
      <c r="C1914" s="7" t="s">
        <v>222</v>
      </c>
      <c r="D1914" s="51" t="s">
        <v>146</v>
      </c>
      <c r="E1914" s="44">
        <v>44319</v>
      </c>
      <c r="F1914" s="283">
        <v>11856945.486845497</v>
      </c>
      <c r="G1914" s="44">
        <v>44320</v>
      </c>
      <c r="H1914" s="159">
        <v>11856945.48</v>
      </c>
      <c r="I1914" s="44" t="s">
        <v>85</v>
      </c>
      <c r="J1914" s="55">
        <f>F1914-H1914</f>
        <v>6.8454965949058533E-3</v>
      </c>
      <c r="K1914" s="37">
        <f>J1913+K1913</f>
        <v>5.4355994798243046E-3</v>
      </c>
      <c r="L1914" s="55"/>
      <c r="O1914" s="41"/>
    </row>
    <row r="1915" spans="1:15" s="7" customFormat="1" ht="18.75">
      <c r="A1915" s="30"/>
      <c r="B1915" s="192"/>
      <c r="C1915" s="7" t="s">
        <v>349</v>
      </c>
      <c r="D1915" s="51" t="s">
        <v>80</v>
      </c>
      <c r="E1915" s="44">
        <v>44381</v>
      </c>
      <c r="F1915" s="283">
        <v>16006673.504036406</v>
      </c>
      <c r="G1915" s="186">
        <v>44382</v>
      </c>
      <c r="H1915" s="159">
        <v>16006673.5</v>
      </c>
      <c r="I1915" s="44" t="s">
        <v>1073</v>
      </c>
      <c r="J1915" s="55">
        <f>F1915-H1915</f>
        <v>4.0364060550928116E-3</v>
      </c>
      <c r="K1915" s="37">
        <f>J1914+K1914</f>
        <v>1.2281096074730158E-2</v>
      </c>
      <c r="L1915" s="55"/>
      <c r="O1915" s="41"/>
    </row>
    <row r="1916" spans="1:15" s="7" customFormat="1" ht="18.75">
      <c r="A1916" s="30"/>
      <c r="B1916" s="192" t="s">
        <v>1556</v>
      </c>
      <c r="D1916" s="51"/>
      <c r="E1916" s="44"/>
      <c r="F1916" s="53"/>
      <c r="G1916" s="160"/>
      <c r="H1916" s="159"/>
      <c r="J1916" s="55"/>
      <c r="K1916" s="38">
        <f>J1915+K1915</f>
        <v>1.6317502129822969E-2</v>
      </c>
      <c r="L1916" s="55"/>
      <c r="O1916" s="41"/>
    </row>
    <row r="1917" spans="1:15" s="7" customFormat="1" ht="18.75">
      <c r="A1917" s="30"/>
      <c r="B1917" s="192"/>
      <c r="D1917" s="51"/>
      <c r="E1917" s="44"/>
      <c r="F1917" s="53"/>
      <c r="G1917" s="160"/>
      <c r="H1917" s="54"/>
      <c r="L1917" s="55"/>
      <c r="O1917" s="41"/>
    </row>
    <row r="1918" spans="1:15" s="7" customFormat="1" ht="18.75">
      <c r="A1918" s="56">
        <v>51</v>
      </c>
      <c r="B1918" s="57" t="s">
        <v>104</v>
      </c>
      <c r="C1918" s="41" t="s">
        <v>1557</v>
      </c>
      <c r="D1918" s="32" t="s">
        <v>373</v>
      </c>
      <c r="E1918" s="44"/>
      <c r="F1918" s="86">
        <v>322480936.62</v>
      </c>
      <c r="G1918" s="58" t="s">
        <v>1558</v>
      </c>
      <c r="H1918" s="208">
        <v>107557680.33</v>
      </c>
      <c r="I1918" s="35"/>
      <c r="J1918" s="37">
        <f>F1918-H1918</f>
        <v>214923256.29000002</v>
      </c>
      <c r="K1918" s="221">
        <v>0</v>
      </c>
      <c r="L1918" s="60"/>
      <c r="M1918" s="41"/>
      <c r="N1918" s="41"/>
      <c r="O1918" s="41"/>
    </row>
    <row r="1919" spans="1:15" s="7" customFormat="1" ht="18.75">
      <c r="A1919" s="56"/>
      <c r="B1919" s="57"/>
      <c r="C1919" s="41" t="s">
        <v>1559</v>
      </c>
      <c r="D1919" s="32" t="s">
        <v>92</v>
      </c>
      <c r="E1919" s="44"/>
      <c r="F1919" s="86">
        <v>68180043.510000005</v>
      </c>
      <c r="G1919" s="58" t="s">
        <v>1558</v>
      </c>
      <c r="H1919" s="159">
        <v>100000000</v>
      </c>
      <c r="I1919" s="35" t="s">
        <v>1150</v>
      </c>
      <c r="J1919" s="37">
        <f>F1919-H1919</f>
        <v>-31819956.489999995</v>
      </c>
      <c r="K1919" s="221">
        <f>K1918+J1918</f>
        <v>214923256.29000002</v>
      </c>
      <c r="L1919" s="60"/>
      <c r="M1919" s="41"/>
      <c r="N1919" s="41"/>
      <c r="O1919" s="41"/>
    </row>
    <row r="1920" spans="1:15" s="7" customFormat="1" ht="18.75">
      <c r="A1920" s="56"/>
      <c r="B1920" s="57"/>
      <c r="C1920" s="41"/>
      <c r="D1920" s="32"/>
      <c r="E1920" s="44"/>
      <c r="F1920" s="86"/>
      <c r="G1920" s="58"/>
      <c r="H1920" s="159">
        <v>164500395.99000001</v>
      </c>
      <c r="I1920" s="35">
        <v>44024</v>
      </c>
      <c r="J1920" s="37">
        <f>F1920-H1920</f>
        <v>-164500395.99000001</v>
      </c>
      <c r="K1920" s="221">
        <f>K1919+J1919</f>
        <v>183103299.80000001</v>
      </c>
      <c r="L1920" s="60"/>
      <c r="M1920" s="41"/>
      <c r="N1920" s="41"/>
      <c r="O1920" s="41"/>
    </row>
    <row r="1921" spans="1:15" s="7" customFormat="1" ht="18.75">
      <c r="A1921" s="56"/>
      <c r="B1921" s="57" t="s">
        <v>1560</v>
      </c>
      <c r="C1921" s="41"/>
      <c r="D1921" s="32"/>
      <c r="E1921" s="44"/>
      <c r="F1921" s="86"/>
      <c r="G1921" s="58"/>
      <c r="H1921" s="63"/>
      <c r="I1921" s="35"/>
      <c r="J1921" s="37"/>
      <c r="K1921" s="284">
        <f>K1920+J1920</f>
        <v>18602903.810000002</v>
      </c>
      <c r="L1921" s="60"/>
      <c r="M1921" s="41"/>
      <c r="N1921" s="41"/>
      <c r="O1921" s="41"/>
    </row>
    <row r="1922" spans="1:15" s="7" customFormat="1" ht="18.75">
      <c r="A1922" s="56"/>
      <c r="B1922" s="114"/>
      <c r="C1922" s="41"/>
      <c r="D1922" s="45"/>
      <c r="E1922" s="44"/>
      <c r="F1922" s="86"/>
      <c r="G1922" s="58"/>
      <c r="H1922" s="63"/>
      <c r="I1922" s="35"/>
      <c r="J1922" s="37"/>
      <c r="K1922" s="284"/>
      <c r="L1922" s="60"/>
      <c r="M1922" s="41"/>
      <c r="N1922" s="41"/>
      <c r="O1922" s="285"/>
    </row>
    <row r="1923" spans="1:15" s="7" customFormat="1" ht="18.75">
      <c r="A1923" s="56">
        <v>52</v>
      </c>
      <c r="B1923" s="46" t="s">
        <v>105</v>
      </c>
      <c r="C1923" s="31" t="s">
        <v>181</v>
      </c>
      <c r="D1923" s="45" t="s">
        <v>140</v>
      </c>
      <c r="E1923" s="44"/>
      <c r="F1923" s="34">
        <v>3728265.7756785001</v>
      </c>
      <c r="G1923" s="35" t="s">
        <v>183</v>
      </c>
      <c r="H1923" s="36">
        <v>3728265.7756785001</v>
      </c>
      <c r="I1923" s="35" t="s">
        <v>845</v>
      </c>
      <c r="J1923" s="37">
        <f t="shared" ref="J1923:J1938" si="114">F1923-H1923</f>
        <v>0</v>
      </c>
      <c r="K1923" s="37"/>
      <c r="L1923" s="39"/>
      <c r="M1923" s="40"/>
      <c r="N1923" s="40"/>
      <c r="O1923" s="41"/>
    </row>
    <row r="1924" spans="1:15" s="7" customFormat="1" ht="18.75">
      <c r="A1924" s="56"/>
      <c r="B1924" s="46"/>
      <c r="C1924" s="31" t="s">
        <v>185</v>
      </c>
      <c r="D1924" s="45" t="s">
        <v>120</v>
      </c>
      <c r="E1924" s="44"/>
      <c r="F1924" s="34">
        <v>8810281.4876265004</v>
      </c>
      <c r="G1924" s="35" t="s">
        <v>187</v>
      </c>
      <c r="H1924" s="54"/>
      <c r="J1924" s="37">
        <f t="shared" si="114"/>
        <v>8810281.4876265004</v>
      </c>
      <c r="K1924" s="286">
        <f t="shared" ref="K1924:K1939" si="115">J1923+K1923</f>
        <v>0</v>
      </c>
      <c r="L1924" s="39"/>
      <c r="M1924" s="40"/>
      <c r="N1924" s="40"/>
      <c r="O1924" s="41"/>
    </row>
    <row r="1925" spans="1:15" s="7" customFormat="1" ht="18.75">
      <c r="A1925" s="56"/>
      <c r="B1925" s="46"/>
      <c r="C1925" s="31" t="s">
        <v>189</v>
      </c>
      <c r="D1925" s="45" t="s">
        <v>1548</v>
      </c>
      <c r="E1925" s="44"/>
      <c r="F1925" s="34">
        <v>9360875.6106704995</v>
      </c>
      <c r="G1925" s="35" t="s">
        <v>377</v>
      </c>
      <c r="H1925" s="36">
        <v>9360875.6099999994</v>
      </c>
      <c r="I1925" s="35" t="s">
        <v>597</v>
      </c>
      <c r="J1925" s="37">
        <f t="shared" si="114"/>
        <v>6.7050009965896606E-4</v>
      </c>
      <c r="K1925" s="286">
        <f t="shared" si="115"/>
        <v>8810281.4876265004</v>
      </c>
      <c r="L1925" s="39"/>
      <c r="M1925" s="40"/>
      <c r="N1925" s="40"/>
      <c r="O1925" s="41"/>
    </row>
    <row r="1926" spans="1:15" s="7" customFormat="1" ht="18.75">
      <c r="A1926" s="56"/>
      <c r="B1926" s="46"/>
      <c r="C1926" s="31" t="s">
        <v>191</v>
      </c>
      <c r="D1926" s="45" t="s">
        <v>80</v>
      </c>
      <c r="E1926" s="44">
        <v>43986</v>
      </c>
      <c r="F1926" s="34">
        <v>12510014.24414175</v>
      </c>
      <c r="G1926" s="35" t="s">
        <v>193</v>
      </c>
      <c r="H1926" s="159">
        <v>12510014.24</v>
      </c>
      <c r="I1926" s="35" t="s">
        <v>1333</v>
      </c>
      <c r="J1926" s="37">
        <f t="shared" si="114"/>
        <v>4.1417498141527176E-3</v>
      </c>
      <c r="K1926" s="286">
        <f t="shared" si="115"/>
        <v>8810281.4882970005</v>
      </c>
      <c r="L1926" s="39"/>
      <c r="M1926" s="40"/>
      <c r="N1926" s="40"/>
      <c r="O1926" s="41"/>
    </row>
    <row r="1927" spans="1:15" s="7" customFormat="1" ht="18.75">
      <c r="A1927" s="56"/>
      <c r="B1927" s="46"/>
      <c r="C1927" s="31" t="s">
        <v>195</v>
      </c>
      <c r="D1927" s="45" t="s">
        <v>124</v>
      </c>
      <c r="E1927" s="44" t="s">
        <v>197</v>
      </c>
      <c r="F1927" s="34">
        <v>12821823.614822248</v>
      </c>
      <c r="G1927" s="35" t="s">
        <v>198</v>
      </c>
      <c r="H1927" s="159">
        <v>12821823.609999999</v>
      </c>
      <c r="I1927" s="35" t="s">
        <v>188</v>
      </c>
      <c r="J1927" s="37">
        <f t="shared" si="114"/>
        <v>4.8222485929727554E-3</v>
      </c>
      <c r="K1927" s="286">
        <f t="shared" si="115"/>
        <v>8810281.4924387503</v>
      </c>
      <c r="L1927" s="39"/>
      <c r="M1927" s="40"/>
      <c r="N1927" s="40"/>
      <c r="O1927" s="41"/>
    </row>
    <row r="1928" spans="1:15" s="7" customFormat="1" ht="18.75">
      <c r="A1928" s="56"/>
      <c r="B1928" s="46"/>
      <c r="C1928" s="31" t="s">
        <v>199</v>
      </c>
      <c r="D1928" s="45" t="s">
        <v>1561</v>
      </c>
      <c r="E1928" s="44">
        <v>44049</v>
      </c>
      <c r="F1928" s="34">
        <v>14009351.666940002</v>
      </c>
      <c r="G1928" s="35">
        <v>43897</v>
      </c>
      <c r="H1928" s="159">
        <v>11927277.779999999</v>
      </c>
      <c r="I1928" s="35" t="s">
        <v>1562</v>
      </c>
      <c r="J1928" s="37">
        <f t="shared" si="114"/>
        <v>2082073.8869400024</v>
      </c>
      <c r="K1928" s="286">
        <f t="shared" si="115"/>
        <v>8810281.4972609989</v>
      </c>
      <c r="L1928" s="39"/>
      <c r="M1928" s="40"/>
      <c r="N1928" s="40"/>
      <c r="O1928" s="41"/>
    </row>
    <row r="1929" spans="1:15" s="7" customFormat="1" ht="18.75">
      <c r="A1929" s="56"/>
      <c r="B1929" s="46"/>
      <c r="C1929" s="31" t="s">
        <v>201</v>
      </c>
      <c r="D1929" s="45" t="s">
        <v>159</v>
      </c>
      <c r="E1929" s="44">
        <v>44081</v>
      </c>
      <c r="F1929" s="34">
        <v>11431477.408679999</v>
      </c>
      <c r="G1929" s="35">
        <v>44020</v>
      </c>
      <c r="H1929" s="159">
        <v>11431477.408679999</v>
      </c>
      <c r="I1929" s="35">
        <v>44083</v>
      </c>
      <c r="J1929" s="37">
        <f t="shared" si="114"/>
        <v>0</v>
      </c>
      <c r="K1929" s="286">
        <f t="shared" si="115"/>
        <v>10892355.384201001</v>
      </c>
      <c r="L1929" s="39"/>
      <c r="M1929" s="40"/>
      <c r="N1929" s="40"/>
      <c r="O1929" s="41"/>
    </row>
    <row r="1930" spans="1:15" s="7" customFormat="1" ht="18.75">
      <c r="A1930" s="56"/>
      <c r="B1930" s="46"/>
      <c r="C1930" s="31" t="s">
        <v>203</v>
      </c>
      <c r="D1930" s="45" t="s">
        <v>163</v>
      </c>
      <c r="E1930" s="44">
        <v>43990</v>
      </c>
      <c r="F1930" s="34">
        <v>12971422.200544</v>
      </c>
      <c r="G1930" s="35" t="s">
        <v>290</v>
      </c>
      <c r="H1930" s="159">
        <v>12971422.200544</v>
      </c>
      <c r="I1930" s="35">
        <v>44083</v>
      </c>
      <c r="J1930" s="37">
        <f t="shared" si="114"/>
        <v>0</v>
      </c>
      <c r="K1930" s="286">
        <f t="shared" si="115"/>
        <v>10892355.384201001</v>
      </c>
      <c r="L1930" s="39"/>
      <c r="M1930" s="40"/>
      <c r="N1930" s="40"/>
      <c r="O1930" s="41"/>
    </row>
    <row r="1931" spans="1:15" s="7" customFormat="1" ht="18.75">
      <c r="A1931" s="56"/>
      <c r="B1931" s="46"/>
      <c r="C1931" s="31"/>
      <c r="D1931" s="45"/>
      <c r="E1931" s="44"/>
      <c r="F1931" s="34"/>
      <c r="G1931" s="35"/>
      <c r="H1931" s="159">
        <v>10892355.380000001</v>
      </c>
      <c r="I1931" s="35" t="s">
        <v>602</v>
      </c>
      <c r="J1931" s="37">
        <f t="shared" si="114"/>
        <v>-10892355.380000001</v>
      </c>
      <c r="K1931" s="286">
        <f t="shared" si="115"/>
        <v>10892355.384201001</v>
      </c>
      <c r="L1931" s="39"/>
      <c r="M1931" s="40"/>
      <c r="N1931" s="40"/>
      <c r="O1931" s="41"/>
    </row>
    <row r="1932" spans="1:15" s="7" customFormat="1" ht="18.75">
      <c r="A1932" s="56"/>
      <c r="B1932" s="46"/>
      <c r="C1932" s="31" t="s">
        <v>212</v>
      </c>
      <c r="D1932" s="45" t="s">
        <v>167</v>
      </c>
      <c r="E1932" s="44">
        <v>44084</v>
      </c>
      <c r="F1932" s="34">
        <v>401552.37543725001</v>
      </c>
      <c r="G1932" s="35" t="s">
        <v>213</v>
      </c>
      <c r="H1932" s="159"/>
      <c r="I1932" s="35"/>
      <c r="J1932" s="37">
        <f t="shared" si="114"/>
        <v>401552.37543725001</v>
      </c>
      <c r="K1932" s="286">
        <f t="shared" si="115"/>
        <v>4.2010005563497543E-3</v>
      </c>
      <c r="L1932" s="39"/>
      <c r="M1932" s="40"/>
      <c r="N1932" s="40"/>
      <c r="O1932" s="41"/>
    </row>
    <row r="1933" spans="1:15" s="7" customFormat="1" ht="18.75">
      <c r="A1933" s="56"/>
      <c r="B1933" s="46"/>
      <c r="C1933" s="31" t="s">
        <v>214</v>
      </c>
      <c r="D1933" s="45" t="s">
        <v>171</v>
      </c>
      <c r="E1933" s="44">
        <v>0</v>
      </c>
      <c r="F1933" s="34">
        <v>13488140.681319749</v>
      </c>
      <c r="G1933" s="35" t="s">
        <v>216</v>
      </c>
      <c r="H1933" s="55">
        <v>13488140.68</v>
      </c>
      <c r="I1933" s="7" t="s">
        <v>1359</v>
      </c>
      <c r="J1933" s="37">
        <f t="shared" si="114"/>
        <v>1.3197492808103561E-3</v>
      </c>
      <c r="K1933" s="286">
        <f t="shared" si="115"/>
        <v>401552.37963825057</v>
      </c>
      <c r="L1933" s="39"/>
      <c r="M1933" s="40"/>
      <c r="N1933" s="40"/>
      <c r="O1933" s="41"/>
    </row>
    <row r="1934" spans="1:15" s="7" customFormat="1" ht="18.75">
      <c r="A1934" s="56"/>
      <c r="B1934" s="46"/>
      <c r="C1934" s="31" t="s">
        <v>218</v>
      </c>
      <c r="D1934" s="45" t="s">
        <v>175</v>
      </c>
      <c r="E1934" s="44">
        <v>44024</v>
      </c>
      <c r="F1934" s="34">
        <v>13969558.239210498</v>
      </c>
      <c r="G1934" s="35">
        <v>44531</v>
      </c>
      <c r="H1934" s="159">
        <v>13969558.24</v>
      </c>
      <c r="I1934" s="3" t="s">
        <v>217</v>
      </c>
      <c r="J1934" s="37">
        <f t="shared" si="114"/>
        <v>-7.8950263559818268E-4</v>
      </c>
      <c r="K1934" s="286">
        <f t="shared" si="115"/>
        <v>401552.38095799985</v>
      </c>
      <c r="L1934" s="39"/>
      <c r="M1934" s="40"/>
      <c r="N1934" s="40"/>
      <c r="O1934" s="41"/>
    </row>
    <row r="1935" spans="1:15" s="7" customFormat="1" ht="18.75">
      <c r="A1935" s="56"/>
      <c r="B1935" s="46"/>
      <c r="C1935" s="31" t="s">
        <v>219</v>
      </c>
      <c r="D1935" s="45" t="s">
        <v>111</v>
      </c>
      <c r="E1935" s="44">
        <v>44409</v>
      </c>
      <c r="F1935" s="34">
        <v>12806980.308501499</v>
      </c>
      <c r="G1935" s="35" t="s">
        <v>220</v>
      </c>
      <c r="H1935" s="159">
        <v>12806980.308501499</v>
      </c>
      <c r="I1935" s="3" t="s">
        <v>1542</v>
      </c>
      <c r="J1935" s="37">
        <f t="shared" si="114"/>
        <v>0</v>
      </c>
      <c r="K1935" s="286">
        <f t="shared" si="115"/>
        <v>401552.38016849721</v>
      </c>
      <c r="L1935" s="39"/>
      <c r="M1935" s="40"/>
      <c r="N1935" s="40"/>
      <c r="O1935" s="41"/>
    </row>
    <row r="1936" spans="1:15" s="7" customFormat="1" ht="18.75">
      <c r="A1936" s="56"/>
      <c r="B1936" s="46"/>
      <c r="C1936" s="31" t="s">
        <v>221</v>
      </c>
      <c r="D1936" s="45" t="s">
        <v>182</v>
      </c>
      <c r="E1936" s="44">
        <v>44410</v>
      </c>
      <c r="F1936" s="34">
        <v>17304052.037926495</v>
      </c>
      <c r="G1936" s="35" t="s">
        <v>93</v>
      </c>
      <c r="H1936" s="159">
        <v>17304052.037926495</v>
      </c>
      <c r="I1936" s="3" t="s">
        <v>1359</v>
      </c>
      <c r="J1936" s="37">
        <f t="shared" si="114"/>
        <v>0</v>
      </c>
      <c r="K1936" s="286">
        <f t="shared" si="115"/>
        <v>401552.38016849721</v>
      </c>
      <c r="L1936" s="39"/>
      <c r="M1936" s="40"/>
      <c r="N1936" s="40"/>
      <c r="O1936" s="41"/>
    </row>
    <row r="1937" spans="1:15" s="7" customFormat="1" ht="18.75">
      <c r="A1937" s="56"/>
      <c r="B1937" s="46"/>
      <c r="C1937" s="31" t="s">
        <v>222</v>
      </c>
      <c r="D1937" s="45" t="s">
        <v>186</v>
      </c>
      <c r="E1937" s="44">
        <v>44319</v>
      </c>
      <c r="F1937" s="34">
        <v>14116649.755823998</v>
      </c>
      <c r="G1937" s="35" t="s">
        <v>224</v>
      </c>
      <c r="H1937" s="159">
        <v>14116649.755823998</v>
      </c>
      <c r="I1937" s="3" t="s">
        <v>1031</v>
      </c>
      <c r="J1937" s="37">
        <f t="shared" si="114"/>
        <v>0</v>
      </c>
      <c r="K1937" s="286">
        <f t="shared" si="115"/>
        <v>401552.38016849721</v>
      </c>
      <c r="L1937" s="39"/>
      <c r="M1937" s="40"/>
      <c r="N1937" s="40"/>
      <c r="O1937" s="41"/>
    </row>
    <row r="1938" spans="1:15" s="7" customFormat="1" ht="18.75">
      <c r="A1938" s="56"/>
      <c r="B1938" s="46"/>
      <c r="C1938" s="31" t="s">
        <v>349</v>
      </c>
      <c r="D1938" s="45" t="s">
        <v>192</v>
      </c>
      <c r="E1938" s="44">
        <v>44381</v>
      </c>
      <c r="F1938" s="34">
        <v>15009813.871667998</v>
      </c>
      <c r="G1938" s="35" t="s">
        <v>351</v>
      </c>
      <c r="H1938" s="159">
        <v>15009813.880000001</v>
      </c>
      <c r="I1938" s="3" t="s">
        <v>352</v>
      </c>
      <c r="J1938" s="37">
        <f t="shared" si="114"/>
        <v>-8.3320029079914093E-3</v>
      </c>
      <c r="K1938" s="286">
        <f t="shared" si="115"/>
        <v>401552.38016849721</v>
      </c>
      <c r="L1938" s="39"/>
      <c r="M1938" s="40"/>
      <c r="N1938" s="40"/>
      <c r="O1938" s="41"/>
    </row>
    <row r="1939" spans="1:15" s="7" customFormat="1" ht="18.75">
      <c r="A1939" s="287"/>
      <c r="B1939" s="288" t="s">
        <v>1563</v>
      </c>
      <c r="D1939" s="289"/>
      <c r="E1939" s="44"/>
      <c r="F1939" s="290"/>
      <c r="G1939" s="35"/>
      <c r="H1939" s="291"/>
      <c r="I1939" s="292"/>
      <c r="J1939" s="285"/>
      <c r="K1939" s="293">
        <f t="shared" si="115"/>
        <v>401552.37183649431</v>
      </c>
      <c r="L1939" s="294"/>
      <c r="M1939" s="295"/>
      <c r="N1939" s="295"/>
      <c r="O1939" s="285"/>
    </row>
    <row r="1940" spans="1:15" s="7" customFormat="1" ht="18.75">
      <c r="A1940" s="30"/>
      <c r="B1940" s="192"/>
      <c r="D1940" s="51"/>
      <c r="E1940" s="44"/>
      <c r="F1940" s="53"/>
      <c r="G1940" s="160"/>
      <c r="H1940" s="54"/>
      <c r="L1940" s="55"/>
    </row>
    <row r="1941" spans="1:15" s="7" customFormat="1" ht="18.75">
      <c r="A1941" s="30">
        <v>53</v>
      </c>
      <c r="B1941" s="192" t="s">
        <v>106</v>
      </c>
      <c r="D1941" s="51"/>
      <c r="E1941" s="44"/>
      <c r="F1941" s="53"/>
      <c r="G1941" s="160"/>
      <c r="H1941" s="54"/>
      <c r="L1941" s="55"/>
      <c r="O1941" s="41"/>
    </row>
    <row r="1942" spans="1:15" s="7" customFormat="1" ht="18.75">
      <c r="A1942" s="30"/>
      <c r="B1942" s="192"/>
      <c r="D1942" s="51"/>
      <c r="E1942" s="44"/>
      <c r="F1942" s="53"/>
      <c r="G1942" s="160"/>
      <c r="H1942" s="54"/>
      <c r="L1942" s="55"/>
      <c r="O1942" s="41"/>
    </row>
    <row r="1943" spans="1:15" s="7" customFormat="1" ht="18.75">
      <c r="A1943" s="30"/>
      <c r="B1943" s="192" t="s">
        <v>1564</v>
      </c>
      <c r="D1943" s="51"/>
      <c r="E1943" s="44"/>
      <c r="F1943" s="53"/>
      <c r="G1943" s="160"/>
      <c r="H1943" s="54"/>
      <c r="L1943" s="55"/>
      <c r="O1943" s="41"/>
    </row>
    <row r="1944" spans="1:15" s="7" customFormat="1" ht="18.75">
      <c r="A1944" s="30"/>
      <c r="B1944" s="192"/>
      <c r="D1944" s="51"/>
      <c r="E1944" s="44"/>
      <c r="F1944" s="53"/>
      <c r="G1944" s="160"/>
      <c r="H1944" s="54"/>
      <c r="L1944" s="55"/>
      <c r="O1944" s="41"/>
    </row>
    <row r="1945" spans="1:15" s="7" customFormat="1" ht="18.75">
      <c r="A1945" s="56">
        <v>54</v>
      </c>
      <c r="B1945" s="30" t="s">
        <v>107</v>
      </c>
      <c r="C1945" s="42" t="s">
        <v>139</v>
      </c>
      <c r="D1945" s="32" t="s">
        <v>140</v>
      </c>
      <c r="E1945" s="44"/>
      <c r="F1945" s="34">
        <v>50052197.219999999</v>
      </c>
      <c r="G1945" s="35">
        <v>43771</v>
      </c>
      <c r="H1945" s="47">
        <v>50052197.219999999</v>
      </c>
      <c r="I1945" s="35" t="s">
        <v>252</v>
      </c>
      <c r="J1945" s="37">
        <f>F1945-H1945</f>
        <v>0</v>
      </c>
      <c r="K1945" s="38"/>
      <c r="L1945" s="39"/>
      <c r="M1945" s="40"/>
      <c r="N1945" s="40"/>
      <c r="O1945" s="41"/>
    </row>
    <row r="1946" spans="1:15" s="7" customFormat="1" ht="18.75">
      <c r="A1946" s="56"/>
      <c r="B1946" s="30"/>
      <c r="C1946" s="42" t="s">
        <v>142</v>
      </c>
      <c r="D1946" s="32" t="s">
        <v>120</v>
      </c>
      <c r="E1946" s="44"/>
      <c r="F1946" s="34">
        <v>53465767.362006299</v>
      </c>
      <c r="G1946" s="35" t="s">
        <v>579</v>
      </c>
      <c r="H1946" s="47">
        <v>53465767.362006299</v>
      </c>
      <c r="I1946" s="35" t="s">
        <v>144</v>
      </c>
      <c r="J1946" s="37">
        <f t="shared" ref="J1946:J1972" si="116">F1946-H1946</f>
        <v>0</v>
      </c>
      <c r="K1946" s="37">
        <f t="shared" ref="K1946:K1973" si="117">J1945+K1945</f>
        <v>0</v>
      </c>
      <c r="L1946" s="39">
        <v>64837205.549999997</v>
      </c>
      <c r="M1946" s="40"/>
      <c r="N1946" s="40"/>
      <c r="O1946" s="41"/>
    </row>
    <row r="1947" spans="1:15" s="7" customFormat="1" ht="18.75">
      <c r="A1947" s="56"/>
      <c r="B1947" s="30"/>
      <c r="C1947" s="42" t="s">
        <v>145</v>
      </c>
      <c r="D1947" s="32" t="s">
        <v>146</v>
      </c>
      <c r="E1947" s="44"/>
      <c r="F1947" s="34">
        <v>38558798.854953296</v>
      </c>
      <c r="G1947" s="35" t="s">
        <v>579</v>
      </c>
      <c r="H1947" s="47">
        <v>38558798.854953296</v>
      </c>
      <c r="I1947" s="35" t="s">
        <v>144</v>
      </c>
      <c r="J1947" s="37">
        <f t="shared" si="116"/>
        <v>0</v>
      </c>
      <c r="K1947" s="37">
        <f t="shared" si="117"/>
        <v>0</v>
      </c>
      <c r="L1947" s="39"/>
      <c r="M1947" s="40"/>
      <c r="N1947" s="40"/>
      <c r="O1947" s="41"/>
    </row>
    <row r="1948" spans="1:15" s="7" customFormat="1" ht="18.75">
      <c r="A1948" s="56"/>
      <c r="B1948" s="30"/>
      <c r="C1948" s="42" t="s">
        <v>148</v>
      </c>
      <c r="D1948" s="32" t="s">
        <v>80</v>
      </c>
      <c r="E1948" s="44"/>
      <c r="F1948" s="34">
        <v>52515890.230145998</v>
      </c>
      <c r="G1948" s="35" t="s">
        <v>918</v>
      </c>
      <c r="H1948" s="47">
        <v>52515890.230145998</v>
      </c>
      <c r="I1948" s="35" t="s">
        <v>365</v>
      </c>
      <c r="J1948" s="37">
        <f t="shared" si="116"/>
        <v>0</v>
      </c>
      <c r="K1948" s="37">
        <f t="shared" si="117"/>
        <v>0</v>
      </c>
      <c r="L1948" s="39"/>
      <c r="M1948" s="40"/>
      <c r="N1948" s="40"/>
      <c r="O1948" s="41"/>
    </row>
    <row r="1949" spans="1:15" s="7" customFormat="1" ht="18.75">
      <c r="A1949" s="56"/>
      <c r="B1949" s="30"/>
      <c r="C1949" s="42" t="s">
        <v>151</v>
      </c>
      <c r="D1949" s="32" t="s">
        <v>124</v>
      </c>
      <c r="E1949" s="44"/>
      <c r="F1949" s="34">
        <v>37331584.580712236</v>
      </c>
      <c r="G1949" s="35" t="s">
        <v>152</v>
      </c>
      <c r="H1949" s="47">
        <v>37331584.580712236</v>
      </c>
      <c r="I1949" s="35" t="s">
        <v>261</v>
      </c>
      <c r="J1949" s="37">
        <f t="shared" si="116"/>
        <v>0</v>
      </c>
      <c r="K1949" s="37">
        <f t="shared" si="117"/>
        <v>0</v>
      </c>
      <c r="L1949" s="39"/>
      <c r="M1949" s="40"/>
      <c r="N1949" s="40"/>
      <c r="O1949" s="41"/>
    </row>
    <row r="1950" spans="1:15" s="7" customFormat="1" ht="18.75">
      <c r="A1950" s="56"/>
      <c r="B1950" s="30"/>
      <c r="C1950" s="42" t="s">
        <v>154</v>
      </c>
      <c r="D1950" s="32" t="s">
        <v>155</v>
      </c>
      <c r="E1950" s="44"/>
      <c r="F1950" s="34">
        <v>42457293.178388223</v>
      </c>
      <c r="G1950" s="35" t="s">
        <v>156</v>
      </c>
      <c r="H1950" s="47">
        <v>42457293.178388223</v>
      </c>
      <c r="I1950" s="35" t="s">
        <v>770</v>
      </c>
      <c r="J1950" s="37">
        <f t="shared" si="116"/>
        <v>0</v>
      </c>
      <c r="K1950" s="37">
        <f t="shared" si="117"/>
        <v>0</v>
      </c>
      <c r="L1950" s="39"/>
      <c r="M1950" s="40"/>
      <c r="N1950" s="40"/>
      <c r="O1950" s="41"/>
    </row>
    <row r="1951" spans="1:15" s="7" customFormat="1" ht="18.75">
      <c r="A1951" s="56"/>
      <c r="B1951" s="30"/>
      <c r="C1951" s="42" t="s">
        <v>158</v>
      </c>
      <c r="D1951" s="32" t="s">
        <v>159</v>
      </c>
      <c r="E1951" s="44"/>
      <c r="F1951" s="34">
        <v>48564486.897867151</v>
      </c>
      <c r="G1951" s="35" t="s">
        <v>160</v>
      </c>
      <c r="H1951" s="47">
        <v>48564486.897867151</v>
      </c>
      <c r="I1951" s="35" t="s">
        <v>771</v>
      </c>
      <c r="J1951" s="37">
        <f t="shared" si="116"/>
        <v>0</v>
      </c>
      <c r="K1951" s="37">
        <f t="shared" si="117"/>
        <v>0</v>
      </c>
      <c r="L1951" s="39"/>
      <c r="M1951" s="40"/>
      <c r="N1951" s="40"/>
      <c r="O1951" s="41"/>
    </row>
    <row r="1952" spans="1:15" s="7" customFormat="1" ht="18.75">
      <c r="A1952" s="56"/>
      <c r="B1952" s="30"/>
      <c r="C1952" s="42" t="s">
        <v>162</v>
      </c>
      <c r="D1952" s="32" t="s">
        <v>163</v>
      </c>
      <c r="E1952" s="44"/>
      <c r="F1952" s="34">
        <v>41028776.153562337</v>
      </c>
      <c r="G1952" s="35" t="s">
        <v>164</v>
      </c>
      <c r="H1952" s="47">
        <v>41028776.153562337</v>
      </c>
      <c r="I1952" s="35" t="s">
        <v>895</v>
      </c>
      <c r="J1952" s="37">
        <f t="shared" si="116"/>
        <v>0</v>
      </c>
      <c r="K1952" s="37">
        <f t="shared" si="117"/>
        <v>0</v>
      </c>
      <c r="L1952" s="39"/>
      <c r="M1952" s="40"/>
      <c r="N1952" s="40"/>
      <c r="O1952" s="41"/>
    </row>
    <row r="1953" spans="1:15" s="7" customFormat="1" ht="18.75">
      <c r="A1953" s="56"/>
      <c r="B1953" s="30"/>
      <c r="C1953" s="42" t="s">
        <v>166</v>
      </c>
      <c r="D1953" s="32" t="s">
        <v>167</v>
      </c>
      <c r="E1953" s="44"/>
      <c r="F1953" s="34">
        <v>57030248.338783659</v>
      </c>
      <c r="G1953" s="35" t="s">
        <v>168</v>
      </c>
      <c r="H1953" s="47">
        <v>57030248.338783659</v>
      </c>
      <c r="I1953" s="35" t="s">
        <v>1565</v>
      </c>
      <c r="J1953" s="37">
        <f t="shared" si="116"/>
        <v>0</v>
      </c>
      <c r="K1953" s="37">
        <f t="shared" si="117"/>
        <v>0</v>
      </c>
      <c r="L1953" s="39"/>
      <c r="M1953" s="40"/>
      <c r="N1953" s="40"/>
      <c r="O1953" s="41"/>
    </row>
    <row r="1954" spans="1:15" s="7" customFormat="1" ht="18.75">
      <c r="A1954" s="56"/>
      <c r="B1954" s="30"/>
      <c r="C1954" s="7" t="s">
        <v>170</v>
      </c>
      <c r="D1954" s="127" t="s">
        <v>171</v>
      </c>
      <c r="E1954" s="44"/>
      <c r="F1954" s="34">
        <v>59181682.911562689</v>
      </c>
      <c r="G1954" s="35" t="s">
        <v>172</v>
      </c>
      <c r="H1954" s="47">
        <v>59181682.911562689</v>
      </c>
      <c r="I1954" s="296" t="s">
        <v>1014</v>
      </c>
      <c r="J1954" s="37">
        <f t="shared" si="116"/>
        <v>0</v>
      </c>
      <c r="K1954" s="37">
        <f t="shared" si="117"/>
        <v>0</v>
      </c>
      <c r="L1954" s="39"/>
      <c r="M1954" s="40"/>
      <c r="N1954" s="40"/>
      <c r="O1954" s="41"/>
    </row>
    <row r="1955" spans="1:15" s="7" customFormat="1" ht="18.75">
      <c r="A1955" s="56"/>
      <c r="B1955" s="30"/>
      <c r="C1955" s="7" t="s">
        <v>174</v>
      </c>
      <c r="D1955" s="127" t="s">
        <v>175</v>
      </c>
      <c r="E1955" s="44"/>
      <c r="F1955" s="34">
        <v>51737137.195627794</v>
      </c>
      <c r="G1955" s="35" t="s">
        <v>176</v>
      </c>
      <c r="H1955" s="297">
        <v>51737137.195627794</v>
      </c>
      <c r="I1955" s="35" t="s">
        <v>1015</v>
      </c>
      <c r="J1955" s="37">
        <f t="shared" si="116"/>
        <v>0</v>
      </c>
      <c r="K1955" s="37">
        <f t="shared" si="117"/>
        <v>0</v>
      </c>
      <c r="L1955" s="39"/>
      <c r="M1955" s="40"/>
      <c r="N1955" s="40"/>
      <c r="O1955" s="41"/>
    </row>
    <row r="1956" spans="1:15" s="7" customFormat="1" ht="18.75">
      <c r="A1956" s="56"/>
      <c r="B1956" s="30"/>
      <c r="C1956" s="7" t="s">
        <v>778</v>
      </c>
      <c r="D1956" s="127" t="s">
        <v>111</v>
      </c>
      <c r="E1956" s="44"/>
      <c r="F1956" s="34">
        <v>51743696.653753959</v>
      </c>
      <c r="G1956" s="35" t="s">
        <v>179</v>
      </c>
      <c r="H1956" s="47">
        <v>51743696.649999999</v>
      </c>
      <c r="I1956" s="35" t="s">
        <v>1148</v>
      </c>
      <c r="J1956" s="37">
        <f t="shared" si="116"/>
        <v>3.753960132598877E-3</v>
      </c>
      <c r="K1956" s="37">
        <f t="shared" si="117"/>
        <v>0</v>
      </c>
      <c r="L1956" s="39"/>
      <c r="M1956" s="40"/>
      <c r="N1956" s="40"/>
      <c r="O1956" s="41"/>
    </row>
    <row r="1957" spans="1:15" s="7" customFormat="1" ht="18.75">
      <c r="A1957" s="56"/>
      <c r="B1957" s="30"/>
      <c r="C1957" s="7" t="s">
        <v>1566</v>
      </c>
      <c r="D1957" s="127" t="s">
        <v>182</v>
      </c>
      <c r="E1957" s="44"/>
      <c r="F1957" s="34">
        <v>26910173.34</v>
      </c>
      <c r="G1957" s="35" t="s">
        <v>183</v>
      </c>
      <c r="H1957" s="47">
        <v>26910173.34</v>
      </c>
      <c r="I1957" s="35" t="s">
        <v>1332</v>
      </c>
      <c r="J1957" s="37">
        <f t="shared" si="116"/>
        <v>0</v>
      </c>
      <c r="K1957" s="37">
        <f t="shared" si="117"/>
        <v>3.753960132598877E-3</v>
      </c>
      <c r="L1957" s="39"/>
      <c r="M1957" s="40"/>
      <c r="N1957" s="40"/>
      <c r="O1957" s="41"/>
    </row>
    <row r="1958" spans="1:15" s="7" customFormat="1" ht="18.75">
      <c r="A1958" s="56"/>
      <c r="B1958" s="30"/>
      <c r="C1958" s="7" t="s">
        <v>185</v>
      </c>
      <c r="D1958" s="127" t="s">
        <v>186</v>
      </c>
      <c r="E1958" s="44"/>
      <c r="F1958" s="34">
        <v>34419990.100000001</v>
      </c>
      <c r="G1958" s="35" t="s">
        <v>187</v>
      </c>
      <c r="H1958" s="47">
        <v>34419990.100000001</v>
      </c>
      <c r="I1958" s="35" t="s">
        <v>280</v>
      </c>
      <c r="J1958" s="37">
        <f t="shared" si="116"/>
        <v>0</v>
      </c>
      <c r="K1958" s="37">
        <f t="shared" si="117"/>
        <v>3.753960132598877E-3</v>
      </c>
      <c r="L1958" s="39"/>
      <c r="M1958" s="40"/>
      <c r="N1958" s="40"/>
      <c r="O1958" s="41"/>
    </row>
    <row r="1959" spans="1:15" s="7" customFormat="1" ht="18.75">
      <c r="A1959" s="56"/>
      <c r="B1959" s="30"/>
      <c r="C1959" s="7" t="s">
        <v>189</v>
      </c>
      <c r="D1959" s="127" t="s">
        <v>192</v>
      </c>
      <c r="E1959" s="44"/>
      <c r="F1959" s="34">
        <v>41892321.979999997</v>
      </c>
      <c r="G1959" s="35" t="s">
        <v>377</v>
      </c>
      <c r="H1959" s="47">
        <v>41892321.979999997</v>
      </c>
      <c r="I1959" s="35" t="s">
        <v>1567</v>
      </c>
      <c r="J1959" s="37">
        <f t="shared" si="116"/>
        <v>0</v>
      </c>
      <c r="K1959" s="37">
        <f t="shared" si="117"/>
        <v>3.753960132598877E-3</v>
      </c>
      <c r="L1959" s="39"/>
      <c r="M1959" s="40"/>
      <c r="N1959" s="40"/>
      <c r="O1959" s="41"/>
    </row>
    <row r="1960" spans="1:15" s="7" customFormat="1" ht="18.75">
      <c r="A1960" s="56"/>
      <c r="B1960" s="30"/>
      <c r="C1960" s="7" t="s">
        <v>191</v>
      </c>
      <c r="D1960" s="127" t="s">
        <v>196</v>
      </c>
      <c r="E1960" s="44">
        <v>43986</v>
      </c>
      <c r="F1960" s="34">
        <v>64837205.559156582</v>
      </c>
      <c r="G1960" s="35" t="s">
        <v>193</v>
      </c>
      <c r="H1960" s="47">
        <v>64837205.559156582</v>
      </c>
      <c r="I1960" s="35" t="s">
        <v>1568</v>
      </c>
      <c r="J1960" s="37">
        <f t="shared" si="116"/>
        <v>0</v>
      </c>
      <c r="K1960" s="37">
        <f t="shared" si="117"/>
        <v>3.753960132598877E-3</v>
      </c>
      <c r="L1960" s="39"/>
      <c r="M1960" s="40"/>
      <c r="N1960" s="40"/>
      <c r="O1960" s="41"/>
    </row>
    <row r="1961" spans="1:15" s="7" customFormat="1" ht="18.75">
      <c r="A1961" s="56"/>
      <c r="B1961" s="30"/>
      <c r="C1961" s="7" t="s">
        <v>195</v>
      </c>
      <c r="D1961" s="127" t="s">
        <v>41</v>
      </c>
      <c r="E1961" s="44">
        <v>43987</v>
      </c>
      <c r="F1961" s="34">
        <v>33544165.787227139</v>
      </c>
      <c r="G1961" s="35" t="s">
        <v>198</v>
      </c>
      <c r="H1961" s="47">
        <v>33544165.787227139</v>
      </c>
      <c r="I1961" s="35" t="s">
        <v>661</v>
      </c>
      <c r="J1961" s="37">
        <f t="shared" si="116"/>
        <v>0</v>
      </c>
      <c r="K1961" s="37">
        <f t="shared" si="117"/>
        <v>3.753960132598877E-3</v>
      </c>
      <c r="L1961" s="39"/>
      <c r="M1961" s="40"/>
      <c r="N1961" s="40"/>
      <c r="O1961" s="41"/>
    </row>
    <row r="1962" spans="1:15" s="7" customFormat="1" ht="18.75">
      <c r="A1962" s="56"/>
      <c r="B1962" s="30"/>
      <c r="C1962" s="7" t="s">
        <v>199</v>
      </c>
      <c r="D1962" s="127" t="s">
        <v>359</v>
      </c>
      <c r="E1962" s="44">
        <v>44049</v>
      </c>
      <c r="F1962" s="34">
        <v>56380959.960000001</v>
      </c>
      <c r="G1962" s="35">
        <v>43897</v>
      </c>
      <c r="H1962" s="47">
        <f>28190479.98+28190479.98</f>
        <v>56380959.960000001</v>
      </c>
      <c r="I1962" s="35" t="s">
        <v>719</v>
      </c>
      <c r="J1962" s="37">
        <f t="shared" si="116"/>
        <v>0</v>
      </c>
      <c r="K1962" s="37">
        <f t="shared" si="117"/>
        <v>3.753960132598877E-3</v>
      </c>
      <c r="L1962" s="39"/>
      <c r="M1962" s="40"/>
      <c r="N1962" s="40"/>
      <c r="O1962" s="41"/>
    </row>
    <row r="1963" spans="1:15" s="7" customFormat="1" ht="18.75">
      <c r="A1963" s="56"/>
      <c r="B1963" s="30"/>
      <c r="C1963" s="7" t="s">
        <v>201</v>
      </c>
      <c r="D1963" s="127" t="s">
        <v>202</v>
      </c>
      <c r="E1963" s="44" t="s">
        <v>449</v>
      </c>
      <c r="F1963" s="34">
        <v>66178359.629190393</v>
      </c>
      <c r="G1963" s="35">
        <v>43929</v>
      </c>
      <c r="H1963" s="47">
        <f>33089179.81+33089179.82</f>
        <v>66178359.629999995</v>
      </c>
      <c r="I1963" s="35" t="s">
        <v>1569</v>
      </c>
      <c r="J1963" s="37">
        <f t="shared" si="116"/>
        <v>-8.0960243940353394E-4</v>
      </c>
      <c r="K1963" s="37">
        <f t="shared" si="117"/>
        <v>3.753960132598877E-3</v>
      </c>
      <c r="L1963" s="39"/>
      <c r="M1963" s="40"/>
      <c r="N1963" s="40"/>
      <c r="O1963" s="41"/>
    </row>
    <row r="1964" spans="1:15" s="7" customFormat="1" ht="18.75">
      <c r="A1964" s="56"/>
      <c r="B1964" s="30"/>
      <c r="C1964" s="7" t="s">
        <v>203</v>
      </c>
      <c r="D1964" s="127" t="s">
        <v>204</v>
      </c>
      <c r="E1964" s="44">
        <v>43990</v>
      </c>
      <c r="F1964" s="34">
        <v>74597375.730000004</v>
      </c>
      <c r="G1964" s="35" t="s">
        <v>290</v>
      </c>
      <c r="H1964" s="47">
        <f>37298687.86+37298687.87</f>
        <v>74597375.729999989</v>
      </c>
      <c r="I1964" s="35" t="s">
        <v>1570</v>
      </c>
      <c r="J1964" s="37">
        <f t="shared" si="116"/>
        <v>0</v>
      </c>
      <c r="K1964" s="37">
        <f t="shared" si="117"/>
        <v>2.944357693195343E-3</v>
      </c>
      <c r="L1964" s="39"/>
      <c r="M1964" s="40"/>
      <c r="N1964" s="40"/>
      <c r="O1964" s="41"/>
    </row>
    <row r="1965" spans="1:15" s="7" customFormat="1" ht="18.75">
      <c r="A1965" s="56"/>
      <c r="B1965" s="30"/>
      <c r="C1965" s="7" t="s">
        <v>207</v>
      </c>
      <c r="D1965" s="127" t="s">
        <v>208</v>
      </c>
      <c r="E1965" s="44" t="s">
        <v>292</v>
      </c>
      <c r="F1965" s="34">
        <v>65922842.09360221</v>
      </c>
      <c r="G1965" s="35" t="s">
        <v>293</v>
      </c>
      <c r="H1965" s="34">
        <v>65922842.09360221</v>
      </c>
      <c r="I1965" s="3" t="s">
        <v>210</v>
      </c>
      <c r="J1965" s="37">
        <f t="shared" si="116"/>
        <v>0</v>
      </c>
      <c r="K1965" s="37">
        <f t="shared" si="117"/>
        <v>2.944357693195343E-3</v>
      </c>
      <c r="L1965" s="39"/>
      <c r="M1965" s="40"/>
      <c r="N1965" s="40"/>
      <c r="O1965" s="41"/>
    </row>
    <row r="1966" spans="1:15" s="7" customFormat="1" ht="18.75">
      <c r="A1966" s="56"/>
      <c r="B1966" s="30"/>
      <c r="C1966" s="7" t="s">
        <v>212</v>
      </c>
      <c r="D1966" s="127" t="s">
        <v>52</v>
      </c>
      <c r="E1966" s="44">
        <v>44084</v>
      </c>
      <c r="F1966" s="34">
        <v>83454930.75</v>
      </c>
      <c r="G1966" s="35" t="s">
        <v>213</v>
      </c>
      <c r="H1966" s="34">
        <f>41727460+41727470.75</f>
        <v>83454930.75</v>
      </c>
      <c r="I1966" s="44" t="s">
        <v>1571</v>
      </c>
      <c r="J1966" s="37">
        <f t="shared" si="116"/>
        <v>0</v>
      </c>
      <c r="K1966" s="37">
        <f t="shared" si="117"/>
        <v>2.944357693195343E-3</v>
      </c>
      <c r="L1966" s="39"/>
      <c r="M1966" s="40"/>
      <c r="N1966" s="40"/>
      <c r="O1966" s="41"/>
    </row>
    <row r="1967" spans="1:15" s="7" customFormat="1" ht="18.75">
      <c r="A1967" s="56"/>
      <c r="B1967" s="30"/>
      <c r="C1967" s="7" t="s">
        <v>214</v>
      </c>
      <c r="D1967" s="127" t="s">
        <v>215</v>
      </c>
      <c r="E1967" s="44">
        <v>0</v>
      </c>
      <c r="F1967" s="34">
        <v>73503986.490999997</v>
      </c>
      <c r="G1967" s="35" t="s">
        <v>216</v>
      </c>
      <c r="H1967" s="34">
        <f>36751990+36751996.49</f>
        <v>73503986.49000001</v>
      </c>
      <c r="I1967" s="44">
        <v>44146</v>
      </c>
      <c r="J1967" s="37">
        <f t="shared" si="116"/>
        <v>9.9998712539672852E-4</v>
      </c>
      <c r="K1967" s="37">
        <f t="shared" si="117"/>
        <v>2.944357693195343E-3</v>
      </c>
      <c r="L1967" s="39"/>
      <c r="M1967" s="40"/>
      <c r="N1967" s="40"/>
      <c r="O1967" s="41"/>
    </row>
    <row r="1968" spans="1:15" s="7" customFormat="1" ht="18.75">
      <c r="A1968" s="56"/>
      <c r="B1968" s="30"/>
      <c r="C1968" s="7" t="s">
        <v>218</v>
      </c>
      <c r="D1968" s="127" t="s">
        <v>65</v>
      </c>
      <c r="E1968" s="44">
        <v>44024</v>
      </c>
      <c r="F1968" s="34">
        <v>64792973.609999999</v>
      </c>
      <c r="G1968" s="35">
        <v>44531</v>
      </c>
      <c r="H1968" s="34">
        <f>32396485+32396488.61</f>
        <v>64792973.609999999</v>
      </c>
      <c r="I1968" s="44">
        <v>44116</v>
      </c>
      <c r="J1968" s="37">
        <f t="shared" si="116"/>
        <v>0</v>
      </c>
      <c r="K1968" s="37">
        <f t="shared" si="117"/>
        <v>3.9443448185920715E-3</v>
      </c>
      <c r="L1968" s="39"/>
      <c r="M1968" s="40"/>
      <c r="N1968" s="40"/>
      <c r="O1968" s="41"/>
    </row>
    <row r="1969" spans="1:15" s="7" customFormat="1" ht="18.75">
      <c r="A1969" s="56"/>
      <c r="B1969" s="30"/>
      <c r="C1969" s="7" t="s">
        <v>219</v>
      </c>
      <c r="D1969" s="127" t="s">
        <v>71</v>
      </c>
      <c r="E1969" s="44">
        <v>44409</v>
      </c>
      <c r="F1969" s="34">
        <v>57412659.204165153</v>
      </c>
      <c r="G1969" s="35" t="s">
        <v>220</v>
      </c>
      <c r="H1969" s="34">
        <f>28706659.2+28706000</f>
        <v>57412659.200000003</v>
      </c>
      <c r="I1969" s="44" t="s">
        <v>1572</v>
      </c>
      <c r="J1969" s="37">
        <f t="shared" si="116"/>
        <v>4.1651502251625061E-3</v>
      </c>
      <c r="K1969" s="37">
        <f t="shared" si="117"/>
        <v>3.9443448185920715E-3</v>
      </c>
      <c r="L1969" s="39"/>
      <c r="M1969" s="40"/>
      <c r="N1969" s="40"/>
      <c r="O1969" s="41"/>
    </row>
    <row r="1970" spans="1:15" s="7" customFormat="1" ht="18.75">
      <c r="A1970" s="56"/>
      <c r="B1970" s="30"/>
      <c r="C1970" s="7" t="s">
        <v>221</v>
      </c>
      <c r="D1970" s="127" t="s">
        <v>26</v>
      </c>
      <c r="E1970" s="44">
        <v>44410</v>
      </c>
      <c r="F1970" s="34">
        <v>43577686.359499998</v>
      </c>
      <c r="G1970" s="35" t="s">
        <v>27</v>
      </c>
      <c r="H1970" s="34">
        <f>22140000+22146088.39</f>
        <v>44286088.390000001</v>
      </c>
      <c r="I1970" s="44" t="s">
        <v>1553</v>
      </c>
      <c r="J1970" s="37">
        <f t="shared" si="116"/>
        <v>-708402.03050000221</v>
      </c>
      <c r="K1970" s="37">
        <f t="shared" si="117"/>
        <v>8.1094950437545776E-3</v>
      </c>
      <c r="L1970" s="39"/>
      <c r="M1970" s="40"/>
      <c r="N1970" s="40"/>
      <c r="O1970" s="41"/>
    </row>
    <row r="1971" spans="1:15" s="7" customFormat="1" ht="18.75">
      <c r="A1971" s="56"/>
      <c r="B1971" s="30"/>
      <c r="C1971" s="7" t="s">
        <v>222</v>
      </c>
      <c r="D1971" s="127" t="s">
        <v>223</v>
      </c>
      <c r="E1971" s="44">
        <v>44472</v>
      </c>
      <c r="F1971" s="34">
        <v>71025730.139286399</v>
      </c>
      <c r="G1971" s="35" t="s">
        <v>391</v>
      </c>
      <c r="H1971" s="34">
        <f>35525730.14+35000000</f>
        <v>70525730.140000001</v>
      </c>
      <c r="I1971" s="44" t="s">
        <v>82</v>
      </c>
      <c r="J1971" s="37">
        <f t="shared" si="116"/>
        <v>499999.99928639829</v>
      </c>
      <c r="K1971" s="37">
        <f t="shared" si="117"/>
        <v>-708402.02239050716</v>
      </c>
      <c r="L1971" s="39"/>
      <c r="M1971" s="40"/>
      <c r="N1971" s="40"/>
      <c r="O1971" s="41"/>
    </row>
    <row r="1972" spans="1:15" s="7" customFormat="1" ht="18.75">
      <c r="A1972" s="56"/>
      <c r="B1972" s="30"/>
      <c r="C1972" s="7" t="s">
        <v>349</v>
      </c>
      <c r="D1972" s="127" t="s">
        <v>367</v>
      </c>
      <c r="E1972" s="44">
        <v>44412</v>
      </c>
      <c r="F1972" s="34">
        <v>86503453.319999993</v>
      </c>
      <c r="G1972" s="35" t="s">
        <v>1453</v>
      </c>
      <c r="H1972" s="34">
        <f>43000000+43503453.32</f>
        <v>86503453.319999993</v>
      </c>
      <c r="I1972" s="44" t="s">
        <v>1573</v>
      </c>
      <c r="J1972" s="37">
        <f t="shared" si="116"/>
        <v>0</v>
      </c>
      <c r="K1972" s="37">
        <f t="shared" si="117"/>
        <v>-208402.02310410887</v>
      </c>
      <c r="L1972" s="39"/>
      <c r="M1972" s="40"/>
      <c r="N1972" s="40"/>
      <c r="O1972" s="41"/>
    </row>
    <row r="1973" spans="1:15" s="7" customFormat="1" ht="18.75">
      <c r="A1973" s="56"/>
      <c r="B1973" s="30" t="s">
        <v>1574</v>
      </c>
      <c r="C1973" s="42"/>
      <c r="D1973" s="32"/>
      <c r="E1973" s="44"/>
      <c r="F1973" s="4"/>
      <c r="G1973" s="35"/>
      <c r="H1973" s="47"/>
      <c r="I1973" s="35"/>
      <c r="J1973" s="37"/>
      <c r="K1973" s="38">
        <f t="shared" si="117"/>
        <v>-208402.02310410887</v>
      </c>
      <c r="L1973" s="39"/>
      <c r="M1973" s="40"/>
      <c r="N1973" s="40"/>
      <c r="O1973" s="41"/>
    </row>
    <row r="1974" spans="1:15" s="7" customFormat="1" ht="18.75">
      <c r="A1974" s="56"/>
      <c r="B1974" s="30"/>
      <c r="C1974" s="42"/>
      <c r="D1974" s="32"/>
      <c r="E1974" s="44"/>
      <c r="F1974" s="34"/>
      <c r="G1974" s="35"/>
      <c r="H1974" s="47"/>
      <c r="I1974" s="35"/>
      <c r="J1974" s="37"/>
      <c r="K1974" s="38"/>
      <c r="L1974" s="39"/>
      <c r="M1974" s="40"/>
      <c r="N1974" s="40"/>
      <c r="O1974" s="41"/>
    </row>
    <row r="1975" spans="1:15" s="7" customFormat="1" ht="18.75">
      <c r="A1975" s="56">
        <v>55</v>
      </c>
      <c r="B1975" s="57" t="s">
        <v>1575</v>
      </c>
      <c r="C1975" s="41" t="s">
        <v>409</v>
      </c>
      <c r="D1975" s="32" t="s">
        <v>367</v>
      </c>
      <c r="E1975" s="44"/>
      <c r="F1975" s="34">
        <v>77897562.719999999</v>
      </c>
      <c r="G1975" s="143" t="s">
        <v>1340</v>
      </c>
      <c r="H1975" s="47">
        <v>12974014.469999969</v>
      </c>
      <c r="I1975" s="76"/>
      <c r="J1975" s="37">
        <f t="shared" ref="J1975:J2007" si="118">F1975-H1975</f>
        <v>64923548.25000003</v>
      </c>
      <c r="K1975" s="110">
        <v>0</v>
      </c>
      <c r="L1975" s="60"/>
      <c r="M1975" s="41"/>
      <c r="N1975" s="41"/>
      <c r="O1975" s="41"/>
    </row>
    <row r="1976" spans="1:15" s="7" customFormat="1" ht="18.75">
      <c r="A1976" s="56"/>
      <c r="B1976" s="236"/>
      <c r="C1976" s="41" t="s">
        <v>411</v>
      </c>
      <c r="D1976" s="32" t="s">
        <v>368</v>
      </c>
      <c r="E1976" s="44"/>
      <c r="F1976" s="34">
        <v>92482594.810000002</v>
      </c>
      <c r="G1976" s="143" t="s">
        <v>1576</v>
      </c>
      <c r="H1976" s="234"/>
      <c r="I1976" s="58"/>
      <c r="J1976" s="37">
        <f>F1976-H1976</f>
        <v>92482594.810000002</v>
      </c>
      <c r="K1976" s="110">
        <f>K1975+J1975</f>
        <v>64923548.25000003</v>
      </c>
      <c r="L1976" s="60"/>
      <c r="M1976" s="41"/>
      <c r="N1976" s="41"/>
      <c r="O1976" s="41"/>
    </row>
    <row r="1977" spans="1:15" s="7" customFormat="1" ht="18.75">
      <c r="A1977" s="56"/>
      <c r="B1977" s="236"/>
      <c r="C1977" s="41" t="s">
        <v>414</v>
      </c>
      <c r="D1977" s="32" t="s">
        <v>370</v>
      </c>
      <c r="E1977" s="44"/>
      <c r="F1977" s="34">
        <v>28444580.920000002</v>
      </c>
      <c r="G1977" s="143" t="s">
        <v>1342</v>
      </c>
      <c r="H1977" s="234">
        <v>210000000</v>
      </c>
      <c r="I1977" s="58"/>
      <c r="J1977" s="37">
        <f t="shared" si="118"/>
        <v>-181555419.07999998</v>
      </c>
      <c r="K1977" s="110">
        <f>K1976+J1976</f>
        <v>157406143.06000003</v>
      </c>
      <c r="L1977" s="60"/>
      <c r="M1977" s="41"/>
      <c r="N1977" s="41"/>
      <c r="O1977" s="41"/>
    </row>
    <row r="1978" spans="1:15" s="7" customFormat="1" ht="18.75">
      <c r="A1978" s="56"/>
      <c r="B1978" s="236"/>
      <c r="C1978" s="41" t="s">
        <v>1412</v>
      </c>
      <c r="D1978" s="32" t="s">
        <v>371</v>
      </c>
      <c r="E1978" s="44"/>
      <c r="F1978" s="34">
        <v>106642305.36</v>
      </c>
      <c r="G1978" s="143"/>
      <c r="H1978" s="234">
        <v>100000000</v>
      </c>
      <c r="I1978" s="58" t="s">
        <v>934</v>
      </c>
      <c r="J1978" s="37">
        <f t="shared" si="118"/>
        <v>6642305.3599999994</v>
      </c>
      <c r="K1978" s="110">
        <f>K1977+J1977</f>
        <v>-24149276.019999951</v>
      </c>
      <c r="L1978" s="60"/>
      <c r="M1978" s="41"/>
      <c r="N1978" s="41"/>
      <c r="O1978" s="41"/>
    </row>
    <row r="1979" spans="1:15" s="7" customFormat="1" ht="18.75">
      <c r="A1979" s="56"/>
      <c r="B1979" s="236"/>
      <c r="C1979" s="41" t="s">
        <v>609</v>
      </c>
      <c r="D1979" s="32" t="s">
        <v>372</v>
      </c>
      <c r="E1979" s="44"/>
      <c r="F1979" s="34">
        <v>114708001.63</v>
      </c>
      <c r="G1979" s="143"/>
      <c r="H1979" s="234">
        <v>100000000</v>
      </c>
      <c r="I1979" s="58" t="s">
        <v>1577</v>
      </c>
      <c r="J1979" s="37">
        <f t="shared" si="118"/>
        <v>14708001.629999995</v>
      </c>
      <c r="K1979" s="110">
        <f>K1978+J1978</f>
        <v>-17506970.659999952</v>
      </c>
      <c r="L1979" s="60"/>
      <c r="M1979" s="41"/>
      <c r="N1979" s="41"/>
      <c r="O1979" s="41"/>
    </row>
    <row r="1980" spans="1:15" s="7" customFormat="1" ht="18.75">
      <c r="A1980" s="56"/>
      <c r="B1980" s="236"/>
      <c r="C1980" s="41" t="s">
        <v>611</v>
      </c>
      <c r="D1980" s="32" t="s">
        <v>373</v>
      </c>
      <c r="E1980" s="44"/>
      <c r="F1980" s="34">
        <v>82045297.920000002</v>
      </c>
      <c r="G1980" s="143"/>
      <c r="H1980" s="234">
        <v>70000000</v>
      </c>
      <c r="I1980" s="58" t="s">
        <v>941</v>
      </c>
      <c r="J1980" s="37">
        <f t="shared" si="118"/>
        <v>12045297.920000002</v>
      </c>
      <c r="K1980" s="110">
        <f t="shared" ref="K1980:K2008" si="119">K1979+J1979</f>
        <v>-2798969.0299999565</v>
      </c>
      <c r="L1980" s="60"/>
      <c r="M1980" s="41"/>
      <c r="N1980" s="41"/>
      <c r="O1980" s="41"/>
    </row>
    <row r="1981" spans="1:15" s="7" customFormat="1" ht="18.75">
      <c r="A1981" s="56"/>
      <c r="B1981" s="236"/>
      <c r="C1981" s="29" t="s">
        <v>614</v>
      </c>
      <c r="D1981" s="32" t="s">
        <v>92</v>
      </c>
      <c r="E1981" s="44"/>
      <c r="F1981" s="118">
        <v>83802222.489999995</v>
      </c>
      <c r="G1981" s="96">
        <v>42919</v>
      </c>
      <c r="H1981" s="234">
        <v>30000000</v>
      </c>
      <c r="I1981" s="58" t="s">
        <v>1578</v>
      </c>
      <c r="J1981" s="37">
        <f t="shared" si="118"/>
        <v>53802222.489999995</v>
      </c>
      <c r="K1981" s="110">
        <f t="shared" si="119"/>
        <v>9246328.8900000453</v>
      </c>
      <c r="L1981" s="60"/>
      <c r="M1981" s="41"/>
      <c r="N1981" s="41"/>
      <c r="O1981" s="41"/>
    </row>
    <row r="1982" spans="1:15" s="7" customFormat="1" ht="18.75">
      <c r="A1982" s="56"/>
      <c r="B1982" s="236"/>
      <c r="C1982" s="29" t="s">
        <v>489</v>
      </c>
      <c r="D1982" s="32" t="s">
        <v>63</v>
      </c>
      <c r="E1982" s="44"/>
      <c r="F1982" s="118">
        <v>2130520.13</v>
      </c>
      <c r="G1982" s="75" t="s">
        <v>1187</v>
      </c>
      <c r="H1982" s="234">
        <v>100000000</v>
      </c>
      <c r="I1982" s="96">
        <v>43437</v>
      </c>
      <c r="J1982" s="37">
        <f t="shared" si="118"/>
        <v>-97869479.870000005</v>
      </c>
      <c r="K1982" s="110">
        <f t="shared" si="119"/>
        <v>63048551.38000004</v>
      </c>
      <c r="L1982" s="60"/>
      <c r="M1982" s="41"/>
      <c r="N1982" s="41"/>
      <c r="O1982" s="41"/>
    </row>
    <row r="1983" spans="1:15" s="7" customFormat="1" ht="18.75">
      <c r="A1983" s="56"/>
      <c r="B1983" s="236"/>
      <c r="C1983" s="29" t="s">
        <v>618</v>
      </c>
      <c r="D1983" s="32" t="s">
        <v>374</v>
      </c>
      <c r="E1983" s="44"/>
      <c r="F1983" s="118">
        <v>151761671.90000001</v>
      </c>
      <c r="G1983" s="96" t="s">
        <v>1038</v>
      </c>
      <c r="H1983" s="172">
        <f>50000000+50000000+50000000</f>
        <v>150000000</v>
      </c>
      <c r="I1983" s="58" t="s">
        <v>1579</v>
      </c>
      <c r="J1983" s="37">
        <f t="shared" si="118"/>
        <v>1761671.900000006</v>
      </c>
      <c r="K1983" s="110">
        <f t="shared" si="119"/>
        <v>-34820928.489999965</v>
      </c>
      <c r="L1983" s="60"/>
      <c r="M1983" s="41"/>
      <c r="N1983" s="41"/>
      <c r="O1983" s="41"/>
    </row>
    <row r="1984" spans="1:15" s="7" customFormat="1" ht="18.75">
      <c r="A1984" s="56"/>
      <c r="B1984" s="236"/>
      <c r="C1984" s="29" t="s">
        <v>560</v>
      </c>
      <c r="D1984" s="32" t="s">
        <v>376</v>
      </c>
      <c r="E1984" s="44"/>
      <c r="F1984" s="94">
        <v>40968620.609999999</v>
      </c>
      <c r="G1984" s="96">
        <v>42908</v>
      </c>
      <c r="H1984" s="234">
        <v>150000000</v>
      </c>
      <c r="I1984" s="58" t="s">
        <v>505</v>
      </c>
      <c r="J1984" s="37">
        <f t="shared" si="118"/>
        <v>-109031379.39</v>
      </c>
      <c r="K1984" s="110">
        <f t="shared" si="119"/>
        <v>-33059256.589999959</v>
      </c>
      <c r="L1984" s="60"/>
      <c r="M1984" s="41"/>
      <c r="N1984" s="41"/>
      <c r="O1984" s="41"/>
    </row>
    <row r="1985" spans="1:15" s="7" customFormat="1" ht="18.75">
      <c r="A1985" s="56"/>
      <c r="B1985" s="236"/>
      <c r="C1985" s="29" t="s">
        <v>562</v>
      </c>
      <c r="D1985" s="32" t="s">
        <v>54</v>
      </c>
      <c r="E1985" s="44"/>
      <c r="F1985" s="94">
        <v>10379753.710000001</v>
      </c>
      <c r="G1985" s="96">
        <v>42959</v>
      </c>
      <c r="H1985" s="234">
        <v>150000000</v>
      </c>
      <c r="I1985" s="58" t="s">
        <v>515</v>
      </c>
      <c r="J1985" s="37">
        <f t="shared" si="118"/>
        <v>-139620246.28999999</v>
      </c>
      <c r="K1985" s="110">
        <f t="shared" si="119"/>
        <v>-142090635.97999996</v>
      </c>
      <c r="L1985" s="60"/>
      <c r="M1985" s="41"/>
      <c r="N1985" s="41"/>
      <c r="O1985" s="41"/>
    </row>
    <row r="1986" spans="1:15" s="7" customFormat="1" ht="18.75">
      <c r="A1986" s="56"/>
      <c r="B1986" s="236"/>
      <c r="C1986" s="29" t="s">
        <v>494</v>
      </c>
      <c r="D1986" s="32" t="s">
        <v>1048</v>
      </c>
      <c r="E1986" s="44"/>
      <c r="F1986" s="95">
        <v>134340404.69</v>
      </c>
      <c r="G1986" s="98" t="s">
        <v>1191</v>
      </c>
      <c r="H1986" s="172">
        <f>50000000+50000000+50000000</f>
        <v>150000000</v>
      </c>
      <c r="I1986" s="96">
        <v>43444</v>
      </c>
      <c r="J1986" s="37">
        <f t="shared" si="118"/>
        <v>-15659595.310000002</v>
      </c>
      <c r="K1986" s="110">
        <f t="shared" si="119"/>
        <v>-281710882.26999998</v>
      </c>
      <c r="L1986" s="60"/>
      <c r="M1986" s="41"/>
      <c r="N1986" s="41"/>
      <c r="O1986" s="41"/>
    </row>
    <row r="1987" spans="1:15" s="7" customFormat="1" ht="18.75">
      <c r="A1987" s="56"/>
      <c r="B1987" s="236"/>
      <c r="C1987" s="29" t="s">
        <v>497</v>
      </c>
      <c r="D1987" s="32" t="s">
        <v>1050</v>
      </c>
      <c r="E1987" s="44"/>
      <c r="F1987" s="95">
        <v>166924578.94</v>
      </c>
      <c r="G1987" s="98" t="s">
        <v>1580</v>
      </c>
      <c r="H1987" s="172"/>
      <c r="I1987" s="76"/>
      <c r="J1987" s="37">
        <f t="shared" si="118"/>
        <v>166924578.94</v>
      </c>
      <c r="K1987" s="110">
        <f t="shared" si="119"/>
        <v>-297370477.57999998</v>
      </c>
      <c r="L1987" s="60"/>
      <c r="M1987" s="41"/>
      <c r="N1987" s="41"/>
      <c r="O1987" s="41"/>
    </row>
    <row r="1988" spans="1:15" s="7" customFormat="1" ht="18.75">
      <c r="A1988" s="56"/>
      <c r="B1988" s="236"/>
      <c r="C1988" s="29" t="s">
        <v>498</v>
      </c>
      <c r="D1988" s="32" t="s">
        <v>1051</v>
      </c>
      <c r="E1988" s="44"/>
      <c r="F1988" s="95">
        <v>157645057.31999999</v>
      </c>
      <c r="G1988" s="98">
        <v>42988</v>
      </c>
      <c r="H1988" s="47">
        <v>0</v>
      </c>
      <c r="I1988" s="58"/>
      <c r="J1988" s="37">
        <f t="shared" si="118"/>
        <v>157645057.31999999</v>
      </c>
      <c r="K1988" s="110">
        <f t="shared" si="119"/>
        <v>-130445898.63999999</v>
      </c>
      <c r="L1988" s="60"/>
      <c r="M1988" s="41"/>
      <c r="N1988" s="41"/>
      <c r="O1988" s="41"/>
    </row>
    <row r="1989" spans="1:15" s="7" customFormat="1" ht="18.75">
      <c r="A1989" s="56"/>
      <c r="B1989" s="236"/>
      <c r="C1989" s="29" t="s">
        <v>564</v>
      </c>
      <c r="D1989" s="32" t="s">
        <v>1053</v>
      </c>
      <c r="E1989" s="44"/>
      <c r="F1989" s="95">
        <v>50617838.170000002</v>
      </c>
      <c r="G1989" s="98">
        <v>43042</v>
      </c>
      <c r="H1989" s="47">
        <v>0</v>
      </c>
      <c r="I1989" s="58"/>
      <c r="J1989" s="37">
        <f t="shared" si="118"/>
        <v>50617838.170000002</v>
      </c>
      <c r="K1989" s="110">
        <f t="shared" si="119"/>
        <v>27199158.680000007</v>
      </c>
      <c r="L1989" s="60"/>
      <c r="M1989" s="41"/>
      <c r="N1989" s="41"/>
      <c r="O1989" s="41"/>
    </row>
    <row r="1990" spans="1:15" s="7" customFormat="1" ht="18.75">
      <c r="A1990" s="56"/>
      <c r="B1990" s="236"/>
      <c r="C1990" s="29" t="s">
        <v>500</v>
      </c>
      <c r="D1990" s="32" t="s">
        <v>1054</v>
      </c>
      <c r="E1990" s="44"/>
      <c r="F1990" s="95">
        <v>70407224.730000004</v>
      </c>
      <c r="G1990" s="98">
        <v>42867</v>
      </c>
      <c r="H1990" s="47">
        <v>0</v>
      </c>
      <c r="I1990" s="58"/>
      <c r="J1990" s="37">
        <f t="shared" si="118"/>
        <v>70407224.730000004</v>
      </c>
      <c r="K1990" s="110">
        <f t="shared" si="119"/>
        <v>77816996.850000009</v>
      </c>
      <c r="L1990" s="60"/>
      <c r="M1990" s="41"/>
      <c r="N1990" s="41"/>
      <c r="O1990" s="41"/>
    </row>
    <row r="1991" spans="1:15" s="7" customFormat="1" ht="18.75">
      <c r="A1991" s="56"/>
      <c r="B1991" s="236"/>
      <c r="C1991" s="29" t="s">
        <v>501</v>
      </c>
      <c r="D1991" s="32" t="s">
        <v>1055</v>
      </c>
      <c r="E1991" s="44"/>
      <c r="F1991" s="95">
        <v>12668894.41</v>
      </c>
      <c r="G1991" s="98" t="s">
        <v>502</v>
      </c>
      <c r="H1991" s="47">
        <v>0</v>
      </c>
      <c r="I1991" s="58"/>
      <c r="J1991" s="37">
        <f t="shared" si="118"/>
        <v>12668894.41</v>
      </c>
      <c r="K1991" s="110">
        <f t="shared" si="119"/>
        <v>148224221.58000001</v>
      </c>
      <c r="L1991" s="60"/>
      <c r="M1991" s="41"/>
      <c r="N1991" s="41"/>
      <c r="O1991" s="41"/>
    </row>
    <row r="1992" spans="1:15" s="7" customFormat="1" ht="18.75">
      <c r="A1992" s="56"/>
      <c r="B1992" s="236"/>
      <c r="C1992" s="29" t="s">
        <v>504</v>
      </c>
      <c r="D1992" s="32" t="s">
        <v>1056</v>
      </c>
      <c r="E1992" s="44"/>
      <c r="F1992" s="95">
        <v>32914162.399999999</v>
      </c>
      <c r="G1992" s="98">
        <v>43375</v>
      </c>
      <c r="H1992" s="47">
        <v>0</v>
      </c>
      <c r="I1992" s="58"/>
      <c r="J1992" s="37">
        <f t="shared" si="118"/>
        <v>32914162.399999999</v>
      </c>
      <c r="K1992" s="110">
        <f t="shared" si="119"/>
        <v>160893115.99000001</v>
      </c>
      <c r="L1992" s="60"/>
      <c r="M1992" s="41"/>
      <c r="N1992" s="41"/>
      <c r="O1992" s="41"/>
    </row>
    <row r="1993" spans="1:15" s="7" customFormat="1" ht="18.75">
      <c r="A1993" s="56"/>
      <c r="B1993" s="236"/>
      <c r="C1993" s="29" t="s">
        <v>506</v>
      </c>
      <c r="D1993" s="32" t="s">
        <v>1058</v>
      </c>
      <c r="E1993" s="44"/>
      <c r="F1993" s="95">
        <v>163457860.66</v>
      </c>
      <c r="G1993" s="98">
        <v>43383</v>
      </c>
      <c r="H1993" s="47">
        <v>498000000</v>
      </c>
      <c r="I1993" s="58" t="s">
        <v>710</v>
      </c>
      <c r="J1993" s="37">
        <f t="shared" si="118"/>
        <v>-334542139.34000003</v>
      </c>
      <c r="K1993" s="110">
        <f t="shared" si="119"/>
        <v>193807278.39000002</v>
      </c>
      <c r="L1993" s="60"/>
      <c r="M1993" s="41"/>
      <c r="N1993" s="41"/>
      <c r="O1993" s="41"/>
    </row>
    <row r="1994" spans="1:15" s="7" customFormat="1" ht="18.75">
      <c r="A1994" s="56"/>
      <c r="B1994" s="236"/>
      <c r="C1994" s="29" t="s">
        <v>508</v>
      </c>
      <c r="D1994" s="32" t="s">
        <v>1060</v>
      </c>
      <c r="E1994" s="44"/>
      <c r="F1994" s="95">
        <v>185762322.33000001</v>
      </c>
      <c r="G1994" s="75" t="s">
        <v>509</v>
      </c>
      <c r="H1994" s="47">
        <v>0</v>
      </c>
      <c r="I1994" s="58"/>
      <c r="J1994" s="37">
        <f t="shared" si="118"/>
        <v>185762322.33000001</v>
      </c>
      <c r="K1994" s="110">
        <f t="shared" si="119"/>
        <v>-140734860.95000002</v>
      </c>
      <c r="L1994" s="60"/>
      <c r="M1994" s="41"/>
      <c r="N1994" s="41"/>
      <c r="O1994" s="41"/>
    </row>
    <row r="1995" spans="1:15" s="7" customFormat="1" ht="18.75">
      <c r="A1995" s="56"/>
      <c r="B1995" s="236"/>
      <c r="C1995" s="29" t="s">
        <v>355</v>
      </c>
      <c r="D1995" s="32" t="s">
        <v>1061</v>
      </c>
      <c r="E1995" s="44"/>
      <c r="F1995" s="95">
        <v>218062538.02296388</v>
      </c>
      <c r="G1995" s="75" t="s">
        <v>1523</v>
      </c>
      <c r="H1995" s="47">
        <v>0</v>
      </c>
      <c r="I1995" s="58"/>
      <c r="J1995" s="37">
        <f t="shared" si="118"/>
        <v>218062538.02296388</v>
      </c>
      <c r="K1995" s="110">
        <f t="shared" si="119"/>
        <v>45027461.379999995</v>
      </c>
      <c r="L1995" s="60"/>
      <c r="M1995" s="41"/>
      <c r="N1995" s="41"/>
      <c r="O1995" s="41"/>
    </row>
    <row r="1996" spans="1:15" s="7" customFormat="1" ht="18.75">
      <c r="A1996" s="56"/>
      <c r="B1996" s="236"/>
      <c r="C1996" s="31" t="s">
        <v>234</v>
      </c>
      <c r="D1996" s="32" t="s">
        <v>1353</v>
      </c>
      <c r="E1996" s="44"/>
      <c r="F1996" s="95">
        <v>177952871.02102125</v>
      </c>
      <c r="G1996" s="75" t="s">
        <v>1581</v>
      </c>
      <c r="H1996" s="47">
        <v>502000000</v>
      </c>
      <c r="I1996" s="58" t="s">
        <v>587</v>
      </c>
      <c r="J1996" s="37">
        <f t="shared" si="118"/>
        <v>-324047128.97897875</v>
      </c>
      <c r="K1996" s="110">
        <f t="shared" si="119"/>
        <v>263089999.40296388</v>
      </c>
      <c r="L1996" s="60"/>
      <c r="M1996" s="41"/>
      <c r="N1996" s="41"/>
      <c r="O1996" s="41"/>
    </row>
    <row r="1997" spans="1:15" s="7" customFormat="1" ht="18.75">
      <c r="A1997" s="56"/>
      <c r="B1997" s="236"/>
      <c r="C1997" s="31" t="s">
        <v>514</v>
      </c>
      <c r="D1997" s="32" t="s">
        <v>1364</v>
      </c>
      <c r="E1997" s="44"/>
      <c r="F1997" s="95">
        <v>173200414.44309348</v>
      </c>
      <c r="G1997" s="75" t="s">
        <v>1582</v>
      </c>
      <c r="H1997" s="47"/>
      <c r="I1997" s="58"/>
      <c r="J1997" s="37">
        <f t="shared" si="118"/>
        <v>173200414.44309348</v>
      </c>
      <c r="K1997" s="110">
        <f t="shared" si="119"/>
        <v>-60957129.576014876</v>
      </c>
      <c r="L1997" s="60"/>
      <c r="M1997" s="41"/>
      <c r="N1997" s="41"/>
      <c r="O1997" s="41"/>
    </row>
    <row r="1998" spans="1:15" s="7" customFormat="1" ht="18.75">
      <c r="A1998" s="56"/>
      <c r="B1998" s="236"/>
      <c r="C1998" s="102" t="s">
        <v>238</v>
      </c>
      <c r="D1998" s="32" t="s">
        <v>1583</v>
      </c>
      <c r="E1998" s="44"/>
      <c r="F1998" s="95">
        <v>136932619.8222675</v>
      </c>
      <c r="G1998" s="75" t="s">
        <v>642</v>
      </c>
      <c r="H1998" s="47">
        <v>0</v>
      </c>
      <c r="I1998" s="58"/>
      <c r="J1998" s="37">
        <f t="shared" si="118"/>
        <v>136932619.8222675</v>
      </c>
      <c r="K1998" s="110">
        <f t="shared" si="119"/>
        <v>112243284.8670786</v>
      </c>
      <c r="L1998" s="60"/>
      <c r="M1998" s="41"/>
      <c r="N1998" s="41"/>
      <c r="O1998" s="41"/>
    </row>
    <row r="1999" spans="1:15" s="7" customFormat="1" ht="18.75">
      <c r="A1999" s="56"/>
      <c r="B1999" s="236"/>
      <c r="C1999" s="102" t="s">
        <v>517</v>
      </c>
      <c r="D1999" s="32" t="s">
        <v>1584</v>
      </c>
      <c r="E1999" s="44"/>
      <c r="F1999" s="95">
        <v>33314385.559322383</v>
      </c>
      <c r="G1999" s="75" t="s">
        <v>644</v>
      </c>
      <c r="H1999" s="47">
        <v>0</v>
      </c>
      <c r="I1999" s="58"/>
      <c r="J1999" s="37">
        <f t="shared" si="118"/>
        <v>33314385.559322383</v>
      </c>
      <c r="K1999" s="110">
        <f t="shared" si="119"/>
        <v>249175904.6893461</v>
      </c>
      <c r="L1999" s="60"/>
      <c r="M1999" s="41"/>
      <c r="N1999" s="41"/>
      <c r="O1999" s="41"/>
    </row>
    <row r="2000" spans="1:15" s="7" customFormat="1" ht="18.75">
      <c r="A2000" s="56"/>
      <c r="B2000" s="236"/>
      <c r="C2000" s="102" t="s">
        <v>422</v>
      </c>
      <c r="D2000" s="32" t="s">
        <v>1585</v>
      </c>
      <c r="E2000" s="44"/>
      <c r="F2000" s="95">
        <v>121754314.09476385</v>
      </c>
      <c r="G2000" s="75"/>
      <c r="H2000" s="47">
        <v>0</v>
      </c>
      <c r="I2000" s="58"/>
      <c r="J2000" s="37">
        <f t="shared" si="118"/>
        <v>121754314.09476385</v>
      </c>
      <c r="K2000" s="110">
        <f t="shared" si="119"/>
        <v>282490290.24866849</v>
      </c>
      <c r="L2000" s="60"/>
      <c r="M2000" s="41"/>
      <c r="N2000" s="41"/>
      <c r="O2000" s="41"/>
    </row>
    <row r="2001" spans="1:15" s="7" customFormat="1" ht="18.75">
      <c r="A2001" s="56"/>
      <c r="B2001" s="236"/>
      <c r="C2001" s="102" t="s">
        <v>246</v>
      </c>
      <c r="D2001" s="103" t="s">
        <v>1586</v>
      </c>
      <c r="E2001" s="44"/>
      <c r="F2001" s="104">
        <v>143678884.62269664</v>
      </c>
      <c r="G2001" s="105" t="s">
        <v>647</v>
      </c>
      <c r="H2001" s="47">
        <v>500000000</v>
      </c>
      <c r="I2001" s="298">
        <v>44501</v>
      </c>
      <c r="J2001" s="37">
        <f t="shared" si="118"/>
        <v>-356321115.37730336</v>
      </c>
      <c r="K2001" s="110">
        <f t="shared" si="119"/>
        <v>404244604.34343231</v>
      </c>
      <c r="L2001" s="60"/>
      <c r="M2001" s="41"/>
      <c r="N2001" s="41"/>
      <c r="O2001" s="41"/>
    </row>
    <row r="2002" spans="1:15" s="7" customFormat="1" ht="18.75">
      <c r="A2002" s="56"/>
      <c r="B2002" s="236"/>
      <c r="C2002" s="102" t="s">
        <v>522</v>
      </c>
      <c r="D2002" s="103" t="s">
        <v>1587</v>
      </c>
      <c r="E2002" s="44"/>
      <c r="F2002" s="104">
        <v>190824074.09934121</v>
      </c>
      <c r="G2002" s="105" t="s">
        <v>649</v>
      </c>
      <c r="H2002" s="47"/>
      <c r="I2002" s="201"/>
      <c r="J2002" s="37">
        <f t="shared" si="118"/>
        <v>190824074.09934121</v>
      </c>
      <c r="K2002" s="110">
        <f t="shared" si="119"/>
        <v>47923488.966128945</v>
      </c>
      <c r="L2002" s="60"/>
      <c r="M2002" s="41"/>
      <c r="N2002" s="41"/>
      <c r="O2002" s="41"/>
    </row>
    <row r="2003" spans="1:15" s="7" customFormat="1" ht="18.75">
      <c r="A2003" s="56"/>
      <c r="B2003" s="236"/>
      <c r="C2003" s="111" t="s">
        <v>250</v>
      </c>
      <c r="D2003" s="103" t="s">
        <v>536</v>
      </c>
      <c r="E2003" s="44"/>
      <c r="F2003" s="104">
        <v>151577472.80000001</v>
      </c>
      <c r="G2003" s="105" t="s">
        <v>651</v>
      </c>
      <c r="H2003" s="47">
        <v>0</v>
      </c>
      <c r="I2003" s="76"/>
      <c r="J2003" s="37">
        <f t="shared" si="118"/>
        <v>151577472.80000001</v>
      </c>
      <c r="K2003" s="110">
        <f t="shared" si="119"/>
        <v>238747563.06547016</v>
      </c>
      <c r="L2003" s="60"/>
      <c r="M2003" s="41"/>
      <c r="N2003" s="41"/>
      <c r="O2003" s="41"/>
    </row>
    <row r="2004" spans="1:15" s="7" customFormat="1" ht="18.75">
      <c r="A2004" s="56"/>
      <c r="B2004" s="236"/>
      <c r="C2004" s="111" t="s">
        <v>139</v>
      </c>
      <c r="D2004" s="103" t="s">
        <v>538</v>
      </c>
      <c r="E2004" s="44"/>
      <c r="F2004" s="104">
        <v>155232114.28</v>
      </c>
      <c r="G2004" s="105" t="s">
        <v>364</v>
      </c>
      <c r="H2004" s="159">
        <v>200000000</v>
      </c>
      <c r="I2004" s="58" t="s">
        <v>211</v>
      </c>
      <c r="J2004" s="37">
        <f t="shared" si="118"/>
        <v>-44767885.719999999</v>
      </c>
      <c r="K2004" s="110">
        <f t="shared" si="119"/>
        <v>390325035.86547017</v>
      </c>
      <c r="L2004" s="60"/>
      <c r="M2004" s="41"/>
      <c r="N2004" s="41"/>
      <c r="O2004" s="41"/>
    </row>
    <row r="2005" spans="1:15" s="7" customFormat="1" ht="18.75">
      <c r="A2005" s="56"/>
      <c r="B2005" s="236"/>
      <c r="C2005" s="62" t="s">
        <v>142</v>
      </c>
      <c r="D2005" s="103" t="s">
        <v>43</v>
      </c>
      <c r="E2005" s="44"/>
      <c r="F2005" s="104">
        <v>47378659.513506293</v>
      </c>
      <c r="G2005" s="105"/>
      <c r="H2005" s="55">
        <v>122000000</v>
      </c>
      <c r="I2005" s="7" t="s">
        <v>211</v>
      </c>
      <c r="J2005" s="37">
        <f t="shared" si="118"/>
        <v>-74621340.486493707</v>
      </c>
      <c r="K2005" s="110">
        <f t="shared" si="119"/>
        <v>345557150.14547014</v>
      </c>
      <c r="L2005" s="60"/>
      <c r="M2005" s="41"/>
      <c r="N2005" s="41"/>
      <c r="O2005" s="41"/>
    </row>
    <row r="2006" spans="1:15" s="7" customFormat="1" ht="18.75">
      <c r="A2006" s="56"/>
      <c r="B2006" s="236"/>
      <c r="C2006" s="62" t="s">
        <v>145</v>
      </c>
      <c r="D2006" s="103" t="s">
        <v>540</v>
      </c>
      <c r="E2006" s="44"/>
      <c r="F2006" s="104">
        <v>6932442.3731073011</v>
      </c>
      <c r="G2006" s="105" t="s">
        <v>363</v>
      </c>
      <c r="H2006" s="159">
        <v>275683116.05000001</v>
      </c>
      <c r="I2006" s="58" t="s">
        <v>211</v>
      </c>
      <c r="J2006" s="37">
        <f t="shared" si="118"/>
        <v>-268750673.6768927</v>
      </c>
      <c r="K2006" s="110">
        <f t="shared" si="119"/>
        <v>270935809.65897644</v>
      </c>
      <c r="L2006" s="60"/>
      <c r="M2006" s="41"/>
      <c r="N2006" s="41"/>
      <c r="O2006" s="41"/>
    </row>
    <row r="2007" spans="1:15" s="7" customFormat="1" ht="18.75">
      <c r="A2007" s="56"/>
      <c r="B2007" s="236"/>
      <c r="C2007" s="62" t="s">
        <v>148</v>
      </c>
      <c r="D2007" s="103" t="s">
        <v>542</v>
      </c>
      <c r="E2007" s="44"/>
      <c r="F2007" s="104">
        <v>72854.102697599985</v>
      </c>
      <c r="G2007" s="105" t="s">
        <v>149</v>
      </c>
      <c r="H2007" s="234"/>
      <c r="I2007" s="58"/>
      <c r="J2007" s="37">
        <f t="shared" si="118"/>
        <v>72854.102697599985</v>
      </c>
      <c r="K2007" s="110">
        <f t="shared" si="119"/>
        <v>2185135.9820837379</v>
      </c>
      <c r="L2007" s="60"/>
      <c r="M2007" s="41"/>
      <c r="N2007" s="41"/>
      <c r="O2007" s="41"/>
    </row>
    <row r="2008" spans="1:15" s="7" customFormat="1" ht="15.75">
      <c r="A2008" s="56"/>
      <c r="B2008" s="236"/>
      <c r="C2008" s="62"/>
      <c r="D2008" s="103"/>
      <c r="E2008" s="104"/>
      <c r="F2008" s="37">
        <f>K2009-F2007</f>
        <v>2185135.9820837379</v>
      </c>
      <c r="G2008" s="105"/>
      <c r="H2008" s="234"/>
      <c r="I2008" s="58"/>
      <c r="J2008" s="37"/>
      <c r="K2008" s="110">
        <f t="shared" si="119"/>
        <v>2257990.084781338</v>
      </c>
      <c r="L2008" s="60"/>
      <c r="M2008" s="41"/>
      <c r="N2008" s="41"/>
      <c r="O2008" s="41"/>
    </row>
    <row r="2009" spans="1:15" s="7" customFormat="1" ht="18.75">
      <c r="A2009" s="56"/>
      <c r="B2009" s="57" t="s">
        <v>1588</v>
      </c>
      <c r="C2009" s="31"/>
      <c r="D2009" s="32"/>
      <c r="E2009" s="44"/>
      <c r="F2009" s="34"/>
      <c r="G2009" s="35"/>
      <c r="H2009" s="234"/>
      <c r="I2009" s="58"/>
      <c r="J2009" s="41"/>
      <c r="K2009" s="116">
        <f>K2008+J2008</f>
        <v>2257990.084781338</v>
      </c>
      <c r="L2009" s="60"/>
      <c r="M2009" s="41"/>
      <c r="N2009" s="41"/>
      <c r="O2009" s="41"/>
    </row>
    <row r="2010" spans="1:15" s="7" customFormat="1" ht="18.75">
      <c r="A2010" s="56"/>
      <c r="B2010" s="57"/>
      <c r="C2010" s="31"/>
      <c r="D2010" s="32"/>
      <c r="E2010" s="44"/>
      <c r="F2010" s="86"/>
      <c r="G2010" s="35"/>
      <c r="H2010" s="234"/>
      <c r="I2010" s="58"/>
      <c r="J2010" s="41"/>
      <c r="K2010" s="116"/>
      <c r="L2010" s="60"/>
      <c r="M2010" s="41"/>
      <c r="N2010" s="41"/>
      <c r="O2010" s="41"/>
    </row>
    <row r="2011" spans="1:15" s="7" customFormat="1" ht="18.75">
      <c r="A2011" s="56"/>
      <c r="B2011" s="57" t="s">
        <v>109</v>
      </c>
      <c r="C2011" s="31" t="s">
        <v>221</v>
      </c>
      <c r="D2011" s="32" t="s">
        <v>1589</v>
      </c>
      <c r="E2011" s="44" t="s">
        <v>47</v>
      </c>
      <c r="F2011" s="86">
        <v>22505.553204749995</v>
      </c>
      <c r="G2011" s="35" t="s">
        <v>456</v>
      </c>
      <c r="H2011" s="234"/>
      <c r="I2011" s="58"/>
      <c r="J2011" s="110">
        <f>F2011-H2011</f>
        <v>22505.553204749995</v>
      </c>
      <c r="K2011" s="116"/>
      <c r="L2011" s="60"/>
      <c r="M2011" s="41"/>
      <c r="N2011" s="41"/>
      <c r="O2011" s="41"/>
    </row>
    <row r="2012" spans="1:15" s="7" customFormat="1" ht="18.75">
      <c r="A2012" s="56"/>
      <c r="B2012" s="57"/>
      <c r="C2012" s="31" t="s">
        <v>222</v>
      </c>
      <c r="D2012" s="32" t="s">
        <v>120</v>
      </c>
      <c r="E2012" s="44">
        <v>44472</v>
      </c>
      <c r="F2012" s="86">
        <v>86097.007336724986</v>
      </c>
      <c r="G2012" s="35" t="s">
        <v>391</v>
      </c>
      <c r="H2012" s="234"/>
      <c r="I2012" s="58"/>
      <c r="J2012" s="110">
        <f>F2012-H2012</f>
        <v>86097.007336724986</v>
      </c>
      <c r="K2012" s="110">
        <f>J2011+K2011</f>
        <v>22505.553204749995</v>
      </c>
      <c r="L2012" s="60"/>
      <c r="M2012" s="41"/>
      <c r="N2012" s="41"/>
      <c r="O2012" s="41"/>
    </row>
    <row r="2013" spans="1:15" s="7" customFormat="1" ht="18.75">
      <c r="A2013" s="56"/>
      <c r="B2013" s="57"/>
      <c r="C2013" s="31"/>
      <c r="D2013" s="32"/>
      <c r="E2013" s="44"/>
      <c r="F2013" s="86"/>
      <c r="G2013" s="35"/>
      <c r="H2013" s="234"/>
      <c r="I2013" s="58"/>
      <c r="J2013" s="41"/>
      <c r="K2013" s="110">
        <f>J2012+K2012</f>
        <v>108602.56054147499</v>
      </c>
      <c r="L2013" s="60"/>
      <c r="M2013" s="41"/>
      <c r="N2013" s="41"/>
      <c r="O2013" s="41"/>
    </row>
    <row r="2014" spans="1:15" s="7" customFormat="1" ht="18.75">
      <c r="A2014" s="56"/>
      <c r="B2014" s="57" t="s">
        <v>1590</v>
      </c>
      <c r="C2014" s="31"/>
      <c r="D2014" s="32"/>
      <c r="E2014" s="44"/>
      <c r="F2014" s="86"/>
      <c r="G2014" s="35"/>
      <c r="H2014" s="234"/>
      <c r="I2014" s="58"/>
      <c r="J2014" s="41"/>
      <c r="K2014" s="116">
        <f>J2013+K2013</f>
        <v>108602.56054147499</v>
      </c>
      <c r="L2014" s="60"/>
      <c r="M2014" s="41"/>
      <c r="N2014" s="41"/>
      <c r="O2014" s="41"/>
    </row>
    <row r="2015" spans="1:15" s="7" customFormat="1" ht="18.75">
      <c r="A2015" s="56"/>
      <c r="B2015" s="57"/>
      <c r="C2015" s="31"/>
      <c r="D2015" s="32"/>
      <c r="E2015" s="44"/>
      <c r="F2015" s="86"/>
      <c r="G2015" s="35"/>
      <c r="H2015" s="234"/>
      <c r="I2015" s="58"/>
      <c r="J2015" s="41"/>
      <c r="K2015" s="116"/>
      <c r="L2015" s="60"/>
      <c r="M2015" s="41"/>
      <c r="N2015" s="41"/>
      <c r="O2015" s="41"/>
    </row>
    <row r="2016" spans="1:15" s="7" customFormat="1" ht="18.75">
      <c r="A2016" s="56"/>
      <c r="B2016" s="57" t="s">
        <v>110</v>
      </c>
      <c r="C2016" s="31" t="s">
        <v>189</v>
      </c>
      <c r="D2016" s="32" t="s">
        <v>1591</v>
      </c>
      <c r="E2016" s="44"/>
      <c r="F2016" s="86">
        <v>2191973.7153509124</v>
      </c>
      <c r="G2016" s="35" t="s">
        <v>731</v>
      </c>
      <c r="H2016" s="234"/>
      <c r="I2016" s="58"/>
      <c r="J2016" s="110">
        <f t="shared" ref="J2016:J2024" si="120">F2016-H2016</f>
        <v>2191973.7153509124</v>
      </c>
      <c r="K2016" s="116"/>
      <c r="L2016" s="60"/>
      <c r="M2016" s="41"/>
      <c r="N2016" s="41"/>
      <c r="O2016" s="41"/>
    </row>
    <row r="2017" spans="1:15" s="7" customFormat="1" ht="18.75">
      <c r="A2017" s="56"/>
      <c r="B2017" s="57"/>
      <c r="C2017" s="31" t="s">
        <v>191</v>
      </c>
      <c r="D2017" s="32" t="s">
        <v>120</v>
      </c>
      <c r="E2017" s="44" t="s">
        <v>1592</v>
      </c>
      <c r="F2017" s="86">
        <v>29122757.71370836</v>
      </c>
      <c r="G2017" s="35" t="s">
        <v>1593</v>
      </c>
      <c r="H2017" s="234">
        <f>10000000+10000000+4706346.86</f>
        <v>24706346.859999999</v>
      </c>
      <c r="I2017" s="76" t="s">
        <v>541</v>
      </c>
      <c r="J2017" s="110">
        <f t="shared" si="120"/>
        <v>4416410.8537083603</v>
      </c>
      <c r="K2017" s="110">
        <f>J2016+K2016</f>
        <v>2191973.7153509124</v>
      </c>
      <c r="L2017" s="60"/>
      <c r="M2017" s="41"/>
      <c r="N2017" s="60"/>
      <c r="O2017" s="41"/>
    </row>
    <row r="2018" spans="1:15" s="7" customFormat="1" ht="18.75">
      <c r="A2018" s="56"/>
      <c r="B2018" s="57"/>
      <c r="C2018" s="31" t="s">
        <v>195</v>
      </c>
      <c r="D2018" s="32" t="s">
        <v>146</v>
      </c>
      <c r="E2018" s="44" t="s">
        <v>197</v>
      </c>
      <c r="F2018" s="86">
        <v>10669302.673767691</v>
      </c>
      <c r="G2018" s="35" t="s">
        <v>334</v>
      </c>
      <c r="H2018" s="234">
        <v>10669302.673767691</v>
      </c>
      <c r="I2018" s="58" t="s">
        <v>852</v>
      </c>
      <c r="J2018" s="110">
        <f t="shared" si="120"/>
        <v>0</v>
      </c>
      <c r="K2018" s="110">
        <f t="shared" ref="K2018:K2030" si="121">J2017+K2017</f>
        <v>6608384.5690592732</v>
      </c>
      <c r="L2018" s="60"/>
      <c r="M2018" s="41"/>
      <c r="N2018" s="60"/>
      <c r="O2018" s="41"/>
    </row>
    <row r="2019" spans="1:15" s="7" customFormat="1" ht="18.75">
      <c r="A2019" s="56"/>
      <c r="B2019" s="57"/>
      <c r="C2019" s="31"/>
      <c r="D2019" s="32"/>
      <c r="E2019" s="44"/>
      <c r="F2019" s="86"/>
      <c r="G2019" s="35"/>
      <c r="H2019" s="234">
        <v>6608384.5700000003</v>
      </c>
      <c r="I2019" s="96">
        <v>43868</v>
      </c>
      <c r="J2019" s="110">
        <f t="shared" si="120"/>
        <v>-6608384.5700000003</v>
      </c>
      <c r="K2019" s="110">
        <f t="shared" si="121"/>
        <v>6608384.5690592732</v>
      </c>
      <c r="L2019" s="60"/>
      <c r="M2019" s="41"/>
      <c r="N2019" s="41"/>
      <c r="O2019" s="41"/>
    </row>
    <row r="2020" spans="1:15" s="7" customFormat="1" ht="18.75">
      <c r="A2020" s="56"/>
      <c r="B2020" s="57"/>
      <c r="C2020" s="31" t="s">
        <v>199</v>
      </c>
      <c r="D2020" s="32" t="s">
        <v>80</v>
      </c>
      <c r="E2020" s="44">
        <v>44049</v>
      </c>
      <c r="F2020" s="86">
        <v>33574708.495965004</v>
      </c>
      <c r="G2020" s="35" t="s">
        <v>734</v>
      </c>
      <c r="H2020" s="234">
        <f>20000000+13574708.5</f>
        <v>33574708.5</v>
      </c>
      <c r="I2020" s="96" t="s">
        <v>885</v>
      </c>
      <c r="J2020" s="110">
        <f t="shared" si="120"/>
        <v>-4.0349960327148438E-3</v>
      </c>
      <c r="K2020" s="110">
        <f t="shared" si="121"/>
        <v>-9.4072706997394562E-4</v>
      </c>
      <c r="L2020" s="60"/>
      <c r="M2020" s="41"/>
      <c r="N2020" s="41"/>
      <c r="O2020" s="41"/>
    </row>
    <row r="2021" spans="1:15" s="7" customFormat="1" ht="18.75">
      <c r="A2021" s="56"/>
      <c r="B2021" s="57"/>
      <c r="C2021" s="31" t="s">
        <v>201</v>
      </c>
      <c r="D2021" s="32" t="s">
        <v>124</v>
      </c>
      <c r="E2021" s="44" t="s">
        <v>449</v>
      </c>
      <c r="F2021" s="86">
        <v>18444329.823197201</v>
      </c>
      <c r="G2021" s="35" t="s">
        <v>858</v>
      </c>
      <c r="H2021" s="234">
        <f>5444329.82+10000000+3000000</f>
        <v>18444329.82</v>
      </c>
      <c r="I2021" s="96" t="s">
        <v>885</v>
      </c>
      <c r="J2021" s="110">
        <f t="shared" si="120"/>
        <v>3.19720059633255E-3</v>
      </c>
      <c r="K2021" s="110">
        <f t="shared" si="121"/>
        <v>-4.9757231026887894E-3</v>
      </c>
      <c r="L2021" s="60"/>
      <c r="M2021" s="41"/>
      <c r="N2021" s="41"/>
      <c r="O2021" s="41"/>
    </row>
    <row r="2022" spans="1:15" s="7" customFormat="1" ht="18.75">
      <c r="A2022" s="56"/>
      <c r="B2022" s="57"/>
      <c r="C2022" s="31" t="s">
        <v>203</v>
      </c>
      <c r="D2022" s="32" t="s">
        <v>155</v>
      </c>
      <c r="E2022" s="44">
        <v>44020</v>
      </c>
      <c r="F2022" s="86">
        <v>21744583.574525855</v>
      </c>
      <c r="G2022" s="35" t="s">
        <v>450</v>
      </c>
      <c r="H2022" s="234">
        <f>10000000+4000000+7300000</f>
        <v>21300000</v>
      </c>
      <c r="I2022" s="96" t="s">
        <v>293</v>
      </c>
      <c r="J2022" s="110">
        <f t="shared" si="120"/>
        <v>444583.57452585548</v>
      </c>
      <c r="K2022" s="110">
        <f t="shared" si="121"/>
        <v>-1.7785225063562393E-3</v>
      </c>
      <c r="L2022" s="60"/>
      <c r="M2022" s="41"/>
      <c r="N2022" s="41"/>
      <c r="O2022" s="41"/>
    </row>
    <row r="2023" spans="1:15" s="7" customFormat="1" ht="18.75">
      <c r="A2023" s="56"/>
      <c r="B2023" s="57"/>
      <c r="C2023" s="31" t="s">
        <v>207</v>
      </c>
      <c r="D2023" s="32" t="s">
        <v>159</v>
      </c>
      <c r="E2023" s="44" t="s">
        <v>1071</v>
      </c>
      <c r="F2023" s="86">
        <v>30148244.545798402</v>
      </c>
      <c r="G2023" s="35" t="s">
        <v>1451</v>
      </c>
      <c r="H2023" s="234">
        <f>10000000+10000000+10000000+148244.55</f>
        <v>30148244.550000001</v>
      </c>
      <c r="I2023" s="96">
        <v>43901</v>
      </c>
      <c r="J2023" s="110">
        <f t="shared" si="120"/>
        <v>-4.2015984654426575E-3</v>
      </c>
      <c r="K2023" s="110">
        <f t="shared" si="121"/>
        <v>444583.57274733298</v>
      </c>
      <c r="L2023" s="60"/>
      <c r="M2023" s="60"/>
      <c r="N2023" s="41"/>
      <c r="O2023" s="41"/>
    </row>
    <row r="2024" spans="1:15" s="7" customFormat="1" ht="18.75">
      <c r="A2024" s="56"/>
      <c r="B2024" s="57"/>
      <c r="C2024" s="31" t="s">
        <v>212</v>
      </c>
      <c r="D2024" s="32" t="s">
        <v>163</v>
      </c>
      <c r="E2024" s="44">
        <v>44084</v>
      </c>
      <c r="F2024" s="86">
        <v>40081742.225749314</v>
      </c>
      <c r="G2024" s="35" t="s">
        <v>213</v>
      </c>
      <c r="H2024" s="234">
        <f>10000000+10000000+10000000+81742.23+10000000</f>
        <v>40081742.230000004</v>
      </c>
      <c r="I2024" s="44">
        <v>44348</v>
      </c>
      <c r="J2024" s="110">
        <f t="shared" si="120"/>
        <v>-4.2506903409957886E-3</v>
      </c>
      <c r="K2024" s="110">
        <f t="shared" si="121"/>
        <v>444583.56854573451</v>
      </c>
      <c r="L2024" s="60"/>
      <c r="M2024" s="60"/>
      <c r="N2024" s="41"/>
      <c r="O2024" s="41"/>
    </row>
    <row r="2025" spans="1:15" s="7" customFormat="1" ht="18.75">
      <c r="A2025" s="56"/>
      <c r="B2025" s="57"/>
      <c r="C2025" s="31" t="s">
        <v>214</v>
      </c>
      <c r="D2025" s="32" t="s">
        <v>167</v>
      </c>
      <c r="E2025" s="44">
        <v>43962</v>
      </c>
      <c r="F2025" s="86">
        <v>36935922.168873124</v>
      </c>
      <c r="G2025" s="35" t="s">
        <v>216</v>
      </c>
      <c r="H2025" s="234">
        <f>6935922.17+10000000+10000000+10000000</f>
        <v>36935922.170000002</v>
      </c>
      <c r="I2025" s="96">
        <v>44288</v>
      </c>
      <c r="J2025" s="110">
        <f>F2025-H2025</f>
        <v>-1.1268779635429382E-3</v>
      </c>
      <c r="K2025" s="110">
        <f t="shared" si="121"/>
        <v>444583.56429504417</v>
      </c>
      <c r="L2025" s="60"/>
      <c r="M2025" s="60"/>
      <c r="N2025" s="41"/>
      <c r="O2025" s="41"/>
    </row>
    <row r="2026" spans="1:15" s="7" customFormat="1" ht="18.75">
      <c r="A2026" s="56"/>
      <c r="B2026" s="57"/>
      <c r="C2026" s="31" t="s">
        <v>218</v>
      </c>
      <c r="D2026" s="32" t="s">
        <v>171</v>
      </c>
      <c r="E2026" s="44">
        <v>44024</v>
      </c>
      <c r="F2026" s="86">
        <v>39741002.337642916</v>
      </c>
      <c r="G2026" s="35">
        <v>44531</v>
      </c>
      <c r="H2026" s="234">
        <f>10000000+9741002.34+10000000+10000000</f>
        <v>39741002.340000004</v>
      </c>
      <c r="I2026" s="44">
        <v>44230</v>
      </c>
      <c r="J2026" s="110">
        <f>F2026-H2026</f>
        <v>-2.357088029384613E-3</v>
      </c>
      <c r="K2026" s="110">
        <f t="shared" si="121"/>
        <v>444583.56316816621</v>
      </c>
      <c r="L2026" s="60"/>
      <c r="M2026" s="60"/>
      <c r="N2026" s="41"/>
      <c r="O2026" s="41"/>
    </row>
    <row r="2027" spans="1:15" s="7" customFormat="1" ht="18.75">
      <c r="A2027" s="56"/>
      <c r="B2027" s="57"/>
      <c r="C2027" s="31" t="s">
        <v>219</v>
      </c>
      <c r="D2027" s="32" t="s">
        <v>175</v>
      </c>
      <c r="E2027" s="44">
        <v>44409</v>
      </c>
      <c r="F2027" s="86">
        <v>29029484.079790052</v>
      </c>
      <c r="G2027" s="35">
        <v>44379</v>
      </c>
      <c r="H2027" s="234">
        <f>10000000+9029484.08+10000000</f>
        <v>29029484.079999998</v>
      </c>
      <c r="I2027" s="44" t="s">
        <v>351</v>
      </c>
      <c r="J2027" s="110">
        <f>F2027-H2027</f>
        <v>-2.0994618535041809E-4</v>
      </c>
      <c r="K2027" s="110">
        <f t="shared" si="121"/>
        <v>444583.56081107818</v>
      </c>
      <c r="L2027" s="60"/>
      <c r="M2027" s="60"/>
      <c r="N2027" s="41"/>
      <c r="O2027" s="41"/>
    </row>
    <row r="2028" spans="1:15" s="7" customFormat="1" ht="18.75">
      <c r="A2028" s="56"/>
      <c r="B2028" s="57"/>
      <c r="C2028" s="31" t="s">
        <v>221</v>
      </c>
      <c r="D2028" s="32" t="s">
        <v>111</v>
      </c>
      <c r="E2028" s="44">
        <v>44441</v>
      </c>
      <c r="F2028" s="86">
        <v>29764345.063274421</v>
      </c>
      <c r="G2028" s="35" t="s">
        <v>93</v>
      </c>
      <c r="H2028" s="234"/>
      <c r="I2028" s="96"/>
      <c r="J2028" s="110">
        <f>F2028-H2028</f>
        <v>29764345.063274421</v>
      </c>
      <c r="K2028" s="110">
        <f t="shared" si="121"/>
        <v>444583.56060113199</v>
      </c>
      <c r="L2028" s="60"/>
      <c r="M2028" s="60"/>
      <c r="N2028" s="41"/>
      <c r="O2028" s="41"/>
    </row>
    <row r="2029" spans="1:15" s="7" customFormat="1" ht="18.75">
      <c r="A2029" s="56"/>
      <c r="B2029" s="57"/>
      <c r="C2029" s="31" t="s">
        <v>222</v>
      </c>
      <c r="D2029" s="32" t="s">
        <v>182</v>
      </c>
      <c r="E2029" s="44">
        <v>44411</v>
      </c>
      <c r="F2029" s="86">
        <v>33379782.909519445</v>
      </c>
      <c r="G2029" s="35" t="s">
        <v>85</v>
      </c>
      <c r="H2029" s="234"/>
      <c r="I2029" s="96"/>
      <c r="J2029" s="110">
        <f>F2029-H2029</f>
        <v>33379782.909519445</v>
      </c>
      <c r="K2029" s="110">
        <f t="shared" si="121"/>
        <v>30208928.623875551</v>
      </c>
      <c r="L2029" s="60"/>
      <c r="M2029" s="60"/>
      <c r="N2029" s="41"/>
      <c r="O2029" s="41"/>
    </row>
    <row r="2030" spans="1:15" s="7" customFormat="1" ht="18.75">
      <c r="A2030" s="56"/>
      <c r="B2030" s="57" t="s">
        <v>1594</v>
      </c>
      <c r="D2030" s="51"/>
      <c r="E2030" s="44"/>
      <c r="F2030" s="53"/>
      <c r="H2030" s="54"/>
      <c r="J2030" s="41"/>
      <c r="K2030" s="116">
        <f t="shared" si="121"/>
        <v>63588711.533394992</v>
      </c>
      <c r="L2030" s="60"/>
      <c r="M2030" s="60"/>
      <c r="N2030" s="41"/>
      <c r="O2030" s="41"/>
    </row>
    <row r="2031" spans="1:15" s="7" customFormat="1" ht="18.75">
      <c r="A2031" s="56"/>
      <c r="C2031" s="31"/>
      <c r="D2031" s="32"/>
      <c r="E2031" s="44"/>
      <c r="F2031" s="86"/>
      <c r="G2031" s="35"/>
      <c r="H2031" s="234"/>
      <c r="I2031" s="58"/>
      <c r="J2031" s="41"/>
      <c r="K2031" s="116"/>
      <c r="L2031" s="60"/>
      <c r="M2031" s="41"/>
      <c r="N2031" s="41"/>
      <c r="O2031" s="41"/>
    </row>
    <row r="2032" spans="1:15" s="7" customFormat="1" ht="18.75">
      <c r="A2032" s="56"/>
      <c r="C2032" s="31"/>
      <c r="D2032" s="32"/>
      <c r="E2032" s="44"/>
      <c r="F2032" s="86"/>
      <c r="G2032" s="35"/>
      <c r="H2032" s="234"/>
      <c r="I2032" s="58"/>
      <c r="J2032" s="41"/>
      <c r="K2032" s="116"/>
      <c r="L2032" s="60"/>
      <c r="M2032" s="41"/>
      <c r="N2032" s="41"/>
      <c r="O2032" s="41"/>
    </row>
    <row r="2033" spans="1:15" s="7" customFormat="1" ht="18.75">
      <c r="A2033" s="56"/>
      <c r="B2033" s="57"/>
      <c r="C2033" s="31"/>
      <c r="D2033" s="32"/>
      <c r="E2033" s="44"/>
      <c r="F2033" s="86"/>
      <c r="G2033" s="35"/>
      <c r="H2033" s="234"/>
      <c r="I2033" s="58"/>
      <c r="J2033" s="41"/>
      <c r="K2033" s="116"/>
      <c r="L2033" s="60"/>
      <c r="M2033" s="41"/>
      <c r="N2033" s="41"/>
      <c r="O2033" s="41"/>
    </row>
    <row r="2034" spans="1:15" s="7" customFormat="1" ht="18.75">
      <c r="A2034" s="56">
        <v>56</v>
      </c>
      <c r="B2034" s="30" t="s">
        <v>1595</v>
      </c>
      <c r="C2034" s="42" t="s">
        <v>145</v>
      </c>
      <c r="D2034" s="32" t="s">
        <v>140</v>
      </c>
      <c r="E2034" s="44"/>
      <c r="F2034" s="34">
        <v>29312.33</v>
      </c>
      <c r="G2034" s="35" t="s">
        <v>1596</v>
      </c>
      <c r="H2034" s="36">
        <v>29312.33</v>
      </c>
      <c r="I2034" s="35" t="s">
        <v>1258</v>
      </c>
      <c r="J2034" s="37">
        <f t="shared" ref="J2034:J2053" si="122">F2034-H2034</f>
        <v>0</v>
      </c>
      <c r="K2034" s="38">
        <v>0</v>
      </c>
      <c r="L2034" s="39"/>
      <c r="M2034" s="40"/>
      <c r="N2034" s="40"/>
      <c r="O2034" s="41"/>
    </row>
    <row r="2035" spans="1:15" s="7" customFormat="1" ht="18.75">
      <c r="A2035" s="56"/>
      <c r="B2035" s="30"/>
      <c r="C2035" s="31" t="s">
        <v>148</v>
      </c>
      <c r="D2035" s="32" t="s">
        <v>120</v>
      </c>
      <c r="E2035" s="44"/>
      <c r="F2035" s="34">
        <v>190510743.911376</v>
      </c>
      <c r="G2035" s="35" t="s">
        <v>149</v>
      </c>
      <c r="H2035" s="36">
        <v>190510743.911376</v>
      </c>
      <c r="I2035" s="35" t="s">
        <v>1258</v>
      </c>
      <c r="J2035" s="37">
        <f t="shared" si="122"/>
        <v>0</v>
      </c>
      <c r="K2035" s="37">
        <f>J2034+K2034</f>
        <v>0</v>
      </c>
      <c r="L2035" s="39"/>
      <c r="M2035" s="40"/>
      <c r="N2035" s="40"/>
      <c r="O2035" s="41"/>
    </row>
    <row r="2036" spans="1:15" s="7" customFormat="1" ht="18.75">
      <c r="A2036" s="56"/>
      <c r="B2036" s="30" t="s">
        <v>1597</v>
      </c>
      <c r="C2036" s="31" t="s">
        <v>151</v>
      </c>
      <c r="D2036" s="32" t="s">
        <v>146</v>
      </c>
      <c r="E2036" s="44"/>
      <c r="F2036" s="34">
        <v>118555949.55172499</v>
      </c>
      <c r="G2036" s="269" t="s">
        <v>152</v>
      </c>
      <c r="H2036" s="36">
        <v>118555949.55</v>
      </c>
      <c r="I2036" s="35" t="s">
        <v>771</v>
      </c>
      <c r="J2036" s="78">
        <f t="shared" si="122"/>
        <v>1.7249882221221924E-3</v>
      </c>
      <c r="K2036" s="37">
        <f>J2035+K2035</f>
        <v>0</v>
      </c>
      <c r="L2036" s="39"/>
      <c r="M2036" s="40"/>
      <c r="N2036" s="40"/>
      <c r="O2036" s="41"/>
    </row>
    <row r="2037" spans="1:15" s="7" customFormat="1" ht="18.75">
      <c r="A2037" s="56"/>
      <c r="B2037" s="30"/>
      <c r="C2037" s="31" t="s">
        <v>154</v>
      </c>
      <c r="D2037" s="32" t="s">
        <v>80</v>
      </c>
      <c r="E2037" s="44"/>
      <c r="F2037" s="34">
        <v>165363587.63662499</v>
      </c>
      <c r="G2037" s="269" t="s">
        <v>156</v>
      </c>
      <c r="H2037" s="36">
        <v>165363587.63662499</v>
      </c>
      <c r="I2037" s="35"/>
      <c r="J2037" s="78">
        <f t="shared" si="122"/>
        <v>0</v>
      </c>
      <c r="K2037" s="37">
        <f>J2036+K2036</f>
        <v>1.7249882221221924E-3</v>
      </c>
      <c r="L2037" s="39"/>
      <c r="M2037" s="40"/>
      <c r="N2037" s="40"/>
      <c r="O2037" s="41"/>
    </row>
    <row r="2038" spans="1:15" s="7" customFormat="1" ht="18.75">
      <c r="A2038" s="56"/>
      <c r="B2038" s="30"/>
      <c r="C2038" s="31" t="s">
        <v>158</v>
      </c>
      <c r="D2038" s="32" t="s">
        <v>124</v>
      </c>
      <c r="E2038" s="44"/>
      <c r="F2038" s="34">
        <v>205960865.23216051</v>
      </c>
      <c r="G2038" s="269" t="s">
        <v>160</v>
      </c>
      <c r="H2038" s="36">
        <v>205960865.23216051</v>
      </c>
      <c r="I2038" s="35" t="s">
        <v>691</v>
      </c>
      <c r="J2038" s="78">
        <f t="shared" si="122"/>
        <v>0</v>
      </c>
      <c r="K2038" s="37">
        <f>J2037+K2037</f>
        <v>1.7249882221221924E-3</v>
      </c>
      <c r="L2038" s="39"/>
      <c r="M2038" s="40"/>
      <c r="N2038" s="40"/>
      <c r="O2038" s="41"/>
    </row>
    <row r="2039" spans="1:15" s="7" customFormat="1" ht="18.75">
      <c r="A2039" s="56"/>
      <c r="B2039" s="30"/>
      <c r="C2039" s="31" t="s">
        <v>162</v>
      </c>
      <c r="D2039" s="32" t="s">
        <v>155</v>
      </c>
      <c r="E2039" s="44"/>
      <c r="F2039" s="34">
        <v>185453279.55396897</v>
      </c>
      <c r="G2039" s="269" t="s">
        <v>164</v>
      </c>
      <c r="H2039" s="36">
        <v>185453279.55396897</v>
      </c>
      <c r="I2039" s="35" t="s">
        <v>591</v>
      </c>
      <c r="J2039" s="78">
        <f t="shared" si="122"/>
        <v>0</v>
      </c>
      <c r="K2039" s="37">
        <f t="shared" ref="K2039:K2059" si="123">J2038+K2038</f>
        <v>1.7249882221221924E-3</v>
      </c>
      <c r="L2039" s="39"/>
      <c r="M2039" s="40"/>
      <c r="N2039" s="40"/>
      <c r="O2039" s="41"/>
    </row>
    <row r="2040" spans="1:15" s="7" customFormat="1" ht="18.75">
      <c r="A2040" s="56"/>
      <c r="B2040" s="30"/>
      <c r="C2040" s="31" t="s">
        <v>166</v>
      </c>
      <c r="D2040" s="32" t="s">
        <v>159</v>
      </c>
      <c r="E2040" s="44"/>
      <c r="F2040" s="34">
        <v>134420327.239149</v>
      </c>
      <c r="G2040" s="269" t="s">
        <v>168</v>
      </c>
      <c r="H2040" s="36">
        <v>134420327.239149</v>
      </c>
      <c r="I2040" s="35" t="s">
        <v>776</v>
      </c>
      <c r="J2040" s="78">
        <f t="shared" si="122"/>
        <v>0</v>
      </c>
      <c r="K2040" s="37">
        <f t="shared" si="123"/>
        <v>1.7249882221221924E-3</v>
      </c>
      <c r="L2040" s="39"/>
      <c r="M2040" s="40"/>
      <c r="N2040" s="40"/>
      <c r="O2040" s="41"/>
    </row>
    <row r="2041" spans="1:15" s="7" customFormat="1" ht="18.75">
      <c r="A2041" s="56"/>
      <c r="B2041" s="30"/>
      <c r="C2041" s="31" t="s">
        <v>170</v>
      </c>
      <c r="D2041" s="32" t="s">
        <v>163</v>
      </c>
      <c r="E2041" s="44"/>
      <c r="F2041" s="34">
        <v>161928779.66344801</v>
      </c>
      <c r="G2041" s="269" t="s">
        <v>172</v>
      </c>
      <c r="H2041" s="36">
        <v>161928779.66</v>
      </c>
      <c r="I2041" s="35" t="s">
        <v>1598</v>
      </c>
      <c r="J2041" s="78">
        <f t="shared" si="122"/>
        <v>3.4480094909667969E-3</v>
      </c>
      <c r="K2041" s="37">
        <f t="shared" si="123"/>
        <v>1.7249882221221924E-3</v>
      </c>
      <c r="L2041" s="39"/>
      <c r="M2041" s="40"/>
      <c r="N2041" s="40"/>
      <c r="O2041" s="41"/>
    </row>
    <row r="2042" spans="1:15" s="7" customFormat="1" ht="18.75">
      <c r="A2042" s="56"/>
      <c r="B2042" s="30"/>
      <c r="C2042" s="31" t="s">
        <v>174</v>
      </c>
      <c r="D2042" s="32" t="s">
        <v>167</v>
      </c>
      <c r="E2042" s="44"/>
      <c r="F2042" s="34">
        <v>170524940.9467485</v>
      </c>
      <c r="G2042" s="269" t="s">
        <v>176</v>
      </c>
      <c r="H2042" s="36">
        <v>170524940.9467485</v>
      </c>
      <c r="I2042" s="35" t="s">
        <v>919</v>
      </c>
      <c r="J2042" s="78">
        <f t="shared" si="122"/>
        <v>0</v>
      </c>
      <c r="K2042" s="37">
        <f>J2040+K2040</f>
        <v>1.7249882221221924E-3</v>
      </c>
      <c r="L2042" s="39"/>
      <c r="M2042" s="40"/>
      <c r="N2042" s="40"/>
      <c r="O2042" s="41"/>
    </row>
    <row r="2043" spans="1:15" s="7" customFormat="1" ht="18.75">
      <c r="A2043" s="56"/>
      <c r="B2043" s="30"/>
      <c r="C2043" s="42" t="s">
        <v>178</v>
      </c>
      <c r="D2043" s="32" t="s">
        <v>171</v>
      </c>
      <c r="E2043" s="44"/>
      <c r="F2043" s="34">
        <v>209137647.37357798</v>
      </c>
      <c r="G2043" s="269" t="s">
        <v>179</v>
      </c>
      <c r="H2043" s="36">
        <v>209137647.37357798</v>
      </c>
      <c r="I2043" s="35" t="s">
        <v>898</v>
      </c>
      <c r="J2043" s="78">
        <f t="shared" si="122"/>
        <v>0</v>
      </c>
      <c r="K2043" s="37">
        <f t="shared" si="123"/>
        <v>1.7249882221221924E-3</v>
      </c>
      <c r="L2043" s="39"/>
      <c r="M2043" s="40"/>
      <c r="N2043" s="40"/>
      <c r="O2043" s="41"/>
    </row>
    <row r="2044" spans="1:15" s="7" customFormat="1" ht="18.75">
      <c r="A2044" s="56"/>
      <c r="B2044" s="30"/>
      <c r="C2044" s="42" t="s">
        <v>181</v>
      </c>
      <c r="D2044" s="32" t="s">
        <v>175</v>
      </c>
      <c r="E2044" s="44"/>
      <c r="F2044" s="34">
        <v>204947785.62223348</v>
      </c>
      <c r="G2044" s="269" t="s">
        <v>183</v>
      </c>
      <c r="H2044" s="36">
        <v>204947785.62</v>
      </c>
      <c r="I2044" s="35" t="s">
        <v>1215</v>
      </c>
      <c r="J2044" s="78">
        <f t="shared" si="122"/>
        <v>2.2334754467010498E-3</v>
      </c>
      <c r="K2044" s="37">
        <f t="shared" si="123"/>
        <v>1.7249882221221924E-3</v>
      </c>
      <c r="L2044" s="39"/>
      <c r="M2044" s="40"/>
      <c r="N2044" s="40"/>
      <c r="O2044" s="41"/>
    </row>
    <row r="2045" spans="1:15" s="7" customFormat="1" ht="18.75">
      <c r="A2045" s="56"/>
      <c r="B2045" s="30"/>
      <c r="C2045" s="42" t="s">
        <v>185</v>
      </c>
      <c r="D2045" s="32" t="s">
        <v>111</v>
      </c>
      <c r="E2045" s="44"/>
      <c r="F2045" s="34">
        <v>193038544.94666696</v>
      </c>
      <c r="G2045" s="269" t="s">
        <v>187</v>
      </c>
      <c r="H2045" s="36">
        <v>193038544.94666696</v>
      </c>
      <c r="I2045" s="35" t="s">
        <v>282</v>
      </c>
      <c r="J2045" s="78">
        <f t="shared" si="122"/>
        <v>0</v>
      </c>
      <c r="K2045" s="37">
        <f t="shared" si="123"/>
        <v>3.9584636688232422E-3</v>
      </c>
      <c r="L2045" s="39"/>
      <c r="M2045" s="40"/>
      <c r="N2045" s="40"/>
      <c r="O2045" s="41"/>
    </row>
    <row r="2046" spans="1:15" s="7" customFormat="1" ht="18.75">
      <c r="A2046" s="56"/>
      <c r="B2046" s="30"/>
      <c r="C2046" s="42" t="s">
        <v>189</v>
      </c>
      <c r="D2046" s="32" t="s">
        <v>182</v>
      </c>
      <c r="E2046" s="44"/>
      <c r="F2046" s="34">
        <v>220175874.12819597</v>
      </c>
      <c r="G2046" s="269" t="s">
        <v>377</v>
      </c>
      <c r="H2046" s="36">
        <v>220175874.13</v>
      </c>
      <c r="I2046" s="35" t="s">
        <v>899</v>
      </c>
      <c r="J2046" s="78">
        <f t="shared" si="122"/>
        <v>-1.8040239810943604E-3</v>
      </c>
      <c r="K2046" s="37">
        <f t="shared" si="123"/>
        <v>3.9584636688232422E-3</v>
      </c>
      <c r="L2046" s="39"/>
      <c r="M2046" s="40"/>
      <c r="N2046" s="40"/>
      <c r="O2046" s="41"/>
    </row>
    <row r="2047" spans="1:15" s="7" customFormat="1" ht="18.75">
      <c r="A2047" s="56"/>
      <c r="B2047" s="30"/>
      <c r="C2047" s="42" t="s">
        <v>191</v>
      </c>
      <c r="D2047" s="32" t="s">
        <v>186</v>
      </c>
      <c r="E2047" s="44">
        <v>43986</v>
      </c>
      <c r="F2047" s="34">
        <v>271435954.66879499</v>
      </c>
      <c r="G2047" s="269" t="s">
        <v>193</v>
      </c>
      <c r="H2047" s="36">
        <v>271435954.67000002</v>
      </c>
      <c r="I2047" s="35" t="s">
        <v>1232</v>
      </c>
      <c r="J2047" s="78">
        <f t="shared" si="122"/>
        <v>-1.2050271034240723E-3</v>
      </c>
      <c r="K2047" s="37">
        <f t="shared" si="123"/>
        <v>2.1544396877288818E-3</v>
      </c>
      <c r="L2047" s="39"/>
      <c r="M2047" s="40"/>
      <c r="N2047" s="40"/>
      <c r="O2047" s="41"/>
    </row>
    <row r="2048" spans="1:15" s="7" customFormat="1" ht="18.75">
      <c r="A2048" s="56"/>
      <c r="B2048" s="30"/>
      <c r="C2048" s="42" t="s">
        <v>195</v>
      </c>
      <c r="D2048" s="32" t="s">
        <v>192</v>
      </c>
      <c r="E2048" s="44" t="s">
        <v>197</v>
      </c>
      <c r="F2048" s="34">
        <v>126416275.736331</v>
      </c>
      <c r="G2048" s="269" t="s">
        <v>198</v>
      </c>
      <c r="H2048" s="36">
        <v>126416275.73999999</v>
      </c>
      <c r="I2048" s="35" t="s">
        <v>600</v>
      </c>
      <c r="J2048" s="78">
        <f t="shared" si="122"/>
        <v>-3.6689937114715576E-3</v>
      </c>
      <c r="K2048" s="37">
        <f t="shared" si="123"/>
        <v>9.4941258430480957E-4</v>
      </c>
      <c r="L2048" s="39"/>
      <c r="M2048" s="40"/>
      <c r="N2048" s="40"/>
      <c r="O2048" s="41"/>
    </row>
    <row r="2049" spans="1:15" s="7" customFormat="1" ht="18.75">
      <c r="A2049" s="56"/>
      <c r="B2049" s="30"/>
      <c r="C2049" s="42" t="s">
        <v>199</v>
      </c>
      <c r="D2049" s="32" t="s">
        <v>196</v>
      </c>
      <c r="E2049" s="44">
        <v>44049</v>
      </c>
      <c r="F2049" s="34">
        <v>265543585.37364</v>
      </c>
      <c r="G2049" s="44">
        <v>43897</v>
      </c>
      <c r="H2049" s="36">
        <v>265543585.37</v>
      </c>
      <c r="I2049" s="35" t="s">
        <v>1599</v>
      </c>
      <c r="J2049" s="78">
        <f t="shared" si="122"/>
        <v>3.6399960517883301E-3</v>
      </c>
      <c r="K2049" s="37">
        <f t="shared" si="123"/>
        <v>-2.719581127166748E-3</v>
      </c>
      <c r="L2049" s="39"/>
      <c r="M2049" s="40"/>
      <c r="N2049" s="40"/>
      <c r="O2049" s="41"/>
    </row>
    <row r="2050" spans="1:15" s="7" customFormat="1" ht="18.75">
      <c r="A2050" s="56"/>
      <c r="B2050" s="30"/>
      <c r="C2050" s="42" t="s">
        <v>201</v>
      </c>
      <c r="D2050" s="32" t="s">
        <v>41</v>
      </c>
      <c r="E2050" s="44">
        <v>44081</v>
      </c>
      <c r="F2050" s="34">
        <v>221613509.01963001</v>
      </c>
      <c r="G2050" s="269">
        <v>44020</v>
      </c>
      <c r="H2050" s="36">
        <v>221613509.02000001</v>
      </c>
      <c r="I2050" s="35" t="s">
        <v>1552</v>
      </c>
      <c r="J2050" s="78">
        <f t="shared" si="122"/>
        <v>-3.699958324432373E-4</v>
      </c>
      <c r="K2050" s="37">
        <f t="shared" si="123"/>
        <v>9.2041492462158203E-4</v>
      </c>
      <c r="L2050" s="39"/>
      <c r="M2050" s="40"/>
      <c r="N2050" s="40"/>
      <c r="O2050" s="41"/>
    </row>
    <row r="2051" spans="1:15" s="7" customFormat="1" ht="18.75">
      <c r="A2051" s="56"/>
      <c r="B2051" s="30"/>
      <c r="C2051" s="42" t="s">
        <v>203</v>
      </c>
      <c r="D2051" s="32" t="s">
        <v>359</v>
      </c>
      <c r="E2051" s="44">
        <v>43990</v>
      </c>
      <c r="F2051" s="34">
        <v>259326639.08567995</v>
      </c>
      <c r="G2051" s="269" t="s">
        <v>290</v>
      </c>
      <c r="H2051" s="36">
        <v>259326639.09</v>
      </c>
      <c r="I2051" s="35" t="s">
        <v>587</v>
      </c>
      <c r="J2051" s="78">
        <f t="shared" si="122"/>
        <v>-4.3200552463531494E-3</v>
      </c>
      <c r="K2051" s="37">
        <f t="shared" si="123"/>
        <v>5.5041909217834473E-4</v>
      </c>
      <c r="L2051" s="39"/>
      <c r="M2051" s="40"/>
      <c r="N2051" s="40"/>
      <c r="O2051" s="41"/>
    </row>
    <row r="2052" spans="1:15" s="7" customFormat="1" ht="18.75">
      <c r="A2052" s="56"/>
      <c r="B2052" s="30"/>
      <c r="C2052" s="42" t="s">
        <v>207</v>
      </c>
      <c r="D2052" s="32" t="s">
        <v>1114</v>
      </c>
      <c r="E2052" s="44" t="s">
        <v>209</v>
      </c>
      <c r="F2052" s="34">
        <v>243441772.70074001</v>
      </c>
      <c r="G2052" s="269" t="s">
        <v>210</v>
      </c>
      <c r="H2052" s="36">
        <v>243441772.69999999</v>
      </c>
      <c r="I2052" s="35" t="s">
        <v>888</v>
      </c>
      <c r="J2052" s="78">
        <f t="shared" si="122"/>
        <v>7.400214672088623E-4</v>
      </c>
      <c r="K2052" s="37">
        <f t="shared" si="123"/>
        <v>-3.7696361541748047E-3</v>
      </c>
      <c r="L2052" s="39"/>
      <c r="M2052" s="40"/>
      <c r="N2052" s="40"/>
      <c r="O2052" s="41"/>
    </row>
    <row r="2053" spans="1:15" s="7" customFormat="1" ht="18.75">
      <c r="A2053" s="56"/>
      <c r="B2053" s="30"/>
      <c r="C2053" s="42" t="s">
        <v>212</v>
      </c>
      <c r="D2053" s="32" t="s">
        <v>204</v>
      </c>
      <c r="E2053" s="44">
        <v>44084</v>
      </c>
      <c r="F2053" s="34">
        <v>260121854.36222276</v>
      </c>
      <c r="G2053" s="269" t="s">
        <v>213</v>
      </c>
      <c r="H2053" s="36">
        <v>260121854.36000001</v>
      </c>
      <c r="I2053" s="35" t="s">
        <v>1078</v>
      </c>
      <c r="J2053" s="78">
        <f t="shared" si="122"/>
        <v>2.2227466106414795E-3</v>
      </c>
      <c r="K2053" s="37">
        <f t="shared" si="123"/>
        <v>-3.0296146869659424E-3</v>
      </c>
      <c r="L2053" s="39"/>
      <c r="M2053" s="40"/>
      <c r="N2053" s="40"/>
      <c r="O2053" s="41"/>
    </row>
    <row r="2054" spans="1:15" s="7" customFormat="1" ht="18.75">
      <c r="A2054" s="56"/>
      <c r="B2054" s="30"/>
      <c r="C2054" s="42" t="s">
        <v>214</v>
      </c>
      <c r="D2054" s="32" t="s">
        <v>208</v>
      </c>
      <c r="E2054" s="44">
        <v>43962</v>
      </c>
      <c r="F2054" s="34">
        <v>169620841.37506825</v>
      </c>
      <c r="G2054" s="269" t="s">
        <v>216</v>
      </c>
      <c r="H2054" s="36">
        <v>169620841.38</v>
      </c>
      <c r="I2054" s="35" t="s">
        <v>217</v>
      </c>
      <c r="J2054" s="78">
        <f>F2054-H2054</f>
        <v>-4.9317479133605957E-3</v>
      </c>
      <c r="K2054" s="37">
        <f t="shared" si="123"/>
        <v>-8.0686807632446289E-4</v>
      </c>
      <c r="L2054" s="39"/>
      <c r="M2054" s="40"/>
      <c r="N2054" s="40"/>
      <c r="O2054" s="41"/>
    </row>
    <row r="2055" spans="1:15" s="7" customFormat="1" ht="18.75">
      <c r="A2055" s="56"/>
      <c r="B2055" s="30"/>
      <c r="C2055" s="42" t="s">
        <v>218</v>
      </c>
      <c r="D2055" s="32" t="s">
        <v>52</v>
      </c>
      <c r="E2055" s="44">
        <v>44024</v>
      </c>
      <c r="F2055" s="34">
        <v>273734897.39131922</v>
      </c>
      <c r="G2055" s="269">
        <v>44531</v>
      </c>
      <c r="H2055" s="36">
        <v>273734897.38999999</v>
      </c>
      <c r="I2055" s="35" t="s">
        <v>1072</v>
      </c>
      <c r="J2055" s="78">
        <f>F2055-H2055</f>
        <v>1.3192296028137207E-3</v>
      </c>
      <c r="K2055" s="37">
        <f t="shared" si="123"/>
        <v>-5.7386159896850586E-3</v>
      </c>
      <c r="L2055" s="39"/>
      <c r="M2055" s="40"/>
      <c r="N2055" s="40"/>
      <c r="O2055" s="41"/>
    </row>
    <row r="2056" spans="1:15" s="7" customFormat="1" ht="18.75">
      <c r="A2056" s="56"/>
      <c r="B2056" s="30"/>
      <c r="C2056" s="42" t="s">
        <v>219</v>
      </c>
      <c r="D2056" s="32" t="s">
        <v>215</v>
      </c>
      <c r="E2056" s="44">
        <v>44409</v>
      </c>
      <c r="F2056" s="34">
        <v>254059805.27217773</v>
      </c>
      <c r="G2056" s="269" t="s">
        <v>220</v>
      </c>
      <c r="H2056" s="36">
        <v>254059805.27000001</v>
      </c>
      <c r="I2056" s="35" t="s">
        <v>47</v>
      </c>
      <c r="J2056" s="78">
        <f>F2056-H2056</f>
        <v>2.1777153015136719E-3</v>
      </c>
      <c r="K2056" s="37">
        <f t="shared" si="123"/>
        <v>-4.4193863868713379E-3</v>
      </c>
      <c r="L2056" s="39"/>
      <c r="M2056" s="40"/>
      <c r="N2056" s="40"/>
      <c r="O2056" s="41"/>
    </row>
    <row r="2057" spans="1:15" s="7" customFormat="1" ht="18.75">
      <c r="A2057" s="56"/>
      <c r="B2057" s="30"/>
      <c r="C2057" s="42" t="s">
        <v>221</v>
      </c>
      <c r="D2057" s="32" t="s">
        <v>65</v>
      </c>
      <c r="E2057" s="44">
        <v>44471</v>
      </c>
      <c r="F2057" s="34">
        <v>278937007.08298421</v>
      </c>
      <c r="G2057" s="269" t="s">
        <v>93</v>
      </c>
      <c r="H2057" s="36">
        <v>278937007.07999998</v>
      </c>
      <c r="I2057" s="35" t="s">
        <v>82</v>
      </c>
      <c r="J2057" s="78">
        <f>F2057-H2057</f>
        <v>2.9842257499694824E-3</v>
      </c>
      <c r="K2057" s="37">
        <f t="shared" si="123"/>
        <v>-2.241671085357666E-3</v>
      </c>
      <c r="L2057" s="39"/>
      <c r="M2057" s="40"/>
      <c r="N2057" s="40"/>
      <c r="O2057" s="41"/>
    </row>
    <row r="2058" spans="1:15" s="7" customFormat="1" ht="18.75">
      <c r="A2058" s="56"/>
      <c r="B2058" s="30"/>
      <c r="C2058" s="42" t="s">
        <v>222</v>
      </c>
      <c r="D2058" s="32" t="s">
        <v>71</v>
      </c>
      <c r="E2058" s="44">
        <v>44319</v>
      </c>
      <c r="F2058" s="34">
        <v>263895754.45429346</v>
      </c>
      <c r="G2058" s="269" t="s">
        <v>224</v>
      </c>
      <c r="H2058" s="36">
        <v>263895754.46000001</v>
      </c>
      <c r="I2058" s="35" t="s">
        <v>1145</v>
      </c>
      <c r="J2058" s="78">
        <f>F2058-H2058</f>
        <v>-5.7065486907958984E-3</v>
      </c>
      <c r="K2058" s="37">
        <f t="shared" si="123"/>
        <v>7.4255466461181641E-4</v>
      </c>
      <c r="L2058" s="39"/>
      <c r="M2058" s="40"/>
      <c r="N2058" s="40"/>
      <c r="O2058" s="41"/>
    </row>
    <row r="2059" spans="1:15" s="7" customFormat="1" ht="18.75">
      <c r="A2059" s="56"/>
      <c r="B2059" s="30" t="s">
        <v>1600</v>
      </c>
      <c r="C2059" s="31"/>
      <c r="D2059" s="32"/>
      <c r="E2059" s="44"/>
      <c r="F2059" s="34"/>
      <c r="G2059" s="269"/>
      <c r="H2059" s="36"/>
      <c r="I2059" s="35"/>
      <c r="J2059" s="78"/>
      <c r="K2059" s="38">
        <f t="shared" si="123"/>
        <v>-4.963994026184082E-3</v>
      </c>
      <c r="L2059" s="39"/>
      <c r="M2059" s="40"/>
      <c r="N2059" s="40"/>
      <c r="O2059" s="41"/>
    </row>
    <row r="2060" spans="1:15" s="7" customFormat="1" ht="18.75">
      <c r="A2060" s="56"/>
      <c r="B2060" s="30"/>
      <c r="C2060" s="31"/>
      <c r="D2060" s="32"/>
      <c r="E2060" s="44"/>
      <c r="F2060" s="34"/>
      <c r="G2060" s="269"/>
      <c r="H2060" s="36"/>
      <c r="I2060" s="35"/>
      <c r="J2060" s="78"/>
      <c r="K2060" s="38"/>
      <c r="L2060" s="39"/>
      <c r="M2060" s="40"/>
      <c r="N2060" s="40"/>
      <c r="O2060" s="41"/>
    </row>
    <row r="2061" spans="1:15" s="7" customFormat="1" ht="18.75">
      <c r="A2061" s="56"/>
      <c r="B2061" s="30" t="s">
        <v>1601</v>
      </c>
      <c r="C2061" s="31"/>
      <c r="D2061" s="32"/>
      <c r="E2061" s="44"/>
      <c r="F2061" s="34"/>
      <c r="G2061" s="269"/>
      <c r="H2061" s="36">
        <v>36340920</v>
      </c>
      <c r="I2061" s="35" t="s">
        <v>1573</v>
      </c>
      <c r="J2061" s="78">
        <f>F2061-H2061</f>
        <v>-36340920</v>
      </c>
      <c r="K2061" s="38"/>
      <c r="L2061" s="39"/>
      <c r="M2061" s="40"/>
      <c r="N2061" s="40"/>
      <c r="O2061" s="41"/>
    </row>
    <row r="2062" spans="1:15" s="7" customFormat="1" ht="18.75">
      <c r="A2062" s="56"/>
      <c r="B2062" s="30"/>
      <c r="C2062" s="31"/>
      <c r="D2062" s="32"/>
      <c r="E2062" s="44"/>
      <c r="F2062" s="34"/>
      <c r="G2062" s="269"/>
      <c r="H2062" s="36"/>
      <c r="I2062" s="35"/>
      <c r="J2062" s="78">
        <f>F2062-H2062</f>
        <v>0</v>
      </c>
      <c r="K2062" s="37">
        <f>J2061+K2061</f>
        <v>-36340920</v>
      </c>
      <c r="L2062" s="39"/>
      <c r="M2062" s="40"/>
      <c r="N2062" s="40"/>
      <c r="O2062" s="41"/>
    </row>
    <row r="2063" spans="1:15" s="7" customFormat="1" ht="18.75">
      <c r="A2063" s="56"/>
      <c r="B2063" s="30" t="s">
        <v>1602</v>
      </c>
      <c r="C2063" s="31"/>
      <c r="D2063" s="32"/>
      <c r="E2063" s="44"/>
      <c r="F2063" s="34"/>
      <c r="G2063" s="269"/>
      <c r="H2063" s="36"/>
      <c r="I2063" s="35"/>
      <c r="J2063" s="78"/>
      <c r="K2063" s="38">
        <f>J2062+K2062</f>
        <v>-36340920</v>
      </c>
      <c r="L2063" s="39"/>
      <c r="M2063" s="40"/>
      <c r="N2063" s="40"/>
      <c r="O2063" s="41"/>
    </row>
    <row r="2064" spans="1:15" s="7" customFormat="1" ht="18.75">
      <c r="A2064" s="56"/>
      <c r="B2064" s="30"/>
      <c r="C2064" s="31"/>
      <c r="D2064" s="32"/>
      <c r="E2064" s="44"/>
      <c r="F2064" s="34"/>
      <c r="G2064" s="269"/>
      <c r="H2064" s="36"/>
      <c r="I2064" s="35"/>
      <c r="J2064" s="78"/>
      <c r="K2064" s="38"/>
      <c r="L2064" s="39"/>
      <c r="M2064" s="40"/>
      <c r="N2064" s="40"/>
      <c r="O2064" s="41"/>
    </row>
    <row r="2065" spans="1:15" s="7" customFormat="1" ht="18.75">
      <c r="A2065" s="81">
        <v>57</v>
      </c>
      <c r="B2065" s="57" t="s">
        <v>112</v>
      </c>
      <c r="C2065" s="31" t="s">
        <v>469</v>
      </c>
      <c r="D2065" s="32" t="s">
        <v>155</v>
      </c>
      <c r="E2065" s="44"/>
      <c r="F2065" s="34">
        <v>9689254.5399999917</v>
      </c>
      <c r="G2065" s="35" t="s">
        <v>1603</v>
      </c>
      <c r="H2065" s="47">
        <v>0</v>
      </c>
      <c r="I2065" s="35"/>
      <c r="J2065" s="37">
        <f t="shared" ref="J2065:J2098" si="124">F2065-H2065</f>
        <v>9689254.5399999917</v>
      </c>
      <c r="K2065" s="110">
        <v>0</v>
      </c>
      <c r="L2065" s="60" t="s">
        <v>1292</v>
      </c>
      <c r="M2065" s="41"/>
      <c r="N2065" s="41"/>
      <c r="O2065" s="41"/>
    </row>
    <row r="2066" spans="1:15" s="7" customFormat="1" ht="18.75">
      <c r="A2066" s="81"/>
      <c r="B2066" s="57"/>
      <c r="C2066" s="29" t="s">
        <v>506</v>
      </c>
      <c r="D2066" s="32" t="s">
        <v>639</v>
      </c>
      <c r="E2066" s="44"/>
      <c r="F2066" s="145">
        <v>540721747.47000003</v>
      </c>
      <c r="G2066" s="75" t="s">
        <v>566</v>
      </c>
      <c r="H2066" s="47">
        <f>270000000+270721747.47</f>
        <v>540721747.47000003</v>
      </c>
      <c r="I2066" s="35" t="s">
        <v>1604</v>
      </c>
      <c r="J2066" s="37">
        <f t="shared" si="124"/>
        <v>0</v>
      </c>
      <c r="K2066" s="110">
        <f>K2065+J2065</f>
        <v>9689254.5399999917</v>
      </c>
      <c r="L2066" s="60"/>
      <c r="M2066" s="41"/>
      <c r="N2066" s="41"/>
      <c r="O2066" s="41"/>
    </row>
    <row r="2067" spans="1:15" s="7" customFormat="1" ht="18.75">
      <c r="A2067" s="81"/>
      <c r="B2067" s="57"/>
      <c r="C2067" s="29" t="s">
        <v>508</v>
      </c>
      <c r="D2067" s="32" t="s">
        <v>641</v>
      </c>
      <c r="E2067" s="44"/>
      <c r="F2067" s="145">
        <v>525970295.94</v>
      </c>
      <c r="G2067" s="75" t="s">
        <v>509</v>
      </c>
      <c r="H2067" s="47">
        <f>265970295.94+260000000</f>
        <v>525970295.94</v>
      </c>
      <c r="I2067" s="35" t="s">
        <v>1605</v>
      </c>
      <c r="J2067" s="37">
        <f t="shared" si="124"/>
        <v>0</v>
      </c>
      <c r="K2067" s="110">
        <f t="shared" ref="K2067:K2104" si="125">K2066+J2066</f>
        <v>9689254.5399999917</v>
      </c>
      <c r="L2067" s="60"/>
      <c r="M2067" s="41"/>
      <c r="N2067" s="41"/>
      <c r="O2067" s="41"/>
    </row>
    <row r="2068" spans="1:15" s="7" customFormat="1" ht="18.75">
      <c r="A2068" s="81"/>
      <c r="B2068" s="57"/>
      <c r="C2068" s="29" t="s">
        <v>355</v>
      </c>
      <c r="D2068" s="32" t="s">
        <v>643</v>
      </c>
      <c r="E2068" s="44"/>
      <c r="F2068" s="145">
        <v>549753793.03073251</v>
      </c>
      <c r="G2068" s="75" t="s">
        <v>510</v>
      </c>
      <c r="H2068" s="47">
        <f>274753793.03+275000000</f>
        <v>549753793.02999997</v>
      </c>
      <c r="I2068" s="35" t="s">
        <v>1606</v>
      </c>
      <c r="J2068" s="37">
        <f t="shared" si="124"/>
        <v>7.3254108428955078E-4</v>
      </c>
      <c r="K2068" s="110">
        <f t="shared" si="125"/>
        <v>9689254.5399999917</v>
      </c>
      <c r="L2068" s="60"/>
      <c r="M2068" s="41"/>
      <c r="N2068" s="41"/>
      <c r="O2068" s="41"/>
    </row>
    <row r="2069" spans="1:15" s="7" customFormat="1" ht="18.75">
      <c r="A2069" s="81"/>
      <c r="B2069" s="57"/>
      <c r="C2069" s="31" t="s">
        <v>234</v>
      </c>
      <c r="D2069" s="32" t="s">
        <v>645</v>
      </c>
      <c r="E2069" s="44"/>
      <c r="F2069" s="145">
        <v>494550185.38</v>
      </c>
      <c r="G2069" s="75" t="s">
        <v>1200</v>
      </c>
      <c r="H2069" s="47">
        <f>250000000+244550185.38</f>
        <v>494550185.38</v>
      </c>
      <c r="I2069" s="35" t="s">
        <v>1105</v>
      </c>
      <c r="J2069" s="37">
        <f t="shared" si="124"/>
        <v>0</v>
      </c>
      <c r="K2069" s="110">
        <f t="shared" si="125"/>
        <v>9689254.5407325327</v>
      </c>
      <c r="L2069" s="60"/>
      <c r="M2069" s="41"/>
      <c r="N2069" s="41"/>
      <c r="O2069" s="41"/>
    </row>
    <row r="2070" spans="1:15" s="7" customFormat="1" ht="18.75">
      <c r="A2070" s="81"/>
      <c r="B2070" s="57"/>
      <c r="C2070" s="31" t="s">
        <v>514</v>
      </c>
      <c r="D2070" s="32" t="s">
        <v>646</v>
      </c>
      <c r="E2070" s="44"/>
      <c r="F2070" s="145">
        <v>491569247.30279106</v>
      </c>
      <c r="G2070" s="75" t="s">
        <v>687</v>
      </c>
      <c r="H2070" s="47">
        <f>246569247.31+245000000</f>
        <v>491569247.31</v>
      </c>
      <c r="I2070" s="35" t="s">
        <v>1607</v>
      </c>
      <c r="J2070" s="37">
        <f t="shared" si="124"/>
        <v>-7.2089433670043945E-3</v>
      </c>
      <c r="K2070" s="110">
        <f t="shared" si="125"/>
        <v>9689254.5407325327</v>
      </c>
      <c r="L2070" s="60"/>
      <c r="M2070" s="41"/>
      <c r="N2070" s="41"/>
      <c r="O2070" s="41"/>
    </row>
    <row r="2071" spans="1:15" s="7" customFormat="1" ht="18.75">
      <c r="A2071" s="81"/>
      <c r="B2071" s="57"/>
      <c r="C2071" s="102" t="s">
        <v>238</v>
      </c>
      <c r="D2071" s="32" t="s">
        <v>648</v>
      </c>
      <c r="E2071" s="44"/>
      <c r="F2071" s="145">
        <v>468076893.55668151</v>
      </c>
      <c r="G2071" s="75"/>
      <c r="H2071" s="47">
        <f>234076893.55+234000000</f>
        <v>468076893.55000001</v>
      </c>
      <c r="I2071" s="35" t="s">
        <v>1371</v>
      </c>
      <c r="J2071" s="37">
        <f t="shared" si="124"/>
        <v>6.6815018653869629E-3</v>
      </c>
      <c r="K2071" s="110">
        <f t="shared" si="125"/>
        <v>9689254.5335235894</v>
      </c>
      <c r="L2071" s="60"/>
      <c r="M2071" s="41"/>
      <c r="N2071" s="41"/>
      <c r="O2071" s="41"/>
    </row>
    <row r="2072" spans="1:15" s="7" customFormat="1" ht="18.75">
      <c r="A2072" s="81"/>
      <c r="B2072" s="57"/>
      <c r="C2072" s="111" t="s">
        <v>240</v>
      </c>
      <c r="D2072" s="32" t="s">
        <v>1045</v>
      </c>
      <c r="E2072" s="44"/>
      <c r="F2072" s="145">
        <v>321435144.39169353</v>
      </c>
      <c r="G2072" s="75" t="s">
        <v>693</v>
      </c>
      <c r="H2072" s="47">
        <f>161435144.39+160000000</f>
        <v>321435144.38999999</v>
      </c>
      <c r="I2072" s="35" t="s">
        <v>1608</v>
      </c>
      <c r="J2072" s="37">
        <f t="shared" si="124"/>
        <v>1.6935467720031738E-3</v>
      </c>
      <c r="K2072" s="110">
        <f t="shared" si="125"/>
        <v>9689254.5402050912</v>
      </c>
      <c r="L2072" s="60"/>
      <c r="M2072" s="41"/>
      <c r="N2072" s="41"/>
      <c r="O2072" s="41"/>
    </row>
    <row r="2073" spans="1:15" s="7" customFormat="1" ht="18.75">
      <c r="A2073" s="81"/>
      <c r="B2073" s="57"/>
      <c r="C2073" s="102" t="s">
        <v>243</v>
      </c>
      <c r="D2073" s="32" t="s">
        <v>1047</v>
      </c>
      <c r="E2073" s="44"/>
      <c r="F2073" s="145">
        <v>361247292.43283105</v>
      </c>
      <c r="G2073" s="75" t="s">
        <v>575</v>
      </c>
      <c r="H2073" s="172">
        <f>181247292.43+180000000</f>
        <v>361247292.43000001</v>
      </c>
      <c r="I2073" s="35" t="s">
        <v>1609</v>
      </c>
      <c r="J2073" s="37">
        <f t="shared" si="124"/>
        <v>2.8310418128967285E-3</v>
      </c>
      <c r="K2073" s="110">
        <f t="shared" si="125"/>
        <v>9689254.541898638</v>
      </c>
      <c r="L2073" s="60"/>
      <c r="M2073" s="41"/>
      <c r="N2073" s="41"/>
      <c r="O2073" s="41"/>
    </row>
    <row r="2074" spans="1:15" s="7" customFormat="1" ht="18.75">
      <c r="A2074" s="81"/>
      <c r="B2074" s="57"/>
      <c r="C2074" s="102" t="s">
        <v>246</v>
      </c>
      <c r="D2074" s="103" t="s">
        <v>1048</v>
      </c>
      <c r="E2074" s="44"/>
      <c r="F2074" s="145">
        <v>435339224.195988</v>
      </c>
      <c r="G2074" s="105" t="s">
        <v>697</v>
      </c>
      <c r="H2074" s="172">
        <v>435339224.195988</v>
      </c>
      <c r="I2074" s="35" t="s">
        <v>1610</v>
      </c>
      <c r="J2074" s="37">
        <f t="shared" si="124"/>
        <v>0</v>
      </c>
      <c r="K2074" s="110">
        <f t="shared" si="125"/>
        <v>9689254.5447296798</v>
      </c>
      <c r="L2074" s="60"/>
      <c r="M2074" s="41"/>
      <c r="N2074" s="41"/>
      <c r="O2074" s="41"/>
    </row>
    <row r="2075" spans="1:15" s="7" customFormat="1" ht="18.75">
      <c r="A2075" s="81"/>
      <c r="B2075" s="57"/>
      <c r="C2075" s="111" t="s">
        <v>248</v>
      </c>
      <c r="D2075" s="103" t="s">
        <v>1050</v>
      </c>
      <c r="E2075" s="44"/>
      <c r="F2075" s="145">
        <v>493009114.03077602</v>
      </c>
      <c r="G2075" s="105" t="s">
        <v>698</v>
      </c>
      <c r="H2075" s="172">
        <v>493009114.03077602</v>
      </c>
      <c r="I2075" s="35" t="s">
        <v>1611</v>
      </c>
      <c r="J2075" s="37">
        <f t="shared" si="124"/>
        <v>0</v>
      </c>
      <c r="K2075" s="110">
        <f t="shared" si="125"/>
        <v>9689254.5447296798</v>
      </c>
      <c r="L2075" s="60"/>
      <c r="M2075" s="41"/>
      <c r="N2075" s="41"/>
      <c r="O2075" s="41"/>
    </row>
    <row r="2076" spans="1:15" s="7" customFormat="1" ht="18.75">
      <c r="A2076" s="81"/>
      <c r="B2076" s="57"/>
      <c r="C2076" s="111" t="s">
        <v>250</v>
      </c>
      <c r="D2076" s="166" t="s">
        <v>383</v>
      </c>
      <c r="E2076" s="44"/>
      <c r="F2076" s="299">
        <v>365419352.39999998</v>
      </c>
      <c r="G2076" s="270" t="s">
        <v>700</v>
      </c>
      <c r="H2076" s="300">
        <v>365419352.39999998</v>
      </c>
      <c r="I2076" s="35" t="s">
        <v>1515</v>
      </c>
      <c r="J2076" s="37">
        <f t="shared" si="124"/>
        <v>0</v>
      </c>
      <c r="K2076" s="110">
        <f t="shared" si="125"/>
        <v>9689254.5447296798</v>
      </c>
      <c r="L2076" s="60"/>
      <c r="M2076" s="41"/>
      <c r="N2076" s="41"/>
      <c r="O2076" s="41"/>
    </row>
    <row r="2077" spans="1:15" s="7" customFormat="1" ht="18.75">
      <c r="A2077" s="81"/>
      <c r="B2077" s="57"/>
      <c r="C2077" s="111" t="s">
        <v>139</v>
      </c>
      <c r="D2077" s="166" t="s">
        <v>384</v>
      </c>
      <c r="E2077" s="44"/>
      <c r="F2077" s="299">
        <v>493942132.92000002</v>
      </c>
      <c r="G2077" s="270" t="s">
        <v>431</v>
      </c>
      <c r="H2077" s="300">
        <v>493942132.92000002</v>
      </c>
      <c r="I2077" s="35" t="s">
        <v>768</v>
      </c>
      <c r="J2077" s="37">
        <f t="shared" si="124"/>
        <v>0</v>
      </c>
      <c r="K2077" s="110">
        <f t="shared" si="125"/>
        <v>9689254.5447296798</v>
      </c>
      <c r="L2077" s="60"/>
      <c r="M2077" s="41"/>
      <c r="N2077" s="41"/>
      <c r="O2077" s="41"/>
    </row>
    <row r="2078" spans="1:15" s="7" customFormat="1" ht="18.75">
      <c r="A2078" s="81"/>
      <c r="B2078" s="57"/>
      <c r="C2078" s="62" t="s">
        <v>142</v>
      </c>
      <c r="D2078" s="166" t="s">
        <v>385</v>
      </c>
      <c r="E2078" s="44"/>
      <c r="F2078" s="299">
        <v>521408383.06999999</v>
      </c>
      <c r="G2078" s="270" t="s">
        <v>431</v>
      </c>
      <c r="H2078" s="300">
        <v>521408383.06999999</v>
      </c>
      <c r="I2078" s="35" t="s">
        <v>876</v>
      </c>
      <c r="J2078" s="37">
        <f t="shared" si="124"/>
        <v>0</v>
      </c>
      <c r="K2078" s="110">
        <f t="shared" si="125"/>
        <v>9689254.5447296798</v>
      </c>
      <c r="L2078" s="60"/>
      <c r="M2078" s="41"/>
      <c r="N2078" s="41"/>
      <c r="O2078" s="41"/>
    </row>
    <row r="2079" spans="1:15" s="7" customFormat="1" ht="18.75">
      <c r="A2079" s="81"/>
      <c r="B2079" s="57"/>
      <c r="C2079" s="62" t="s">
        <v>145</v>
      </c>
      <c r="D2079" s="166" t="s">
        <v>386</v>
      </c>
      <c r="E2079" s="44"/>
      <c r="F2079" s="299">
        <v>498160075.67680198</v>
      </c>
      <c r="G2079" s="270" t="s">
        <v>1612</v>
      </c>
      <c r="H2079" s="300">
        <v>498160075.67680198</v>
      </c>
      <c r="I2079" s="35" t="s">
        <v>1613</v>
      </c>
      <c r="J2079" s="37">
        <f t="shared" si="124"/>
        <v>0</v>
      </c>
      <c r="K2079" s="110">
        <f t="shared" si="125"/>
        <v>9689254.5447296798</v>
      </c>
      <c r="L2079" s="60"/>
      <c r="M2079" s="41"/>
      <c r="N2079" s="41"/>
      <c r="O2079" s="41"/>
    </row>
    <row r="2080" spans="1:15" s="7" customFormat="1" ht="18.75">
      <c r="A2080" s="81"/>
      <c r="B2080" s="57"/>
      <c r="C2080" s="111" t="s">
        <v>148</v>
      </c>
      <c r="D2080" s="166" t="s">
        <v>388</v>
      </c>
      <c r="E2080" s="44"/>
      <c r="F2080" s="299">
        <v>550182270.64632297</v>
      </c>
      <c r="G2080" s="270" t="s">
        <v>433</v>
      </c>
      <c r="H2080" s="300">
        <v>550182270.64632297</v>
      </c>
      <c r="I2080" s="35" t="s">
        <v>993</v>
      </c>
      <c r="J2080" s="37">
        <f t="shared" si="124"/>
        <v>0</v>
      </c>
      <c r="K2080" s="110">
        <f t="shared" si="125"/>
        <v>9689254.5447296798</v>
      </c>
      <c r="L2080" s="60"/>
      <c r="M2080" s="41"/>
      <c r="N2080" s="41"/>
      <c r="O2080" s="41"/>
    </row>
    <row r="2081" spans="1:15" s="7" customFormat="1" ht="18.75">
      <c r="A2081" s="81"/>
      <c r="B2081" s="57"/>
      <c r="C2081" s="111" t="s">
        <v>151</v>
      </c>
      <c r="D2081" s="166" t="s">
        <v>39</v>
      </c>
      <c r="E2081" s="44"/>
      <c r="F2081" s="299">
        <v>528210050.78011805</v>
      </c>
      <c r="G2081" s="270" t="s">
        <v>152</v>
      </c>
      <c r="H2081" s="300">
        <v>528210050.78011805</v>
      </c>
      <c r="I2081" s="35" t="s">
        <v>1614</v>
      </c>
      <c r="J2081" s="37">
        <f t="shared" si="124"/>
        <v>0</v>
      </c>
      <c r="K2081" s="110">
        <f t="shared" si="125"/>
        <v>9689254.5447296798</v>
      </c>
      <c r="L2081" s="60"/>
      <c r="M2081" s="41"/>
      <c r="N2081" s="41"/>
      <c r="O2081" s="41"/>
    </row>
    <row r="2082" spans="1:15" s="7" customFormat="1" ht="18.75">
      <c r="A2082" s="81"/>
      <c r="B2082" s="57"/>
      <c r="C2082" s="111" t="s">
        <v>154</v>
      </c>
      <c r="D2082" s="166" t="s">
        <v>390</v>
      </c>
      <c r="E2082" s="44"/>
      <c r="F2082" s="299">
        <v>546721197.17287803</v>
      </c>
      <c r="G2082" s="270" t="s">
        <v>156</v>
      </c>
      <c r="H2082" s="300">
        <v>546721197.17287803</v>
      </c>
      <c r="I2082" s="35" t="s">
        <v>772</v>
      </c>
      <c r="J2082" s="37">
        <f t="shared" si="124"/>
        <v>0</v>
      </c>
      <c r="K2082" s="110">
        <f t="shared" si="125"/>
        <v>9689254.5447296798</v>
      </c>
      <c r="L2082" s="60"/>
      <c r="M2082" s="41"/>
      <c r="N2082" s="41"/>
      <c r="O2082" s="41"/>
    </row>
    <row r="2083" spans="1:15" s="7" customFormat="1" ht="18.75">
      <c r="A2083" s="81"/>
      <c r="B2083" s="57"/>
      <c r="C2083" s="111" t="s">
        <v>158</v>
      </c>
      <c r="D2083" s="166" t="s">
        <v>392</v>
      </c>
      <c r="E2083" s="44"/>
      <c r="F2083" s="299">
        <v>539178362.71114206</v>
      </c>
      <c r="G2083" s="270" t="s">
        <v>160</v>
      </c>
      <c r="H2083" s="300">
        <f>220000157.5+270000157.5</f>
        <v>490000315</v>
      </c>
      <c r="I2083" s="35" t="s">
        <v>161</v>
      </c>
      <c r="J2083" s="37">
        <f t="shared" si="124"/>
        <v>49178047.711142063</v>
      </c>
      <c r="K2083" s="110">
        <f t="shared" si="125"/>
        <v>9689254.5447296798</v>
      </c>
      <c r="L2083" s="60"/>
      <c r="M2083" s="41"/>
      <c r="N2083" s="41"/>
      <c r="O2083" s="41"/>
    </row>
    <row r="2084" spans="1:15" s="7" customFormat="1" ht="18.75">
      <c r="A2084" s="81"/>
      <c r="B2084" s="57"/>
      <c r="C2084" s="111" t="s">
        <v>162</v>
      </c>
      <c r="D2084" s="166" t="s">
        <v>393</v>
      </c>
      <c r="E2084" s="44"/>
      <c r="F2084" s="299">
        <v>439954768.34558558</v>
      </c>
      <c r="G2084" s="270" t="s">
        <v>164</v>
      </c>
      <c r="H2084" s="300">
        <f>219954768.35+269178362.17</f>
        <v>489133130.51999998</v>
      </c>
      <c r="I2084" s="35" t="s">
        <v>1459</v>
      </c>
      <c r="J2084" s="37">
        <f t="shared" si="124"/>
        <v>-49178362.174414396</v>
      </c>
      <c r="K2084" s="110">
        <f t="shared" si="125"/>
        <v>58867302.255871743</v>
      </c>
      <c r="L2084" s="60"/>
      <c r="M2084" s="41"/>
      <c r="N2084" s="41"/>
      <c r="O2084" s="41"/>
    </row>
    <row r="2085" spans="1:15" s="7" customFormat="1" ht="18.75">
      <c r="A2085" s="81"/>
      <c r="B2085" s="57"/>
      <c r="C2085" s="111" t="s">
        <v>166</v>
      </c>
      <c r="D2085" s="166" t="s">
        <v>528</v>
      </c>
      <c r="E2085" s="44"/>
      <c r="F2085" s="299">
        <v>537129670.02970803</v>
      </c>
      <c r="G2085" s="270" t="s">
        <v>168</v>
      </c>
      <c r="H2085" s="300">
        <v>537129670.02970803</v>
      </c>
      <c r="I2085" s="35" t="s">
        <v>169</v>
      </c>
      <c r="J2085" s="37">
        <f t="shared" si="124"/>
        <v>0</v>
      </c>
      <c r="K2085" s="110">
        <f t="shared" si="125"/>
        <v>9688940.0814573467</v>
      </c>
      <c r="L2085" s="60"/>
      <c r="M2085" s="41"/>
      <c r="N2085" s="41"/>
      <c r="O2085" s="41"/>
    </row>
    <row r="2086" spans="1:15" s="7" customFormat="1" ht="18.75">
      <c r="A2086" s="81"/>
      <c r="B2086" s="57"/>
      <c r="C2086" s="111" t="s">
        <v>170</v>
      </c>
      <c r="D2086" s="166" t="s">
        <v>35</v>
      </c>
      <c r="E2086" s="44"/>
      <c r="F2086" s="299">
        <v>538971723.60645592</v>
      </c>
      <c r="G2086" s="270" t="s">
        <v>172</v>
      </c>
      <c r="H2086" s="300">
        <f>270000000+268971723.6</f>
        <v>538971723.60000002</v>
      </c>
      <c r="I2086" s="35" t="s">
        <v>1229</v>
      </c>
      <c r="J2086" s="37">
        <f t="shared" si="124"/>
        <v>6.4558982849121094E-3</v>
      </c>
      <c r="K2086" s="110">
        <f t="shared" si="125"/>
        <v>9688940.0814573467</v>
      </c>
      <c r="L2086" s="60"/>
      <c r="M2086" s="41"/>
      <c r="N2086" s="41"/>
      <c r="O2086" s="41"/>
    </row>
    <row r="2087" spans="1:15" s="7" customFormat="1" ht="18.75">
      <c r="A2087" s="81"/>
      <c r="B2087" s="57"/>
      <c r="C2087" s="111" t="s">
        <v>174</v>
      </c>
      <c r="D2087" s="166" t="s">
        <v>530</v>
      </c>
      <c r="E2087" s="44"/>
      <c r="F2087" s="299">
        <v>538503524.962767</v>
      </c>
      <c r="G2087" s="270" t="s">
        <v>176</v>
      </c>
      <c r="H2087" s="300">
        <f>270000000+268503524.96</f>
        <v>538503524.96000004</v>
      </c>
      <c r="I2087" s="35" t="s">
        <v>919</v>
      </c>
      <c r="J2087" s="37">
        <f t="shared" si="124"/>
        <v>2.7669668197631836E-3</v>
      </c>
      <c r="K2087" s="110">
        <f t="shared" si="125"/>
        <v>9688940.087913245</v>
      </c>
      <c r="L2087" s="60"/>
      <c r="M2087" s="41"/>
      <c r="N2087" s="41"/>
      <c r="O2087" s="41"/>
    </row>
    <row r="2088" spans="1:15" s="7" customFormat="1" ht="18.75">
      <c r="A2088" s="81"/>
      <c r="B2088" s="57"/>
      <c r="C2088" s="111" t="s">
        <v>178</v>
      </c>
      <c r="D2088" s="166" t="s">
        <v>532</v>
      </c>
      <c r="E2088" s="44"/>
      <c r="F2088" s="299">
        <v>533084317.93806005</v>
      </c>
      <c r="G2088" s="270" t="s">
        <v>179</v>
      </c>
      <c r="H2088" s="300">
        <f>263084317.94+270000000</f>
        <v>533084317.94</v>
      </c>
      <c r="I2088" s="35" t="s">
        <v>1615</v>
      </c>
      <c r="J2088" s="37">
        <f t="shared" si="124"/>
        <v>-1.9399523735046387E-3</v>
      </c>
      <c r="K2088" s="110">
        <f t="shared" si="125"/>
        <v>9688940.0906802118</v>
      </c>
      <c r="L2088" s="60"/>
      <c r="M2088" s="41"/>
      <c r="N2088" s="41"/>
      <c r="O2088" s="41"/>
    </row>
    <row r="2089" spans="1:15" s="7" customFormat="1" ht="18.75">
      <c r="A2089" s="81"/>
      <c r="B2089" s="57"/>
      <c r="C2089" s="111" t="s">
        <v>181</v>
      </c>
      <c r="D2089" s="166" t="s">
        <v>534</v>
      </c>
      <c r="E2089" s="44"/>
      <c r="F2089" s="299">
        <v>529042161.65207398</v>
      </c>
      <c r="G2089" s="270" t="s">
        <v>183</v>
      </c>
      <c r="H2089" s="300">
        <f>264042161.65+264042161.65+957838.35</f>
        <v>529042161.65000004</v>
      </c>
      <c r="I2089" s="35" t="s">
        <v>331</v>
      </c>
      <c r="J2089" s="37">
        <f t="shared" si="124"/>
        <v>2.0739436149597168E-3</v>
      </c>
      <c r="K2089" s="110">
        <f t="shared" si="125"/>
        <v>9688940.0887402594</v>
      </c>
      <c r="L2089" s="60"/>
      <c r="M2089" s="41"/>
      <c r="N2089" s="41"/>
      <c r="O2089" s="41"/>
    </row>
    <row r="2090" spans="1:15" s="7" customFormat="1" ht="18.75">
      <c r="A2090" s="81"/>
      <c r="B2090" s="57"/>
      <c r="C2090" s="111" t="s">
        <v>185</v>
      </c>
      <c r="D2090" s="166" t="s">
        <v>535</v>
      </c>
      <c r="E2090" s="44"/>
      <c r="F2090" s="299">
        <v>596308563.90319204</v>
      </c>
      <c r="G2090" s="270" t="s">
        <v>187</v>
      </c>
      <c r="H2090" s="300">
        <f>298000000+298308563.9</f>
        <v>596308563.89999998</v>
      </c>
      <c r="I2090" s="35" t="s">
        <v>1616</v>
      </c>
      <c r="J2090" s="37">
        <f t="shared" si="124"/>
        <v>3.1920671463012695E-3</v>
      </c>
      <c r="K2090" s="110">
        <f t="shared" si="125"/>
        <v>9688940.090814203</v>
      </c>
      <c r="L2090" s="60"/>
      <c r="M2090" s="41"/>
      <c r="N2090" s="41"/>
      <c r="O2090" s="41"/>
    </row>
    <row r="2091" spans="1:15" s="7" customFormat="1" ht="18.75">
      <c r="A2091" s="81"/>
      <c r="B2091" s="57"/>
      <c r="C2091" s="111" t="s">
        <v>189</v>
      </c>
      <c r="D2091" s="166" t="s">
        <v>536</v>
      </c>
      <c r="E2091" s="44"/>
      <c r="F2091" s="299">
        <v>567657293.4323504</v>
      </c>
      <c r="G2091" s="270" t="s">
        <v>731</v>
      </c>
      <c r="H2091" s="300">
        <f>283800000+283857293.43</f>
        <v>567657293.43000007</v>
      </c>
      <c r="I2091" s="35" t="s">
        <v>1140</v>
      </c>
      <c r="J2091" s="37">
        <f t="shared" si="124"/>
        <v>2.3503303527832031E-3</v>
      </c>
      <c r="K2091" s="110">
        <f t="shared" si="125"/>
        <v>9688940.0940062702</v>
      </c>
      <c r="L2091" s="60"/>
      <c r="M2091" s="41"/>
      <c r="N2091" s="41"/>
      <c r="O2091" s="41"/>
    </row>
    <row r="2092" spans="1:15" s="7" customFormat="1" ht="15" customHeight="1">
      <c r="A2092" s="81"/>
      <c r="B2092" s="57"/>
      <c r="C2092" s="111" t="s">
        <v>191</v>
      </c>
      <c r="D2092" s="166" t="s">
        <v>538</v>
      </c>
      <c r="E2092" s="44"/>
      <c r="F2092" s="299">
        <v>780027591.33315444</v>
      </c>
      <c r="G2092" s="270" t="s">
        <v>193</v>
      </c>
      <c r="H2092" s="300">
        <f>390000000+390027591.33</f>
        <v>780027591.32999992</v>
      </c>
      <c r="I2092" s="35" t="s">
        <v>600</v>
      </c>
      <c r="J2092" s="37">
        <f t="shared" si="124"/>
        <v>3.1545162200927734E-3</v>
      </c>
      <c r="K2092" s="110">
        <f t="shared" si="125"/>
        <v>9688940.0963566005</v>
      </c>
      <c r="L2092" s="4"/>
      <c r="M2092" s="41"/>
      <c r="N2092" s="41"/>
      <c r="O2092" s="41"/>
    </row>
    <row r="2093" spans="1:15" s="7" customFormat="1" ht="18.75">
      <c r="A2093" s="81"/>
      <c r="B2093" s="57"/>
      <c r="C2093" s="111" t="s">
        <v>195</v>
      </c>
      <c r="D2093" s="166" t="s">
        <v>1617</v>
      </c>
      <c r="E2093" s="44" t="s">
        <v>197</v>
      </c>
      <c r="F2093" s="299">
        <v>705546579.63114595</v>
      </c>
      <c r="G2093" s="270" t="s">
        <v>198</v>
      </c>
      <c r="H2093" s="300">
        <f>352800000+352746579.63</f>
        <v>705546579.63</v>
      </c>
      <c r="I2093" s="35" t="s">
        <v>1618</v>
      </c>
      <c r="J2093" s="37">
        <f t="shared" si="124"/>
        <v>1.1459589004516602E-3</v>
      </c>
      <c r="K2093" s="110">
        <f t="shared" si="125"/>
        <v>9688940.0995111167</v>
      </c>
      <c r="L2093" s="60"/>
      <c r="M2093" s="41"/>
      <c r="N2093" s="41"/>
      <c r="O2093" s="41"/>
    </row>
    <row r="2094" spans="1:15" s="7" customFormat="1" ht="18.75">
      <c r="A2094" s="81"/>
      <c r="B2094" s="57"/>
      <c r="C2094" s="111" t="s">
        <v>199</v>
      </c>
      <c r="D2094" s="166" t="s">
        <v>540</v>
      </c>
      <c r="E2094" s="44">
        <v>44049</v>
      </c>
      <c r="F2094" s="299">
        <v>665837674.24697995</v>
      </c>
      <c r="G2094" s="301" t="s">
        <v>336</v>
      </c>
      <c r="H2094" s="300">
        <f>333000000+332837674.25</f>
        <v>665837674.25</v>
      </c>
      <c r="I2094" s="35" t="s">
        <v>546</v>
      </c>
      <c r="J2094" s="37">
        <f t="shared" si="124"/>
        <v>-3.0200481414794922E-3</v>
      </c>
      <c r="K2094" s="110">
        <f t="shared" si="125"/>
        <v>9688940.1006570756</v>
      </c>
      <c r="L2094" s="60"/>
      <c r="M2094" s="41"/>
      <c r="N2094" s="41"/>
      <c r="O2094" s="41"/>
    </row>
    <row r="2095" spans="1:15" s="7" customFormat="1" ht="18.75">
      <c r="A2095" s="81"/>
      <c r="B2095" s="57"/>
      <c r="C2095" s="111" t="s">
        <v>201</v>
      </c>
      <c r="D2095" s="166" t="s">
        <v>542</v>
      </c>
      <c r="E2095" s="44" t="s">
        <v>449</v>
      </c>
      <c r="F2095" s="299">
        <v>665438944.08588004</v>
      </c>
      <c r="G2095" s="301">
        <v>44018</v>
      </c>
      <c r="H2095" s="300">
        <f>333000000+332438944.09</f>
        <v>665438944.08999991</v>
      </c>
      <c r="I2095" s="44">
        <v>43839</v>
      </c>
      <c r="J2095" s="37">
        <f t="shared" si="124"/>
        <v>-4.119873046875E-3</v>
      </c>
      <c r="K2095" s="110">
        <f t="shared" si="125"/>
        <v>9688940.0976370275</v>
      </c>
      <c r="L2095" s="60"/>
      <c r="M2095" s="41"/>
      <c r="N2095" s="41"/>
      <c r="O2095" s="41"/>
    </row>
    <row r="2096" spans="1:15" s="7" customFormat="1" ht="18.75">
      <c r="A2096" s="81"/>
      <c r="B2096" s="57"/>
      <c r="C2096" s="111" t="s">
        <v>203</v>
      </c>
      <c r="D2096" s="166" t="s">
        <v>543</v>
      </c>
      <c r="E2096" s="44">
        <v>44020</v>
      </c>
      <c r="F2096" s="299">
        <v>755752583.98589194</v>
      </c>
      <c r="G2096" s="301" t="s">
        <v>450</v>
      </c>
      <c r="H2096" s="300">
        <f>377000000+378752583.99</f>
        <v>755752583.99000001</v>
      </c>
      <c r="I2096" s="44" t="s">
        <v>1219</v>
      </c>
      <c r="J2096" s="37">
        <f t="shared" si="124"/>
        <v>-4.1080713272094727E-3</v>
      </c>
      <c r="K2096" s="110">
        <f t="shared" si="125"/>
        <v>9688940.0935171545</v>
      </c>
      <c r="L2096" s="60"/>
      <c r="M2096" s="41"/>
      <c r="N2096" s="41"/>
      <c r="O2096" s="41"/>
    </row>
    <row r="2097" spans="1:15" s="7" customFormat="1" ht="18.75">
      <c r="A2097" s="81"/>
      <c r="B2097" s="57"/>
      <c r="C2097" s="111" t="s">
        <v>207</v>
      </c>
      <c r="D2097" s="166" t="s">
        <v>544</v>
      </c>
      <c r="E2097" s="44" t="s">
        <v>292</v>
      </c>
      <c r="F2097" s="299">
        <v>741121370.97506988</v>
      </c>
      <c r="G2097" s="301" t="s">
        <v>293</v>
      </c>
      <c r="H2097" s="300">
        <f>370000000+371121370.98</f>
        <v>741121370.98000002</v>
      </c>
      <c r="I2097" s="35" t="s">
        <v>603</v>
      </c>
      <c r="J2097" s="37">
        <f t="shared" si="124"/>
        <v>-4.9301385879516602E-3</v>
      </c>
      <c r="K2097" s="110">
        <f t="shared" si="125"/>
        <v>9688940.0894090831</v>
      </c>
      <c r="L2097" s="60"/>
      <c r="M2097" s="41"/>
      <c r="N2097" s="41"/>
      <c r="O2097" s="41"/>
    </row>
    <row r="2098" spans="1:15" s="7" customFormat="1" ht="18.75">
      <c r="A2098" s="81"/>
      <c r="B2098" s="57"/>
      <c r="C2098" s="111" t="s">
        <v>212</v>
      </c>
      <c r="D2098" s="166" t="s">
        <v>545</v>
      </c>
      <c r="E2098" s="44">
        <v>44084</v>
      </c>
      <c r="F2098" s="299">
        <v>796825626.99915195</v>
      </c>
      <c r="G2098" s="301" t="s">
        <v>213</v>
      </c>
      <c r="H2098" s="300">
        <f>398000000+398825626.99</f>
        <v>796825626.99000001</v>
      </c>
      <c r="I2098" s="35" t="s">
        <v>217</v>
      </c>
      <c r="J2098" s="37">
        <f t="shared" si="124"/>
        <v>9.1519355773925781E-3</v>
      </c>
      <c r="K2098" s="110">
        <f t="shared" si="125"/>
        <v>9688940.0844789445</v>
      </c>
      <c r="L2098" s="60"/>
      <c r="M2098" s="41"/>
      <c r="N2098" s="41"/>
      <c r="O2098" s="41"/>
    </row>
    <row r="2099" spans="1:15" s="7" customFormat="1" ht="18.75">
      <c r="A2099" s="81"/>
      <c r="B2099" s="57"/>
      <c r="C2099" s="111" t="s">
        <v>214</v>
      </c>
      <c r="D2099" s="166" t="s">
        <v>38</v>
      </c>
      <c r="E2099" s="44">
        <v>43962</v>
      </c>
      <c r="F2099" s="299">
        <v>832881046.67889285</v>
      </c>
      <c r="G2099" s="301" t="s">
        <v>216</v>
      </c>
      <c r="H2099" s="300">
        <f>416000000+416881046.68</f>
        <v>832881046.68000007</v>
      </c>
      <c r="I2099" s="35" t="s">
        <v>1167</v>
      </c>
      <c r="J2099" s="37">
        <f>F2099-H2099</f>
        <v>-1.1072158813476563E-3</v>
      </c>
      <c r="K2099" s="110">
        <f t="shared" si="125"/>
        <v>9688940.0936308801</v>
      </c>
      <c r="L2099" s="60"/>
      <c r="M2099" s="41"/>
      <c r="N2099" s="41"/>
      <c r="O2099" s="41"/>
    </row>
    <row r="2100" spans="1:15" s="7" customFormat="1" ht="18.75">
      <c r="A2100" s="81"/>
      <c r="B2100" s="57"/>
      <c r="C2100" s="111" t="s">
        <v>218</v>
      </c>
      <c r="D2100" s="166" t="s">
        <v>548</v>
      </c>
      <c r="E2100" s="44">
        <v>44024</v>
      </c>
      <c r="F2100" s="299">
        <v>895208361.29118478</v>
      </c>
      <c r="G2100" s="301">
        <v>44531</v>
      </c>
      <c r="H2100" s="300">
        <f>447600000+447608316.29</f>
        <v>895208316.28999996</v>
      </c>
      <c r="I2100" s="44" t="s">
        <v>1619</v>
      </c>
      <c r="J2100" s="37">
        <f>F2100-H2100</f>
        <v>45.001184821128845</v>
      </c>
      <c r="K2100" s="110">
        <f t="shared" si="125"/>
        <v>9688940.0925236642</v>
      </c>
      <c r="L2100" s="60"/>
      <c r="M2100" s="60"/>
      <c r="N2100" s="41"/>
      <c r="O2100" s="41"/>
    </row>
    <row r="2101" spans="1:15" s="7" customFormat="1" ht="18.75">
      <c r="A2101" s="81"/>
      <c r="B2101" s="57"/>
      <c r="C2101" s="111" t="s">
        <v>219</v>
      </c>
      <c r="D2101" s="166" t="s">
        <v>550</v>
      </c>
      <c r="E2101" s="44">
        <v>44409</v>
      </c>
      <c r="F2101" s="299">
        <v>905997287.99217296</v>
      </c>
      <c r="G2101" s="301" t="s">
        <v>220</v>
      </c>
      <c r="H2101" s="300">
        <f>453000000+452997288</f>
        <v>905997288</v>
      </c>
      <c r="I2101" s="44" t="s">
        <v>711</v>
      </c>
      <c r="J2101" s="37">
        <f>F2101-H2101</f>
        <v>-7.8270435333251953E-3</v>
      </c>
      <c r="K2101" s="110">
        <f t="shared" si="125"/>
        <v>9688985.0937084854</v>
      </c>
      <c r="L2101" s="60"/>
      <c r="M2101" s="41"/>
      <c r="N2101" s="41"/>
      <c r="O2101" s="41"/>
    </row>
    <row r="2102" spans="1:15" s="7" customFormat="1" ht="18.75">
      <c r="A2102" s="81"/>
      <c r="B2102" s="57"/>
      <c r="C2102" s="111" t="s">
        <v>221</v>
      </c>
      <c r="D2102" s="166" t="s">
        <v>113</v>
      </c>
      <c r="E2102" s="44">
        <v>44441</v>
      </c>
      <c r="F2102" s="299">
        <v>934587045.35113955</v>
      </c>
      <c r="G2102" s="301" t="s">
        <v>93</v>
      </c>
      <c r="H2102" s="300"/>
      <c r="I2102" s="44"/>
      <c r="J2102" s="37">
        <f>F2102-H2102</f>
        <v>934587045.35113955</v>
      </c>
      <c r="K2102" s="110">
        <f t="shared" si="125"/>
        <v>9688985.0858814418</v>
      </c>
      <c r="L2102" s="60"/>
      <c r="M2102" s="41"/>
      <c r="N2102" s="41"/>
      <c r="O2102" s="41"/>
    </row>
    <row r="2103" spans="1:15" s="7" customFormat="1" ht="18.75">
      <c r="A2103" s="81"/>
      <c r="B2103" s="57"/>
      <c r="C2103" s="111" t="s">
        <v>222</v>
      </c>
      <c r="D2103" s="166" t="s">
        <v>229</v>
      </c>
      <c r="E2103" s="44">
        <v>44319</v>
      </c>
      <c r="F2103" s="299">
        <v>764818986.51309192</v>
      </c>
      <c r="G2103" s="301" t="s">
        <v>224</v>
      </c>
      <c r="H2103" s="300"/>
      <c r="I2103" s="44"/>
      <c r="J2103" s="37">
        <f>F2103-H2103</f>
        <v>764818986.51309192</v>
      </c>
      <c r="K2103" s="110">
        <f t="shared" si="125"/>
        <v>944276030.43702102</v>
      </c>
      <c r="L2103" s="60"/>
      <c r="M2103" s="41"/>
      <c r="N2103" s="41"/>
      <c r="O2103" s="41"/>
    </row>
    <row r="2104" spans="1:15" s="7" customFormat="1" ht="18.75">
      <c r="A2104" s="81"/>
      <c r="B2104" s="57" t="s">
        <v>1620</v>
      </c>
      <c r="C2104" s="41"/>
      <c r="D2104" s="32"/>
      <c r="E2104" s="44"/>
      <c r="F2104" s="34"/>
      <c r="G2104" s="76"/>
      <c r="H2104" s="47"/>
      <c r="I2104" s="35"/>
      <c r="J2104" s="37"/>
      <c r="K2104" s="116">
        <f t="shared" si="125"/>
        <v>1709095016.9501128</v>
      </c>
      <c r="L2104" s="60"/>
      <c r="M2104" s="41"/>
      <c r="N2104" s="41"/>
      <c r="O2104" s="41"/>
    </row>
    <row r="2105" spans="1:15" s="7" customFormat="1" ht="18.75">
      <c r="A2105" s="81"/>
      <c r="B2105" s="57"/>
      <c r="C2105" s="41"/>
      <c r="D2105" s="32"/>
      <c r="E2105" s="44"/>
      <c r="F2105" s="34"/>
      <c r="G2105" s="76"/>
      <c r="H2105" s="47"/>
      <c r="I2105" s="35"/>
      <c r="J2105" s="37"/>
      <c r="K2105" s="116"/>
      <c r="L2105" s="60"/>
      <c r="M2105" s="41"/>
      <c r="N2105" s="41"/>
      <c r="O2105" s="41"/>
    </row>
    <row r="2106" spans="1:15" s="7" customFormat="1" ht="18.75">
      <c r="A2106" s="56">
        <v>58</v>
      </c>
      <c r="B2106" s="57" t="s">
        <v>1621</v>
      </c>
      <c r="C2106" s="41" t="s">
        <v>1412</v>
      </c>
      <c r="D2106" s="32" t="s">
        <v>385</v>
      </c>
      <c r="E2106" s="44"/>
      <c r="F2106" s="86">
        <v>79922420.170000002</v>
      </c>
      <c r="G2106" s="76" t="s">
        <v>1622</v>
      </c>
      <c r="H2106" s="208"/>
      <c r="I2106" s="58"/>
      <c r="J2106" s="110">
        <f t="shared" ref="J2106:J2136" si="126">F2106-H2106</f>
        <v>79922420.170000002</v>
      </c>
      <c r="K2106" s="110">
        <v>0</v>
      </c>
      <c r="L2106" s="60"/>
      <c r="M2106" s="41"/>
      <c r="N2106" s="41"/>
      <c r="O2106" s="41"/>
    </row>
    <row r="2107" spans="1:15" s="7" customFormat="1" ht="18.75">
      <c r="A2107" s="56"/>
      <c r="B2107" s="57"/>
      <c r="C2107" s="41" t="s">
        <v>609</v>
      </c>
      <c r="D2107" s="32" t="s">
        <v>386</v>
      </c>
      <c r="E2107" s="44"/>
      <c r="F2107" s="86">
        <v>88527578.27256</v>
      </c>
      <c r="G2107" s="76" t="s">
        <v>1623</v>
      </c>
      <c r="H2107" s="208"/>
      <c r="I2107" s="58"/>
      <c r="J2107" s="110">
        <f t="shared" si="126"/>
        <v>88527578.27256</v>
      </c>
      <c r="K2107" s="110">
        <f t="shared" ref="K2107:K2136" si="127">K2106+J2106</f>
        <v>79922420.170000002</v>
      </c>
      <c r="L2107" s="60"/>
      <c r="M2107" s="41"/>
      <c r="N2107" s="41"/>
      <c r="O2107" s="41"/>
    </row>
    <row r="2108" spans="1:15" s="7" customFormat="1" ht="18.75">
      <c r="A2108" s="56"/>
      <c r="B2108" s="57"/>
      <c r="C2108" s="41" t="s">
        <v>1624</v>
      </c>
      <c r="D2108" s="32" t="s">
        <v>388</v>
      </c>
      <c r="E2108" s="44"/>
      <c r="F2108" s="86">
        <v>77809336.290000007</v>
      </c>
      <c r="G2108" s="76" t="s">
        <v>1625</v>
      </c>
      <c r="H2108" s="302"/>
      <c r="I2108" s="58"/>
      <c r="J2108" s="110">
        <f t="shared" si="126"/>
        <v>77809336.290000007</v>
      </c>
      <c r="K2108" s="110">
        <f t="shared" si="127"/>
        <v>168449998.44256002</v>
      </c>
      <c r="L2108" s="60"/>
      <c r="M2108" s="41"/>
      <c r="N2108" s="41"/>
      <c r="O2108" s="41"/>
    </row>
    <row r="2109" spans="1:15" s="7" customFormat="1" ht="18.75">
      <c r="A2109" s="56"/>
      <c r="B2109" s="57"/>
      <c r="C2109" s="29" t="s">
        <v>618</v>
      </c>
      <c r="D2109" s="32" t="s">
        <v>390</v>
      </c>
      <c r="E2109" s="44"/>
      <c r="F2109" s="86">
        <v>87072307.530000001</v>
      </c>
      <c r="G2109" s="76" t="s">
        <v>1038</v>
      </c>
      <c r="H2109" s="302">
        <f>32311552.64+50000000</f>
        <v>82311552.640000001</v>
      </c>
      <c r="I2109" s="58" t="s">
        <v>1626</v>
      </c>
      <c r="J2109" s="110">
        <f t="shared" si="126"/>
        <v>4760754.8900000006</v>
      </c>
      <c r="K2109" s="110">
        <f t="shared" si="127"/>
        <v>246259334.73256004</v>
      </c>
      <c r="L2109" s="60"/>
      <c r="M2109" s="41"/>
      <c r="N2109" s="41"/>
      <c r="O2109" s="41"/>
    </row>
    <row r="2110" spans="1:15" s="7" customFormat="1" ht="18.75">
      <c r="A2110" s="56"/>
      <c r="B2110" s="57"/>
      <c r="C2110" s="29" t="s">
        <v>498</v>
      </c>
      <c r="D2110" s="32" t="s">
        <v>1585</v>
      </c>
      <c r="E2110" s="44"/>
      <c r="F2110" s="86">
        <v>77182439.049999997</v>
      </c>
      <c r="G2110" s="76" t="s">
        <v>493</v>
      </c>
      <c r="H2110" s="302"/>
      <c r="I2110" s="58"/>
      <c r="J2110" s="110">
        <f t="shared" si="126"/>
        <v>77182439.049999997</v>
      </c>
      <c r="K2110" s="110">
        <f t="shared" si="127"/>
        <v>251020089.62256002</v>
      </c>
      <c r="L2110" s="60"/>
      <c r="M2110" s="41"/>
      <c r="N2110" s="41"/>
      <c r="O2110" s="41"/>
    </row>
    <row r="2111" spans="1:15" s="7" customFormat="1" ht="18.75">
      <c r="A2111" s="56"/>
      <c r="B2111" s="57"/>
      <c r="C2111" s="29" t="s">
        <v>564</v>
      </c>
      <c r="D2111" s="32" t="s">
        <v>1586</v>
      </c>
      <c r="E2111" s="44"/>
      <c r="F2111" s="303">
        <v>71017969.689999998</v>
      </c>
      <c r="G2111" s="98">
        <v>43038</v>
      </c>
      <c r="H2111" s="302"/>
      <c r="I2111" s="58"/>
      <c r="J2111" s="110">
        <f t="shared" si="126"/>
        <v>71017969.689999998</v>
      </c>
      <c r="K2111" s="110">
        <f t="shared" si="127"/>
        <v>328202528.67256004</v>
      </c>
      <c r="L2111" s="60"/>
      <c r="M2111" s="41"/>
      <c r="N2111" s="41"/>
      <c r="O2111" s="41"/>
    </row>
    <row r="2112" spans="1:15" s="7" customFormat="1" ht="18.75">
      <c r="A2112" s="56"/>
      <c r="B2112" s="57"/>
      <c r="C2112" s="29" t="s">
        <v>500</v>
      </c>
      <c r="D2112" s="32" t="s">
        <v>1587</v>
      </c>
      <c r="E2112" s="44"/>
      <c r="F2112" s="303">
        <v>43037636.479999997</v>
      </c>
      <c r="G2112" s="98">
        <v>42837</v>
      </c>
      <c r="H2112" s="302">
        <v>43037636.479999997</v>
      </c>
      <c r="I2112" s="58" t="s">
        <v>1627</v>
      </c>
      <c r="J2112" s="110">
        <f t="shared" si="126"/>
        <v>0</v>
      </c>
      <c r="K2112" s="110">
        <f t="shared" si="127"/>
        <v>399220498.36256003</v>
      </c>
      <c r="L2112" s="60"/>
      <c r="M2112" s="41"/>
      <c r="N2112" s="41"/>
      <c r="O2112" s="41"/>
    </row>
    <row r="2113" spans="1:15" s="7" customFormat="1" ht="18.75">
      <c r="A2113" s="56"/>
      <c r="B2113" s="57"/>
      <c r="C2113" s="29" t="s">
        <v>501</v>
      </c>
      <c r="D2113" s="32" t="s">
        <v>1628</v>
      </c>
      <c r="E2113" s="44"/>
      <c r="F2113" s="303">
        <v>56709512.380000003</v>
      </c>
      <c r="G2113" s="98" t="s">
        <v>1383</v>
      </c>
      <c r="H2113" s="302"/>
      <c r="I2113" s="58"/>
      <c r="J2113" s="110">
        <f t="shared" si="126"/>
        <v>56709512.380000003</v>
      </c>
      <c r="K2113" s="110">
        <f t="shared" si="127"/>
        <v>399220498.36256003</v>
      </c>
      <c r="L2113" s="60"/>
      <c r="M2113" s="41"/>
      <c r="N2113" s="41"/>
      <c r="O2113" s="41"/>
    </row>
    <row r="2114" spans="1:15" s="7" customFormat="1" ht="18.75">
      <c r="A2114" s="56"/>
      <c r="B2114" s="57"/>
      <c r="C2114" s="29" t="s">
        <v>504</v>
      </c>
      <c r="D2114" s="32" t="s">
        <v>1629</v>
      </c>
      <c r="E2114" s="44"/>
      <c r="F2114" s="303">
        <v>53580780.939999998</v>
      </c>
      <c r="G2114" s="98">
        <v>43375</v>
      </c>
      <c r="H2114" s="302">
        <f>50000000+3580783.94</f>
        <v>53580783.939999998</v>
      </c>
      <c r="I2114" s="58" t="s">
        <v>1630</v>
      </c>
      <c r="J2114" s="110">
        <f t="shared" si="126"/>
        <v>-3</v>
      </c>
      <c r="K2114" s="110">
        <f t="shared" si="127"/>
        <v>455930010.74256003</v>
      </c>
      <c r="L2114" s="60"/>
      <c r="M2114" s="41"/>
      <c r="N2114" s="41"/>
      <c r="O2114" s="41"/>
    </row>
    <row r="2115" spans="1:15" s="7" customFormat="1" ht="18.75">
      <c r="A2115" s="56"/>
      <c r="B2115" s="57"/>
      <c r="C2115" s="29" t="s">
        <v>506</v>
      </c>
      <c r="D2115" s="32" t="s">
        <v>1631</v>
      </c>
      <c r="E2115" s="44"/>
      <c r="F2115" s="303">
        <v>63293962.170000002</v>
      </c>
      <c r="G2115" s="98">
        <v>43376</v>
      </c>
      <c r="H2115" s="302"/>
      <c r="I2115" s="58"/>
      <c r="J2115" s="110">
        <f t="shared" si="126"/>
        <v>63293962.170000002</v>
      </c>
      <c r="K2115" s="110">
        <f t="shared" si="127"/>
        <v>455930007.74256003</v>
      </c>
      <c r="L2115" s="60"/>
      <c r="M2115" s="41"/>
      <c r="N2115" s="41"/>
      <c r="O2115" s="41"/>
    </row>
    <row r="2116" spans="1:15" s="7" customFormat="1" ht="18.75">
      <c r="A2116" s="56"/>
      <c r="B2116" s="57"/>
      <c r="C2116" s="29" t="s">
        <v>508</v>
      </c>
      <c r="D2116" s="32" t="s">
        <v>1632</v>
      </c>
      <c r="E2116" s="44"/>
      <c r="F2116" s="303">
        <v>60216634.020000003</v>
      </c>
      <c r="G2116" s="75" t="s">
        <v>509</v>
      </c>
      <c r="H2116" s="302"/>
      <c r="I2116" s="58"/>
      <c r="J2116" s="110">
        <f t="shared" si="126"/>
        <v>60216634.020000003</v>
      </c>
      <c r="K2116" s="110">
        <f t="shared" si="127"/>
        <v>519223969.91256005</v>
      </c>
      <c r="L2116" s="60"/>
      <c r="M2116" s="41"/>
      <c r="N2116" s="41"/>
      <c r="O2116" s="41"/>
    </row>
    <row r="2117" spans="1:15" s="7" customFormat="1" ht="18.75">
      <c r="A2117" s="56"/>
      <c r="B2117" s="57"/>
      <c r="C2117" s="29" t="s">
        <v>355</v>
      </c>
      <c r="D2117" s="32" t="s">
        <v>1633</v>
      </c>
      <c r="E2117" s="44"/>
      <c r="F2117" s="303">
        <v>72079795.769856006</v>
      </c>
      <c r="G2117" s="75" t="s">
        <v>1523</v>
      </c>
      <c r="H2117" s="302"/>
      <c r="I2117" s="58"/>
      <c r="J2117" s="110">
        <f t="shared" si="126"/>
        <v>72079795.769856006</v>
      </c>
      <c r="K2117" s="110">
        <f t="shared" si="127"/>
        <v>579440603.93256009</v>
      </c>
      <c r="L2117" s="60"/>
      <c r="M2117" s="41"/>
      <c r="N2117" s="41"/>
      <c r="O2117" s="41"/>
    </row>
    <row r="2118" spans="1:15" s="7" customFormat="1" ht="18.75">
      <c r="A2118" s="56"/>
      <c r="B2118" s="57"/>
      <c r="C2118" s="31" t="s">
        <v>234</v>
      </c>
      <c r="D2118" s="32" t="s">
        <v>1366</v>
      </c>
      <c r="E2118" s="44"/>
      <c r="F2118" s="303">
        <v>46350332.303803504</v>
      </c>
      <c r="G2118" s="75" t="s">
        <v>1581</v>
      </c>
      <c r="H2118" s="302">
        <v>46350332.299999997</v>
      </c>
      <c r="I2118" s="58" t="s">
        <v>1513</v>
      </c>
      <c r="J2118" s="110">
        <f t="shared" si="126"/>
        <v>3.8035064935684204E-3</v>
      </c>
      <c r="K2118" s="110">
        <f t="shared" si="127"/>
        <v>651520399.70241606</v>
      </c>
      <c r="L2118" s="60"/>
      <c r="M2118" s="41"/>
      <c r="N2118" s="41"/>
      <c r="O2118" s="41"/>
    </row>
    <row r="2119" spans="1:15" s="7" customFormat="1" ht="18.75">
      <c r="A2119" s="56"/>
      <c r="B2119" s="57"/>
      <c r="C2119" s="31" t="s">
        <v>514</v>
      </c>
      <c r="D2119" s="32" t="s">
        <v>1369</v>
      </c>
      <c r="E2119" s="44"/>
      <c r="F2119" s="303">
        <v>32017859.972279996</v>
      </c>
      <c r="G2119" s="75" t="s">
        <v>571</v>
      </c>
      <c r="H2119" s="302"/>
      <c r="I2119" s="58"/>
      <c r="J2119" s="110">
        <f t="shared" si="126"/>
        <v>32017859.972279996</v>
      </c>
      <c r="K2119" s="110">
        <f t="shared" si="127"/>
        <v>651520399.70621955</v>
      </c>
      <c r="L2119" s="60"/>
      <c r="M2119" s="41"/>
      <c r="N2119" s="41"/>
      <c r="O2119" s="41"/>
    </row>
    <row r="2120" spans="1:15" s="7" customFormat="1" ht="18.75">
      <c r="A2120" s="56"/>
      <c r="B2120" s="57"/>
      <c r="C2120" s="102" t="s">
        <v>238</v>
      </c>
      <c r="D2120" s="32" t="s">
        <v>1246</v>
      </c>
      <c r="E2120" s="44"/>
      <c r="F2120" s="303">
        <v>34983110.826278999</v>
      </c>
      <c r="G2120" s="75" t="s">
        <v>572</v>
      </c>
      <c r="H2120" s="302">
        <f>10000000+10000000+10000000+4983268.33</f>
        <v>34983268.329999998</v>
      </c>
      <c r="I2120" s="58" t="s">
        <v>1634</v>
      </c>
      <c r="J2120" s="110">
        <f t="shared" si="126"/>
        <v>-157.50372099876404</v>
      </c>
      <c r="K2120" s="110">
        <f t="shared" si="127"/>
        <v>683538259.67849958</v>
      </c>
      <c r="L2120" s="60"/>
      <c r="M2120" s="41"/>
      <c r="N2120" s="41"/>
      <c r="O2120" s="41"/>
    </row>
    <row r="2121" spans="1:15" s="7" customFormat="1" ht="18.75">
      <c r="A2121" s="56"/>
      <c r="B2121" s="304"/>
      <c r="C2121" s="111" t="s">
        <v>240</v>
      </c>
      <c r="D2121" s="32" t="s">
        <v>1247</v>
      </c>
      <c r="E2121" s="44"/>
      <c r="F2121" s="303">
        <v>73691689.72592698</v>
      </c>
      <c r="G2121" s="75" t="s">
        <v>956</v>
      </c>
      <c r="H2121" s="115">
        <v>0</v>
      </c>
      <c r="I2121" s="58"/>
      <c r="J2121" s="110">
        <f t="shared" si="126"/>
        <v>73691689.72592698</v>
      </c>
      <c r="K2121" s="110">
        <f t="shared" si="127"/>
        <v>683538102.17477858</v>
      </c>
      <c r="L2121" s="60"/>
      <c r="M2121" s="41"/>
      <c r="N2121" s="41"/>
      <c r="O2121" s="41"/>
    </row>
    <row r="2122" spans="1:15" s="7" customFormat="1" ht="18.75">
      <c r="A2122" s="56"/>
      <c r="B2122" s="57"/>
      <c r="C2122" s="102" t="s">
        <v>243</v>
      </c>
      <c r="D2122" s="32" t="s">
        <v>1248</v>
      </c>
      <c r="E2122" s="44"/>
      <c r="F2122" s="303">
        <v>58569954.693893999</v>
      </c>
      <c r="G2122" s="75" t="s">
        <v>518</v>
      </c>
      <c r="H2122" s="115">
        <v>0</v>
      </c>
      <c r="I2122" s="58"/>
      <c r="J2122" s="110">
        <f t="shared" si="126"/>
        <v>58569954.693893999</v>
      </c>
      <c r="K2122" s="110">
        <f t="shared" si="127"/>
        <v>757229791.90070558</v>
      </c>
      <c r="L2122" s="60"/>
      <c r="M2122" s="41"/>
      <c r="N2122" s="41"/>
      <c r="O2122" s="41"/>
    </row>
    <row r="2123" spans="1:15" s="7" customFormat="1" ht="18.75">
      <c r="A2123" s="56"/>
      <c r="B2123" s="57"/>
      <c r="C2123" s="102" t="s">
        <v>246</v>
      </c>
      <c r="D2123" s="103" t="s">
        <v>1249</v>
      </c>
      <c r="E2123" s="44"/>
      <c r="F2123" s="305">
        <v>72010563.243444011</v>
      </c>
      <c r="G2123" s="105" t="s">
        <v>576</v>
      </c>
      <c r="H2123" s="115">
        <v>0</v>
      </c>
      <c r="I2123" s="58"/>
      <c r="J2123" s="110">
        <f t="shared" si="126"/>
        <v>72010563.243444011</v>
      </c>
      <c r="K2123" s="110">
        <f t="shared" si="127"/>
        <v>815799746.5945996</v>
      </c>
      <c r="L2123" s="60"/>
      <c r="M2123" s="41"/>
      <c r="N2123" s="41"/>
      <c r="O2123" s="41"/>
    </row>
    <row r="2124" spans="1:15" s="7" customFormat="1" ht="18.75">
      <c r="A2124" s="56"/>
      <c r="B2124" s="57"/>
      <c r="C2124" s="111" t="s">
        <v>248</v>
      </c>
      <c r="D2124" s="103" t="s">
        <v>1250</v>
      </c>
      <c r="E2124" s="44"/>
      <c r="F2124" s="305">
        <v>71151578.315559</v>
      </c>
      <c r="G2124" s="105" t="s">
        <v>577</v>
      </c>
      <c r="H2124" s="115">
        <v>0</v>
      </c>
      <c r="I2124" s="58"/>
      <c r="J2124" s="110">
        <f t="shared" si="126"/>
        <v>71151578.315559</v>
      </c>
      <c r="K2124" s="110">
        <f t="shared" si="127"/>
        <v>887810309.83804357</v>
      </c>
      <c r="L2124" s="60"/>
      <c r="M2124" s="41"/>
      <c r="N2124" s="41"/>
      <c r="O2124" s="41"/>
    </row>
    <row r="2125" spans="1:15" s="7" customFormat="1" ht="18.75">
      <c r="A2125" s="56"/>
      <c r="B2125" s="57"/>
      <c r="C2125" s="111" t="s">
        <v>250</v>
      </c>
      <c r="D2125" s="166" t="s">
        <v>229</v>
      </c>
      <c r="E2125" s="44"/>
      <c r="F2125" s="250">
        <v>65697936.009999998</v>
      </c>
      <c r="G2125" s="198" t="s">
        <v>578</v>
      </c>
      <c r="H2125" s="115">
        <v>0</v>
      </c>
      <c r="I2125" s="58"/>
      <c r="J2125" s="110">
        <f t="shared" si="126"/>
        <v>65697936.009999998</v>
      </c>
      <c r="K2125" s="110">
        <f t="shared" si="127"/>
        <v>958961888.1536026</v>
      </c>
      <c r="L2125" s="60"/>
      <c r="M2125" s="41"/>
      <c r="N2125" s="41"/>
      <c r="O2125" s="41"/>
    </row>
    <row r="2126" spans="1:15" s="7" customFormat="1" ht="18.75">
      <c r="A2126" s="56"/>
      <c r="B2126" s="57"/>
      <c r="C2126" s="111" t="s">
        <v>139</v>
      </c>
      <c r="D2126" s="166" t="s">
        <v>232</v>
      </c>
      <c r="E2126" s="44"/>
      <c r="F2126" s="250">
        <v>73251383.870000005</v>
      </c>
      <c r="G2126" s="198" t="s">
        <v>579</v>
      </c>
      <c r="H2126" s="302">
        <v>0</v>
      </c>
      <c r="I2126" s="58"/>
      <c r="J2126" s="110">
        <f t="shared" si="126"/>
        <v>73251383.870000005</v>
      </c>
      <c r="K2126" s="110">
        <f t="shared" si="127"/>
        <v>1024659824.1636026</v>
      </c>
      <c r="L2126" s="60"/>
      <c r="M2126" s="41"/>
      <c r="N2126" s="41"/>
      <c r="O2126" s="41"/>
    </row>
    <row r="2127" spans="1:15" s="7" customFormat="1" ht="18.75">
      <c r="A2127" s="56"/>
      <c r="B2127" s="57"/>
      <c r="C2127" s="62" t="s">
        <v>142</v>
      </c>
      <c r="D2127" s="166" t="s">
        <v>235</v>
      </c>
      <c r="E2127" s="44"/>
      <c r="F2127" s="250">
        <v>52858746.295992002</v>
      </c>
      <c r="G2127" s="198"/>
      <c r="H2127" s="302">
        <f>10000157.5+10000157.5+10000157.5+10000157.5+10000157.5+129779.08</f>
        <v>50130566.579999998</v>
      </c>
      <c r="I2127" s="76" t="s">
        <v>365</v>
      </c>
      <c r="J2127" s="110">
        <f t="shared" si="126"/>
        <v>2728179.7159920037</v>
      </c>
      <c r="K2127" s="110">
        <f t="shared" si="127"/>
        <v>1097911208.0336027</v>
      </c>
      <c r="L2127" s="60"/>
      <c r="M2127" s="41"/>
      <c r="N2127" s="41"/>
      <c r="O2127" s="41"/>
    </row>
    <row r="2128" spans="1:15" s="7" customFormat="1" ht="18.75">
      <c r="A2128" s="56"/>
      <c r="B2128" s="57"/>
      <c r="C2128" s="62" t="s">
        <v>145</v>
      </c>
      <c r="D2128" s="166" t="s">
        <v>237</v>
      </c>
      <c r="E2128" s="44"/>
      <c r="F2128" s="250">
        <v>45249046.190333992</v>
      </c>
      <c r="G2128" s="198"/>
      <c r="H2128" s="112"/>
      <c r="I2128" s="58"/>
      <c r="J2128" s="110">
        <f t="shared" si="126"/>
        <v>45249046.190333992</v>
      </c>
      <c r="K2128" s="110">
        <f t="shared" si="127"/>
        <v>1100639387.7495947</v>
      </c>
      <c r="L2128" s="60"/>
      <c r="M2128" s="41"/>
      <c r="N2128" s="41"/>
      <c r="O2128" s="41"/>
    </row>
    <row r="2129" spans="1:15" s="7" customFormat="1" ht="18.75">
      <c r="A2129" s="56"/>
      <c r="B2129" s="57"/>
      <c r="C2129" s="62" t="s">
        <v>148</v>
      </c>
      <c r="D2129" s="166" t="s">
        <v>33</v>
      </c>
      <c r="E2129" s="44"/>
      <c r="F2129" s="250">
        <v>65231323.460677505</v>
      </c>
      <c r="G2129" s="198" t="s">
        <v>433</v>
      </c>
      <c r="H2129" s="302"/>
      <c r="I2129" s="76"/>
      <c r="J2129" s="110">
        <f t="shared" si="126"/>
        <v>65231323.460677505</v>
      </c>
      <c r="K2129" s="110">
        <f t="shared" si="127"/>
        <v>1145888433.9399288</v>
      </c>
      <c r="L2129" s="60"/>
      <c r="M2129" s="41"/>
      <c r="N2129" s="41"/>
      <c r="O2129" s="41"/>
    </row>
    <row r="2130" spans="1:15" s="7" customFormat="1" ht="18.75">
      <c r="A2130" s="56"/>
      <c r="B2130" s="57"/>
      <c r="C2130" s="62" t="s">
        <v>151</v>
      </c>
      <c r="D2130" s="166" t="s">
        <v>241</v>
      </c>
      <c r="E2130" s="44"/>
      <c r="F2130" s="250">
        <v>42587211.966326997</v>
      </c>
      <c r="G2130" s="198" t="s">
        <v>152</v>
      </c>
      <c r="H2130" s="115"/>
      <c r="I2130" s="58"/>
      <c r="J2130" s="110">
        <f t="shared" si="126"/>
        <v>42587211.966326997</v>
      </c>
      <c r="K2130" s="110">
        <f t="shared" si="127"/>
        <v>1211119757.4006062</v>
      </c>
      <c r="L2130" s="60"/>
      <c r="M2130" s="41"/>
      <c r="N2130" s="41"/>
      <c r="O2130" s="41"/>
    </row>
    <row r="2131" spans="1:15" s="7" customFormat="1" ht="18.75">
      <c r="A2131" s="56"/>
      <c r="B2131" s="57"/>
      <c r="C2131" s="62" t="s">
        <v>154</v>
      </c>
      <c r="D2131" s="166" t="s">
        <v>244</v>
      </c>
      <c r="E2131" s="44"/>
      <c r="F2131" s="250">
        <v>56478900.462431997</v>
      </c>
      <c r="G2131" s="198" t="s">
        <v>156</v>
      </c>
      <c r="H2131" s="115"/>
      <c r="I2131" s="58"/>
      <c r="J2131" s="110">
        <f t="shared" si="126"/>
        <v>56478900.462431997</v>
      </c>
      <c r="K2131" s="110">
        <f t="shared" si="127"/>
        <v>1253706969.3669331</v>
      </c>
      <c r="L2131" s="60"/>
      <c r="M2131" s="41"/>
      <c r="N2131" s="41"/>
      <c r="O2131" s="41"/>
    </row>
    <row r="2132" spans="1:15" s="7" customFormat="1" ht="18.75">
      <c r="A2132" s="56"/>
      <c r="B2132" s="57"/>
      <c r="C2132" s="62" t="s">
        <v>158</v>
      </c>
      <c r="D2132" s="166" t="s">
        <v>57</v>
      </c>
      <c r="E2132" s="44"/>
      <c r="F2132" s="250">
        <v>54357249.927246004</v>
      </c>
      <c r="G2132" s="198" t="s">
        <v>160</v>
      </c>
      <c r="H2132" s="115"/>
      <c r="I2132" s="58"/>
      <c r="J2132" s="110">
        <f t="shared" si="126"/>
        <v>54357249.927246004</v>
      </c>
      <c r="K2132" s="110">
        <f t="shared" si="127"/>
        <v>1310185869.829365</v>
      </c>
      <c r="L2132" s="60"/>
      <c r="M2132" s="41"/>
      <c r="N2132" s="41"/>
      <c r="O2132" s="41"/>
    </row>
    <row r="2133" spans="1:15" s="7" customFormat="1" ht="18.75">
      <c r="A2133" s="56"/>
      <c r="B2133" s="57"/>
      <c r="C2133" s="62" t="s">
        <v>162</v>
      </c>
      <c r="D2133" s="166" t="s">
        <v>249</v>
      </c>
      <c r="E2133" s="44"/>
      <c r="F2133" s="250">
        <v>44949455.384148002</v>
      </c>
      <c r="G2133" s="198" t="s">
        <v>164</v>
      </c>
      <c r="H2133" s="115"/>
      <c r="I2133" s="58"/>
      <c r="J2133" s="110">
        <f t="shared" si="126"/>
        <v>44949455.384148002</v>
      </c>
      <c r="K2133" s="110">
        <f t="shared" si="127"/>
        <v>1364543119.7566111</v>
      </c>
      <c r="L2133" s="60"/>
      <c r="M2133" s="41"/>
      <c r="N2133" s="41"/>
      <c r="O2133" s="41"/>
    </row>
    <row r="2134" spans="1:15" s="7" customFormat="1" ht="18.75">
      <c r="A2134" s="56"/>
      <c r="B2134" s="57"/>
      <c r="C2134" s="62" t="s">
        <v>166</v>
      </c>
      <c r="D2134" s="166" t="s">
        <v>251</v>
      </c>
      <c r="E2134" s="44"/>
      <c r="F2134" s="250">
        <v>46828708.403715007</v>
      </c>
      <c r="G2134" s="198" t="s">
        <v>168</v>
      </c>
      <c r="H2134" s="115"/>
      <c r="I2134" s="58"/>
      <c r="J2134" s="110">
        <f t="shared" si="126"/>
        <v>46828708.403715007</v>
      </c>
      <c r="K2134" s="110">
        <f t="shared" si="127"/>
        <v>1409492575.140759</v>
      </c>
      <c r="L2134" s="60"/>
      <c r="M2134" s="41"/>
      <c r="N2134" s="41"/>
      <c r="O2134" s="41"/>
    </row>
    <row r="2135" spans="1:15" s="7" customFormat="1" ht="18.75">
      <c r="A2135" s="56"/>
      <c r="B2135" s="57"/>
      <c r="C2135" s="62" t="s">
        <v>170</v>
      </c>
      <c r="D2135" s="166" t="s">
        <v>253</v>
      </c>
      <c r="E2135" s="44"/>
      <c r="F2135" s="250">
        <v>66438457.1475555</v>
      </c>
      <c r="G2135" s="198" t="s">
        <v>172</v>
      </c>
      <c r="H2135" s="115"/>
      <c r="I2135" s="58"/>
      <c r="J2135" s="110">
        <f t="shared" si="126"/>
        <v>66438457.1475555</v>
      </c>
      <c r="K2135" s="110">
        <f t="shared" si="127"/>
        <v>1456321283.5444739</v>
      </c>
      <c r="L2135" s="60"/>
      <c r="M2135" s="41"/>
      <c r="N2135" s="41"/>
      <c r="O2135" s="41"/>
    </row>
    <row r="2136" spans="1:15" s="7" customFormat="1" ht="18.75">
      <c r="A2136" s="56"/>
      <c r="B2136" s="57"/>
      <c r="C2136" s="62" t="s">
        <v>174</v>
      </c>
      <c r="D2136" s="166" t="s">
        <v>255</v>
      </c>
      <c r="E2136" s="44"/>
      <c r="F2136" s="250">
        <v>12611551.990726499</v>
      </c>
      <c r="G2136" s="198" t="s">
        <v>176</v>
      </c>
      <c r="H2136" s="115"/>
      <c r="I2136" s="58"/>
      <c r="J2136" s="110">
        <f t="shared" si="126"/>
        <v>12611551.990726499</v>
      </c>
      <c r="K2136" s="110">
        <f t="shared" si="127"/>
        <v>1522759740.6920295</v>
      </c>
      <c r="L2136" s="60"/>
      <c r="M2136" s="41"/>
      <c r="N2136" s="41"/>
      <c r="O2136" s="41"/>
    </row>
    <row r="2137" spans="1:15" s="7" customFormat="1" ht="18.75">
      <c r="A2137" s="56"/>
      <c r="B2137" s="57"/>
      <c r="C2137" s="62"/>
      <c r="D2137" s="166"/>
      <c r="E2137" s="44"/>
      <c r="F2137" s="250"/>
      <c r="G2137" s="198"/>
      <c r="H2137" s="115"/>
      <c r="I2137" s="58"/>
      <c r="J2137" s="110"/>
      <c r="K2137" s="110"/>
      <c r="L2137" s="60"/>
      <c r="M2137" s="41"/>
      <c r="N2137" s="41"/>
      <c r="O2137" s="41"/>
    </row>
    <row r="2138" spans="1:15" s="7" customFormat="1" ht="18.75">
      <c r="A2138" s="81"/>
      <c r="B2138" s="57" t="s">
        <v>1635</v>
      </c>
      <c r="C2138" s="31"/>
      <c r="D2138" s="32"/>
      <c r="E2138" s="44"/>
      <c r="F2138" s="86"/>
      <c r="G2138" s="35"/>
      <c r="H2138" s="115"/>
      <c r="I2138" s="35"/>
      <c r="J2138" s="110"/>
      <c r="K2138" s="116">
        <f>K2136+J2136</f>
        <v>1535371292.6827559</v>
      </c>
      <c r="L2138" s="60"/>
      <c r="M2138" s="41"/>
      <c r="N2138" s="41"/>
      <c r="O2138" s="41"/>
    </row>
    <row r="2139" spans="1:15" s="7" customFormat="1" ht="18.75">
      <c r="A2139" s="81"/>
      <c r="B2139" s="57"/>
      <c r="C2139" s="31"/>
      <c r="D2139" s="32"/>
      <c r="E2139" s="44"/>
      <c r="F2139" s="86"/>
      <c r="G2139" s="35"/>
      <c r="H2139" s="115"/>
      <c r="I2139" s="35"/>
      <c r="J2139" s="110"/>
      <c r="K2139" s="116"/>
      <c r="L2139" s="60"/>
      <c r="M2139" s="41"/>
      <c r="N2139" s="41"/>
      <c r="O2139" s="41"/>
    </row>
    <row r="2140" spans="1:15" s="7" customFormat="1" ht="18.75">
      <c r="A2140" s="81"/>
      <c r="B2140" s="57"/>
      <c r="C2140" s="31"/>
      <c r="D2140" s="32"/>
      <c r="E2140" s="44"/>
      <c r="F2140" s="86"/>
      <c r="G2140" s="35"/>
      <c r="H2140" s="115"/>
      <c r="I2140" s="35"/>
      <c r="J2140" s="110"/>
      <c r="K2140" s="116"/>
      <c r="L2140" s="60"/>
      <c r="M2140" s="41"/>
      <c r="N2140" s="41"/>
      <c r="O2140" s="41"/>
    </row>
    <row r="2141" spans="1:15" s="7" customFormat="1" ht="18.75">
      <c r="A2141" s="81"/>
      <c r="B2141" s="57" t="s">
        <v>115</v>
      </c>
      <c r="C2141" s="31" t="s">
        <v>174</v>
      </c>
      <c r="D2141" s="32" t="s">
        <v>140</v>
      </c>
      <c r="E2141" s="44"/>
      <c r="F2141" s="86">
        <v>35377641.060000002</v>
      </c>
      <c r="G2141" s="35"/>
      <c r="H2141" s="115">
        <v>35742465.329999998</v>
      </c>
      <c r="I2141" s="306" t="s">
        <v>188</v>
      </c>
      <c r="J2141" s="110">
        <f>F2141-H2141</f>
        <v>-364824.26999999583</v>
      </c>
      <c r="K2141" s="116"/>
      <c r="L2141" s="60"/>
      <c r="M2141" s="41"/>
      <c r="N2141" s="41"/>
      <c r="O2141" s="41"/>
    </row>
    <row r="2142" spans="1:15" s="7" customFormat="1" ht="18.75">
      <c r="A2142" s="81"/>
      <c r="B2142" s="57"/>
      <c r="C2142" s="31" t="s">
        <v>178</v>
      </c>
      <c r="D2142" s="32" t="s">
        <v>120</v>
      </c>
      <c r="E2142" s="44"/>
      <c r="F2142" s="86">
        <v>45118898.240000002</v>
      </c>
      <c r="G2142" s="35"/>
      <c r="H2142" s="115">
        <v>45088950.390000001</v>
      </c>
      <c r="I2142" s="306" t="s">
        <v>188</v>
      </c>
      <c r="J2142" s="110">
        <f t="shared" ref="J2142:J2159" si="128">F2142-H2142</f>
        <v>29947.85000000149</v>
      </c>
      <c r="K2142" s="110">
        <f>J2141+K2141</f>
        <v>-364824.26999999583</v>
      </c>
      <c r="L2142" s="60">
        <v>94167848.769999996</v>
      </c>
      <c r="M2142" s="41"/>
      <c r="N2142" s="41"/>
      <c r="O2142" s="41"/>
    </row>
    <row r="2143" spans="1:15" s="7" customFormat="1" ht="18.75">
      <c r="A2143" s="81"/>
      <c r="B2143" s="57"/>
      <c r="C2143" s="31" t="s">
        <v>181</v>
      </c>
      <c r="D2143" s="32" t="s">
        <v>146</v>
      </c>
      <c r="E2143" s="44"/>
      <c r="F2143" s="86">
        <v>46924348.82</v>
      </c>
      <c r="G2143" s="35"/>
      <c r="H2143" s="115">
        <v>46892720.729999997</v>
      </c>
      <c r="I2143" s="306" t="s">
        <v>188</v>
      </c>
      <c r="J2143" s="110">
        <f t="shared" si="128"/>
        <v>31628.090000003576</v>
      </c>
      <c r="K2143" s="110">
        <f t="shared" ref="K2143:K2160" si="129">J2142+K2142</f>
        <v>-334876.41999999434</v>
      </c>
      <c r="L2143" s="60">
        <v>64844092.579999998</v>
      </c>
      <c r="M2143" s="41"/>
      <c r="N2143" s="41"/>
      <c r="O2143" s="41"/>
    </row>
    <row r="2144" spans="1:15" s="7" customFormat="1" ht="18.75">
      <c r="A2144" s="81"/>
      <c r="B2144" s="57"/>
      <c r="C2144" s="31" t="s">
        <v>185</v>
      </c>
      <c r="D2144" s="32" t="s">
        <v>80</v>
      </c>
      <c r="E2144" s="44"/>
      <c r="F2144" s="86">
        <v>52799132.539999999</v>
      </c>
      <c r="G2144" s="35"/>
      <c r="H2144" s="115">
        <v>53019009.219999999</v>
      </c>
      <c r="I2144" s="306" t="s">
        <v>188</v>
      </c>
      <c r="J2144" s="110">
        <f t="shared" si="128"/>
        <v>-219876.6799999997</v>
      </c>
      <c r="K2144" s="110">
        <f t="shared" si="129"/>
        <v>-303248.32999999076</v>
      </c>
      <c r="L2144" s="60">
        <v>55316098.969999999</v>
      </c>
      <c r="M2144" s="41"/>
      <c r="N2144" s="41"/>
      <c r="O2144" s="41"/>
    </row>
    <row r="2145" spans="1:15" s="7" customFormat="1" ht="18.75">
      <c r="A2145" s="81"/>
      <c r="B2145" s="57"/>
      <c r="C2145" s="31" t="s">
        <v>189</v>
      </c>
      <c r="D2145" s="32" t="s">
        <v>595</v>
      </c>
      <c r="E2145" s="44"/>
      <c r="F2145" s="86">
        <v>80088467.760000005</v>
      </c>
      <c r="G2145" s="35"/>
      <c r="H2145" s="115">
        <v>80376063.260000005</v>
      </c>
      <c r="I2145" s="306" t="s">
        <v>188</v>
      </c>
      <c r="J2145" s="110">
        <f t="shared" si="128"/>
        <v>-287595.5</v>
      </c>
      <c r="K2145" s="110">
        <f t="shared" si="129"/>
        <v>-523125.00999999046</v>
      </c>
      <c r="L2145" s="60"/>
      <c r="M2145" s="41"/>
      <c r="N2145" s="41"/>
      <c r="O2145" s="41"/>
    </row>
    <row r="2146" spans="1:15" s="7" customFormat="1" ht="18.75">
      <c r="A2146" s="81"/>
      <c r="B2146" s="57"/>
      <c r="C2146" s="31" t="s">
        <v>191</v>
      </c>
      <c r="D2146" s="32" t="s">
        <v>1561</v>
      </c>
      <c r="E2146" s="44"/>
      <c r="F2146" s="86">
        <v>96111492.349999994</v>
      </c>
      <c r="G2146" s="35"/>
      <c r="H2146" s="115">
        <v>96448852.769999996</v>
      </c>
      <c r="I2146" s="306" t="s">
        <v>188</v>
      </c>
      <c r="J2146" s="110">
        <f t="shared" si="128"/>
        <v>-337360.42000000179</v>
      </c>
      <c r="K2146" s="110">
        <f t="shared" si="129"/>
        <v>-810720.50999999046</v>
      </c>
      <c r="L2146" s="60"/>
      <c r="M2146" s="41"/>
      <c r="N2146" s="41"/>
      <c r="O2146" s="41"/>
    </row>
    <row r="2147" spans="1:15" s="7" customFormat="1" ht="18.75">
      <c r="A2147" s="81"/>
      <c r="B2147" s="57"/>
      <c r="C2147" s="42" t="s">
        <v>195</v>
      </c>
      <c r="D2147" s="32" t="s">
        <v>1636</v>
      </c>
      <c r="E2147" s="44">
        <v>43987</v>
      </c>
      <c r="F2147" s="86">
        <v>55116186.920000002</v>
      </c>
      <c r="G2147" s="35" t="s">
        <v>599</v>
      </c>
      <c r="H2147" s="115">
        <v>55316098.969999999</v>
      </c>
      <c r="I2147" s="44">
        <v>44173</v>
      </c>
      <c r="J2147" s="110">
        <f t="shared" si="128"/>
        <v>-199912.04999999702</v>
      </c>
      <c r="K2147" s="110">
        <f t="shared" si="129"/>
        <v>-1148080.9299999923</v>
      </c>
      <c r="L2147" s="60">
        <v>1440084501.2623527</v>
      </c>
      <c r="M2147" s="41"/>
      <c r="N2147" s="41"/>
      <c r="O2147" s="41"/>
    </row>
    <row r="2148" spans="1:15" s="7" customFormat="1" ht="18.75">
      <c r="A2148" s="81"/>
      <c r="B2148" s="57"/>
      <c r="C2148" s="42" t="s">
        <v>199</v>
      </c>
      <c r="D2148" s="32" t="s">
        <v>1637</v>
      </c>
      <c r="E2148" s="44">
        <v>44049</v>
      </c>
      <c r="F2148" s="86">
        <v>59705657.079999998</v>
      </c>
      <c r="G2148" s="44">
        <v>43897</v>
      </c>
      <c r="H2148" s="55">
        <v>64844092.579999998</v>
      </c>
      <c r="I2148" s="44">
        <v>44173</v>
      </c>
      <c r="J2148" s="110">
        <f t="shared" si="128"/>
        <v>-5138435.5</v>
      </c>
      <c r="K2148" s="110">
        <f t="shared" si="129"/>
        <v>-1347992.9799999893</v>
      </c>
      <c r="L2148" s="60">
        <v>1479610297.22</v>
      </c>
      <c r="M2148" s="41"/>
      <c r="N2148" s="41"/>
      <c r="O2148" s="41"/>
    </row>
    <row r="2149" spans="1:15" s="7" customFormat="1" ht="18.75">
      <c r="A2149" s="81"/>
      <c r="B2149" s="57"/>
      <c r="C2149" s="42" t="s">
        <v>201</v>
      </c>
      <c r="D2149" s="32" t="s">
        <v>167</v>
      </c>
      <c r="E2149" s="44">
        <v>44081</v>
      </c>
      <c r="F2149" s="86">
        <v>79371180.781243995</v>
      </c>
      <c r="G2149" s="44">
        <v>44020</v>
      </c>
      <c r="H2149" s="55">
        <v>94167848.769999996</v>
      </c>
      <c r="I2149" s="44">
        <v>44173</v>
      </c>
      <c r="J2149" s="110">
        <f t="shared" si="128"/>
        <v>-14796667.988756001</v>
      </c>
      <c r="K2149" s="110">
        <f t="shared" si="129"/>
        <v>-6486428.4799999893</v>
      </c>
      <c r="L2149" s="60">
        <f>L2147-L2148</f>
        <v>-39525795.957647324</v>
      </c>
      <c r="M2149" s="41"/>
      <c r="N2149" s="41"/>
      <c r="O2149" s="41"/>
    </row>
    <row r="2150" spans="1:15" s="7" customFormat="1" ht="18.75">
      <c r="A2150" s="81"/>
      <c r="B2150" s="57"/>
      <c r="C2150" s="42" t="s">
        <v>203</v>
      </c>
      <c r="D2150" s="32" t="s">
        <v>124</v>
      </c>
      <c r="E2150" s="44">
        <v>43990</v>
      </c>
      <c r="F2150" s="86">
        <v>91558475.686068609</v>
      </c>
      <c r="G2150" s="44" t="s">
        <v>450</v>
      </c>
      <c r="H2150" s="55">
        <v>88438741.730000004</v>
      </c>
      <c r="I2150" s="44" t="s">
        <v>1638</v>
      </c>
      <c r="J2150" s="110">
        <f t="shared" si="128"/>
        <v>3119733.9560686052</v>
      </c>
      <c r="K2150" s="110">
        <f t="shared" si="129"/>
        <v>-21283096.46875599</v>
      </c>
      <c r="L2150" s="60"/>
      <c r="M2150" s="41"/>
      <c r="N2150" s="41"/>
      <c r="O2150" s="41"/>
    </row>
    <row r="2151" spans="1:15" s="7" customFormat="1" ht="18.75">
      <c r="A2151" s="81"/>
      <c r="B2151" s="57"/>
      <c r="C2151" s="42" t="s">
        <v>207</v>
      </c>
      <c r="D2151" s="32" t="s">
        <v>175</v>
      </c>
      <c r="E2151" s="44" t="s">
        <v>209</v>
      </c>
      <c r="F2151" s="86">
        <v>95109399.780290008</v>
      </c>
      <c r="G2151" s="44" t="s">
        <v>210</v>
      </c>
      <c r="H2151" s="55">
        <v>98604737.680000007</v>
      </c>
      <c r="I2151" s="44" t="s">
        <v>287</v>
      </c>
      <c r="J2151" s="110">
        <f t="shared" si="128"/>
        <v>-3495337.8997099996</v>
      </c>
      <c r="K2151" s="110">
        <f t="shared" si="129"/>
        <v>-18163362.512687385</v>
      </c>
      <c r="L2151" s="60"/>
      <c r="M2151" s="41"/>
      <c r="N2151" s="41"/>
      <c r="O2151" s="41"/>
    </row>
    <row r="2152" spans="1:15" s="7" customFormat="1" ht="18.75">
      <c r="A2152" s="81"/>
      <c r="B2152" s="57"/>
      <c r="C2152" s="42" t="s">
        <v>212</v>
      </c>
      <c r="D2152" s="32" t="s">
        <v>111</v>
      </c>
      <c r="E2152" s="44">
        <v>44084</v>
      </c>
      <c r="F2152" s="86">
        <v>94713703.06175001</v>
      </c>
      <c r="G2152" s="44" t="s">
        <v>213</v>
      </c>
      <c r="H2152" s="55">
        <v>14670957.76</v>
      </c>
      <c r="I2152" s="44">
        <v>43871</v>
      </c>
      <c r="J2152" s="110">
        <f t="shared" si="128"/>
        <v>80042745.301750004</v>
      </c>
      <c r="K2152" s="110">
        <f t="shared" si="129"/>
        <v>-21658700.412397385</v>
      </c>
      <c r="L2152" s="60">
        <v>13863331.210000001</v>
      </c>
      <c r="M2152" s="41"/>
      <c r="N2152" s="41"/>
      <c r="O2152" s="41"/>
    </row>
    <row r="2153" spans="1:15" s="7" customFormat="1" ht="18.75">
      <c r="A2153" s="81"/>
      <c r="B2153" s="57"/>
      <c r="C2153" s="42" t="s">
        <v>214</v>
      </c>
      <c r="D2153" s="32" t="s">
        <v>182</v>
      </c>
      <c r="E2153" s="44">
        <v>0</v>
      </c>
      <c r="F2153" s="86">
        <v>72214810.643000007</v>
      </c>
      <c r="G2153" s="44" t="s">
        <v>216</v>
      </c>
      <c r="H2153" s="55">
        <v>91128688.900000006</v>
      </c>
      <c r="I2153" s="44">
        <v>44176</v>
      </c>
      <c r="J2153" s="110">
        <f t="shared" si="128"/>
        <v>-18913878.256999999</v>
      </c>
      <c r="K2153" s="110">
        <f t="shared" si="129"/>
        <v>58384044.88935262</v>
      </c>
      <c r="L2153" s="60">
        <v>6834490.4199999999</v>
      </c>
      <c r="M2153" s="41"/>
      <c r="N2153" s="41"/>
      <c r="O2153" s="41"/>
    </row>
    <row r="2154" spans="1:15" s="7" customFormat="1" ht="18.75">
      <c r="A2154" s="81"/>
      <c r="B2154" s="57"/>
      <c r="C2154" s="42" t="s">
        <v>218</v>
      </c>
      <c r="D2154" s="32" t="s">
        <v>186</v>
      </c>
      <c r="E2154" s="44">
        <v>44024</v>
      </c>
      <c r="F2154" s="86">
        <v>97146519.952749997</v>
      </c>
      <c r="G2154" s="44">
        <v>44531</v>
      </c>
      <c r="H2154" s="55">
        <v>60000000</v>
      </c>
      <c r="I2154" s="44" t="s">
        <v>1022</v>
      </c>
      <c r="J2154" s="110">
        <f t="shared" si="128"/>
        <v>37146519.952749997</v>
      </c>
      <c r="K2154" s="110">
        <f t="shared" si="129"/>
        <v>39470166.63235262</v>
      </c>
      <c r="L2154" s="60">
        <v>98033569.670000002</v>
      </c>
      <c r="M2154" s="41"/>
      <c r="N2154" s="41"/>
      <c r="O2154" s="41"/>
    </row>
    <row r="2155" spans="1:15" s="7" customFormat="1" ht="18.75">
      <c r="A2155" s="81"/>
      <c r="B2155" s="57"/>
      <c r="C2155" s="42" t="s">
        <v>219</v>
      </c>
      <c r="D2155" s="32" t="s">
        <v>192</v>
      </c>
      <c r="E2155" s="44">
        <v>44531</v>
      </c>
      <c r="F2155" s="86">
        <v>82741340.760999992</v>
      </c>
      <c r="G2155" s="44" t="s">
        <v>295</v>
      </c>
      <c r="H2155" s="55">
        <f>13863331.21+6834490.42+98033569.67</f>
        <v>118731391.30000001</v>
      </c>
      <c r="I2155" s="44" t="s">
        <v>604</v>
      </c>
      <c r="J2155" s="110">
        <f t="shared" si="128"/>
        <v>-35990050.539000019</v>
      </c>
      <c r="K2155" s="110">
        <f t="shared" si="129"/>
        <v>76616686.585102618</v>
      </c>
      <c r="L2155" s="60"/>
      <c r="M2155" s="41"/>
      <c r="N2155" s="41"/>
      <c r="O2155" s="41"/>
    </row>
    <row r="2156" spans="1:15" s="7" customFormat="1" ht="18.75">
      <c r="A2156" s="81"/>
      <c r="B2156" s="57"/>
      <c r="C2156" s="42" t="s">
        <v>221</v>
      </c>
      <c r="D2156" s="32" t="s">
        <v>196</v>
      </c>
      <c r="E2156" s="44" t="s">
        <v>47</v>
      </c>
      <c r="F2156" s="86">
        <v>92827813.533749998</v>
      </c>
      <c r="G2156" s="44" t="s">
        <v>1442</v>
      </c>
      <c r="H2156" s="55">
        <f>74354661.06+86751353.01</f>
        <v>161106014.06999999</v>
      </c>
      <c r="I2156" s="44" t="s">
        <v>391</v>
      </c>
      <c r="J2156" s="110">
        <f t="shared" si="128"/>
        <v>-68278200.536249995</v>
      </c>
      <c r="K2156" s="110">
        <f t="shared" si="129"/>
        <v>40626636.046102598</v>
      </c>
      <c r="L2156" s="60"/>
      <c r="M2156" s="41"/>
      <c r="N2156" s="41"/>
      <c r="O2156" s="41"/>
    </row>
    <row r="2157" spans="1:15" s="7" customFormat="1" ht="18.75">
      <c r="A2157" s="81"/>
      <c r="B2157" s="57"/>
      <c r="C2157" s="42" t="s">
        <v>222</v>
      </c>
      <c r="D2157" s="32" t="s">
        <v>41</v>
      </c>
      <c r="E2157" s="44">
        <v>44472</v>
      </c>
      <c r="F2157" s="86">
        <v>91417475.012999997</v>
      </c>
      <c r="G2157" s="44" t="s">
        <v>391</v>
      </c>
      <c r="H2157" s="55">
        <f>91344393.39+5576599.58+6506351.48</f>
        <v>103427344.45</v>
      </c>
      <c r="I2157" s="44" t="s">
        <v>1168</v>
      </c>
      <c r="J2157" s="110">
        <f t="shared" si="128"/>
        <v>-12009869.437000006</v>
      </c>
      <c r="K2157" s="110">
        <f t="shared" si="129"/>
        <v>-27651564.490147397</v>
      </c>
      <c r="L2157" s="60">
        <v>1308007364.1600001</v>
      </c>
      <c r="M2157" s="41"/>
      <c r="N2157" s="41"/>
      <c r="O2157" s="41"/>
    </row>
    <row r="2158" spans="1:15" s="7" customFormat="1" ht="18.75">
      <c r="A2158" s="81"/>
      <c r="B2158" s="57"/>
      <c r="C2158" s="42" t="s">
        <v>349</v>
      </c>
      <c r="D2158" s="32" t="s">
        <v>359</v>
      </c>
      <c r="E2158" s="44">
        <v>44534</v>
      </c>
      <c r="F2158" s="86">
        <v>171741957.27949998</v>
      </c>
      <c r="G2158" s="44" t="s">
        <v>1081</v>
      </c>
      <c r="H2158" s="55">
        <v>171604184.06999999</v>
      </c>
      <c r="I2158" s="44" t="s">
        <v>300</v>
      </c>
      <c r="J2158" s="110">
        <f t="shared" si="128"/>
        <v>137773.20949998498</v>
      </c>
      <c r="K2158" s="110">
        <f t="shared" si="129"/>
        <v>-39661433.927147403</v>
      </c>
      <c r="L2158" s="60">
        <v>1308003977.9100001</v>
      </c>
      <c r="M2158" s="41"/>
      <c r="N2158" s="41"/>
      <c r="O2158" s="41"/>
    </row>
    <row r="2159" spans="1:15" s="7" customFormat="1" ht="18.75">
      <c r="A2159" s="81"/>
      <c r="B2159" s="57"/>
      <c r="C2159" s="307" t="s">
        <v>1639</v>
      </c>
      <c r="D2159" s="188"/>
      <c r="E2159" s="189"/>
      <c r="F2159" s="308">
        <v>39525795.960000001</v>
      </c>
      <c r="G2159" s="44"/>
      <c r="H2159" s="55"/>
      <c r="I2159" s="44"/>
      <c r="J2159" s="110">
        <f t="shared" si="128"/>
        <v>39525795.960000001</v>
      </c>
      <c r="K2159" s="110">
        <f t="shared" si="129"/>
        <v>-39523660.717647418</v>
      </c>
      <c r="L2159" s="60"/>
      <c r="M2159" s="41"/>
      <c r="N2159" s="41"/>
      <c r="O2159" s="41"/>
    </row>
    <row r="2160" spans="1:15" s="7" customFormat="1" ht="18.75">
      <c r="A2160" s="81"/>
      <c r="B2160" s="57" t="s">
        <v>1640</v>
      </c>
      <c r="C2160" s="31"/>
      <c r="D2160" s="32"/>
      <c r="E2160" s="44"/>
      <c r="F2160" s="86"/>
      <c r="G2160" s="35"/>
      <c r="H2160" s="115"/>
      <c r="I2160" s="35"/>
      <c r="J2160" s="110"/>
      <c r="K2160" s="116">
        <f t="shared" si="129"/>
        <v>2135.2423525825143</v>
      </c>
      <c r="L2160" s="60">
        <f>L2157-L2158</f>
        <v>3386.25</v>
      </c>
      <c r="M2160" s="41"/>
      <c r="N2160" s="41"/>
      <c r="O2160" s="41"/>
    </row>
    <row r="2161" spans="1:15" s="7" customFormat="1" ht="18.75">
      <c r="A2161" s="81"/>
      <c r="B2161" s="57"/>
      <c r="C2161" s="31"/>
      <c r="D2161" s="32"/>
      <c r="E2161" s="44"/>
      <c r="F2161" s="86"/>
      <c r="G2161" s="35"/>
      <c r="H2161" s="115"/>
      <c r="I2161" s="35"/>
      <c r="J2161" s="110"/>
      <c r="K2161" s="116"/>
      <c r="L2161" s="60"/>
      <c r="M2161" s="41"/>
      <c r="N2161" s="41"/>
      <c r="O2161" s="41"/>
    </row>
    <row r="2162" spans="1:15" s="7" customFormat="1" ht="18.75">
      <c r="A2162" s="81"/>
      <c r="B2162" s="57" t="s">
        <v>1641</v>
      </c>
      <c r="C2162" s="31" t="s">
        <v>1464</v>
      </c>
      <c r="D2162" s="32"/>
      <c r="E2162" s="44"/>
      <c r="F2162" s="86"/>
      <c r="G2162" s="35"/>
      <c r="H2162" s="115">
        <v>14042605.5</v>
      </c>
      <c r="I2162" s="35" t="s">
        <v>887</v>
      </c>
      <c r="J2162" s="110">
        <f t="shared" ref="J2162:J2169" si="130">F2162-H2162</f>
        <v>-14042605.5</v>
      </c>
      <c r="K2162" s="116"/>
      <c r="L2162" s="60"/>
      <c r="M2162" s="41"/>
      <c r="N2162" s="41"/>
      <c r="O2162" s="41"/>
    </row>
    <row r="2163" spans="1:15" s="7" customFormat="1" ht="18.75">
      <c r="A2163" s="81"/>
      <c r="B2163" s="57"/>
      <c r="C2163" s="31" t="s">
        <v>212</v>
      </c>
      <c r="D2163" s="32" t="s">
        <v>140</v>
      </c>
      <c r="E2163" s="44" t="s">
        <v>736</v>
      </c>
      <c r="F2163" s="86">
        <v>15587586.538738828</v>
      </c>
      <c r="G2163" s="35" t="s">
        <v>602</v>
      </c>
      <c r="H2163" s="115">
        <v>15587586.539999999</v>
      </c>
      <c r="I2163" s="35" t="s">
        <v>888</v>
      </c>
      <c r="J2163" s="110">
        <f t="shared" si="130"/>
        <v>-1.2611709535121918E-3</v>
      </c>
      <c r="K2163" s="110">
        <f t="shared" ref="K2163:K2170" si="131">J2162+K2162</f>
        <v>-14042605.5</v>
      </c>
      <c r="L2163" s="60"/>
      <c r="M2163" s="41"/>
      <c r="N2163" s="41"/>
      <c r="O2163" s="41"/>
    </row>
    <row r="2164" spans="1:15" s="7" customFormat="1" ht="18.75">
      <c r="A2164" s="81"/>
      <c r="B2164" s="57"/>
      <c r="C2164" s="31" t="s">
        <v>214</v>
      </c>
      <c r="D2164" s="32" t="s">
        <v>120</v>
      </c>
      <c r="E2164" s="44">
        <v>43962</v>
      </c>
      <c r="F2164" s="86">
        <v>14111184.679566976</v>
      </c>
      <c r="G2164" s="35" t="s">
        <v>216</v>
      </c>
      <c r="H2164" s="115">
        <v>14111184.679566976</v>
      </c>
      <c r="I2164" s="44">
        <v>44085</v>
      </c>
      <c r="J2164" s="110">
        <f t="shared" si="130"/>
        <v>0</v>
      </c>
      <c r="K2164" s="110">
        <f t="shared" si="131"/>
        <v>-14042605.501261171</v>
      </c>
      <c r="L2164" s="60"/>
      <c r="M2164" s="41"/>
      <c r="N2164" s="41"/>
      <c r="O2164" s="41"/>
    </row>
    <row r="2165" spans="1:15" s="7" customFormat="1" ht="18.75">
      <c r="A2165" s="81"/>
      <c r="B2165" s="57"/>
      <c r="C2165" s="31" t="s">
        <v>218</v>
      </c>
      <c r="D2165" s="32" t="s">
        <v>146</v>
      </c>
      <c r="E2165" s="44">
        <v>44024</v>
      </c>
      <c r="F2165" s="86">
        <v>16911119.110352196</v>
      </c>
      <c r="G2165" s="35">
        <v>44531</v>
      </c>
      <c r="H2165" s="115">
        <v>16911119.109999999</v>
      </c>
      <c r="I2165" s="44">
        <v>44086</v>
      </c>
      <c r="J2165" s="110">
        <f t="shared" si="130"/>
        <v>3.5219639539718628E-4</v>
      </c>
      <c r="K2165" s="110">
        <f t="shared" si="131"/>
        <v>-14042605.501261171</v>
      </c>
      <c r="L2165" s="60"/>
      <c r="M2165" s="41"/>
      <c r="N2165" s="41"/>
      <c r="O2165" s="41"/>
    </row>
    <row r="2166" spans="1:15" s="7" customFormat="1" ht="18.75">
      <c r="A2166" s="81"/>
      <c r="B2166" s="57"/>
      <c r="C2166" s="31" t="s">
        <v>219</v>
      </c>
      <c r="D2166" s="32" t="s">
        <v>80</v>
      </c>
      <c r="E2166" s="44">
        <v>44409</v>
      </c>
      <c r="F2166" s="86">
        <v>5144289.9865641892</v>
      </c>
      <c r="G2166" s="35">
        <v>44410</v>
      </c>
      <c r="H2166" s="115">
        <v>5144289.9865641892</v>
      </c>
      <c r="I2166" s="44">
        <v>44531</v>
      </c>
      <c r="J2166" s="110">
        <f t="shared" si="130"/>
        <v>0</v>
      </c>
      <c r="K2166" s="110">
        <f t="shared" si="131"/>
        <v>-14042605.500908975</v>
      </c>
      <c r="L2166" s="60"/>
      <c r="M2166" s="41"/>
      <c r="N2166" s="41"/>
      <c r="O2166" s="41"/>
    </row>
    <row r="2167" spans="1:15" s="7" customFormat="1" ht="18.75">
      <c r="A2167" s="81"/>
      <c r="B2167" s="57"/>
      <c r="C2167" s="31" t="s">
        <v>221</v>
      </c>
      <c r="D2167" s="32" t="s">
        <v>124</v>
      </c>
      <c r="E2167" s="44">
        <v>44471</v>
      </c>
      <c r="F2167" s="86">
        <v>13676869.857300458</v>
      </c>
      <c r="G2167" s="35" t="s">
        <v>93</v>
      </c>
      <c r="H2167" s="115">
        <v>13676869.85</v>
      </c>
      <c r="I2167" s="35">
        <v>44502</v>
      </c>
      <c r="J2167" s="110">
        <f t="shared" si="130"/>
        <v>7.3004588484764099E-3</v>
      </c>
      <c r="K2167" s="110">
        <f t="shared" si="131"/>
        <v>-14042605.500908975</v>
      </c>
      <c r="L2167" s="60"/>
      <c r="M2167" s="41"/>
      <c r="N2167" s="41"/>
      <c r="O2167" s="41"/>
    </row>
    <row r="2168" spans="1:15" s="7" customFormat="1" ht="18.75">
      <c r="A2168" s="81"/>
      <c r="B2168" s="57"/>
      <c r="C2168" s="31" t="s">
        <v>222</v>
      </c>
      <c r="D2168" s="32" t="s">
        <v>155</v>
      </c>
      <c r="E2168" s="44">
        <v>44319</v>
      </c>
      <c r="F2168" s="86">
        <v>12873739.38122349</v>
      </c>
      <c r="G2168" s="35" t="s">
        <v>224</v>
      </c>
      <c r="H2168" s="115">
        <v>12873739.380000001</v>
      </c>
      <c r="I2168" s="44">
        <v>44503</v>
      </c>
      <c r="J2168" s="110">
        <f t="shared" si="130"/>
        <v>1.2234896421432495E-3</v>
      </c>
      <c r="K2168" s="110">
        <f t="shared" si="131"/>
        <v>-14042605.493608516</v>
      </c>
      <c r="L2168" s="60"/>
      <c r="M2168" s="41"/>
      <c r="N2168" s="41"/>
      <c r="O2168" s="41"/>
    </row>
    <row r="2169" spans="1:15" s="7" customFormat="1" ht="18.75">
      <c r="A2169" s="81"/>
      <c r="B2169" s="57"/>
      <c r="C2169" s="31" t="s">
        <v>349</v>
      </c>
      <c r="D2169" s="32" t="s">
        <v>159</v>
      </c>
      <c r="E2169" s="44">
        <v>44381</v>
      </c>
      <c r="F2169" s="86">
        <v>15079595.931868544</v>
      </c>
      <c r="G2169" s="44">
        <v>44382</v>
      </c>
      <c r="H2169" s="115">
        <v>15079595.93</v>
      </c>
      <c r="I2169" s="44" t="s">
        <v>1573</v>
      </c>
      <c r="J2169" s="110">
        <f t="shared" si="130"/>
        <v>1.8685441464185715E-3</v>
      </c>
      <c r="K2169" s="110">
        <f t="shared" si="131"/>
        <v>-14042605.492385026</v>
      </c>
      <c r="L2169" s="60"/>
      <c r="M2169" s="41"/>
      <c r="N2169" s="41"/>
      <c r="O2169" s="41"/>
    </row>
    <row r="2170" spans="1:15" s="7" customFormat="1" ht="18.75">
      <c r="A2170" s="81"/>
      <c r="B2170" s="57" t="s">
        <v>1642</v>
      </c>
      <c r="C2170" s="31"/>
      <c r="D2170" s="32"/>
      <c r="E2170" s="44"/>
      <c r="F2170" s="86"/>
      <c r="G2170" s="35"/>
      <c r="H2170" s="115"/>
      <c r="I2170" s="35"/>
      <c r="J2170" s="110"/>
      <c r="K2170" s="116">
        <f t="shared" si="131"/>
        <v>-14042605.490516482</v>
      </c>
      <c r="L2170" s="60"/>
      <c r="M2170" s="41"/>
      <c r="N2170" s="41"/>
      <c r="O2170" s="41"/>
    </row>
    <row r="2171" spans="1:15" s="7" customFormat="1" ht="18.75">
      <c r="A2171" s="81"/>
      <c r="B2171" s="57"/>
      <c r="C2171" s="31"/>
      <c r="D2171" s="32"/>
      <c r="E2171" s="44"/>
      <c r="F2171" s="86"/>
      <c r="G2171" s="35"/>
      <c r="H2171" s="115"/>
      <c r="I2171" s="35"/>
      <c r="J2171" s="110"/>
      <c r="K2171" s="116"/>
      <c r="L2171" s="60"/>
      <c r="M2171" s="41"/>
      <c r="N2171" s="41"/>
      <c r="O2171" s="41"/>
    </row>
    <row r="2172" spans="1:15" s="7" customFormat="1" ht="18.75">
      <c r="A2172" s="81">
        <v>59</v>
      </c>
      <c r="B2172" s="109" t="s">
        <v>1643</v>
      </c>
      <c r="C2172" s="29" t="s">
        <v>560</v>
      </c>
      <c r="D2172" s="32" t="s">
        <v>1644</v>
      </c>
      <c r="E2172" s="44"/>
      <c r="F2172" s="95">
        <v>538514352.97000003</v>
      </c>
      <c r="G2172" s="96" t="s">
        <v>561</v>
      </c>
      <c r="H2172" s="47">
        <v>538514352.97000003</v>
      </c>
      <c r="I2172" s="35"/>
      <c r="J2172" s="37">
        <f t="shared" ref="J2172:J2213" si="132">F2172-H2172</f>
        <v>0</v>
      </c>
      <c r="K2172" s="110">
        <v>0</v>
      </c>
      <c r="L2172" s="60"/>
      <c r="M2172" s="41"/>
      <c r="N2172" s="41"/>
      <c r="O2172" s="41"/>
    </row>
    <row r="2173" spans="1:15" s="7" customFormat="1" ht="18.75">
      <c r="A2173" s="81"/>
      <c r="B2173" s="109"/>
      <c r="C2173" s="147">
        <v>42856</v>
      </c>
      <c r="D2173" s="32" t="s">
        <v>1645</v>
      </c>
      <c r="E2173" s="44"/>
      <c r="F2173" s="95">
        <v>833848001.18875504</v>
      </c>
      <c r="G2173" s="96"/>
      <c r="H2173" s="47">
        <v>833848001.18875504</v>
      </c>
      <c r="I2173" s="35"/>
      <c r="J2173" s="37">
        <f t="shared" si="132"/>
        <v>0</v>
      </c>
      <c r="K2173" s="110">
        <f>J2172+K2172</f>
        <v>0</v>
      </c>
      <c r="L2173" s="60"/>
      <c r="M2173" s="41"/>
      <c r="N2173" s="41"/>
      <c r="O2173" s="41"/>
    </row>
    <row r="2174" spans="1:15" s="7" customFormat="1" ht="18.75">
      <c r="A2174" s="81"/>
      <c r="B2174" s="109"/>
      <c r="C2174" s="29" t="s">
        <v>1646</v>
      </c>
      <c r="D2174" s="32" t="s">
        <v>1647</v>
      </c>
      <c r="E2174" s="44"/>
      <c r="F2174" s="95">
        <v>323720072.99000001</v>
      </c>
      <c r="G2174" s="96">
        <v>42957</v>
      </c>
      <c r="H2174" s="47">
        <v>323720072.99000001</v>
      </c>
      <c r="I2174" s="35" t="s">
        <v>1648</v>
      </c>
      <c r="J2174" s="37">
        <f t="shared" si="132"/>
        <v>0</v>
      </c>
      <c r="K2174" s="110">
        <f>J2173+K2173</f>
        <v>0</v>
      </c>
      <c r="L2174" s="60"/>
      <c r="M2174" s="41"/>
      <c r="N2174" s="41"/>
      <c r="O2174" s="41"/>
    </row>
    <row r="2175" spans="1:15" s="7" customFormat="1" ht="18.75">
      <c r="A2175" s="81"/>
      <c r="B2175" s="109"/>
      <c r="C2175" s="29" t="s">
        <v>497</v>
      </c>
      <c r="D2175" s="32" t="s">
        <v>1649</v>
      </c>
      <c r="E2175" s="44"/>
      <c r="F2175" s="95">
        <v>796114169.38</v>
      </c>
      <c r="G2175" s="96">
        <v>42988</v>
      </c>
      <c r="H2175" s="47">
        <v>835829000.7983886</v>
      </c>
      <c r="I2175" s="35"/>
      <c r="J2175" s="37">
        <f t="shared" si="132"/>
        <v>-39714831.418388605</v>
      </c>
      <c r="K2175" s="110">
        <f>J2174+K2174</f>
        <v>0</v>
      </c>
      <c r="L2175" s="60"/>
      <c r="M2175" s="41"/>
      <c r="N2175" s="41"/>
      <c r="O2175" s="41"/>
    </row>
    <row r="2176" spans="1:15" s="7" customFormat="1" ht="18.75">
      <c r="A2176" s="81"/>
      <c r="B2176" s="109"/>
      <c r="C2176" s="29" t="s">
        <v>498</v>
      </c>
      <c r="D2176" s="32" t="s">
        <v>1650</v>
      </c>
      <c r="E2176" s="44"/>
      <c r="F2176" s="95">
        <v>339621916.80000001</v>
      </c>
      <c r="G2176" s="96" t="s">
        <v>1651</v>
      </c>
      <c r="H2176" s="47">
        <v>339621916.80000001</v>
      </c>
      <c r="I2176" s="35" t="s">
        <v>1652</v>
      </c>
      <c r="J2176" s="37">
        <f t="shared" si="132"/>
        <v>0</v>
      </c>
      <c r="K2176" s="110">
        <f t="shared" ref="K2176:K2219" si="133">J2175+K2175</f>
        <v>-39714831.418388605</v>
      </c>
      <c r="L2176" s="60"/>
      <c r="M2176" s="41"/>
      <c r="N2176" s="41"/>
      <c r="O2176" s="41"/>
    </row>
    <row r="2177" spans="1:15" s="7" customFormat="1" ht="18.75">
      <c r="A2177" s="81"/>
      <c r="B2177" s="109"/>
      <c r="C2177" s="29" t="s">
        <v>564</v>
      </c>
      <c r="D2177" s="32" t="s">
        <v>1653</v>
      </c>
      <c r="E2177" s="44"/>
      <c r="F2177" s="95">
        <v>885160624.70000005</v>
      </c>
      <c r="G2177" s="96" t="s">
        <v>1654</v>
      </c>
      <c r="H2177" s="47">
        <v>885160624.70000005</v>
      </c>
      <c r="I2177" s="58" t="s">
        <v>1655</v>
      </c>
      <c r="J2177" s="37">
        <f t="shared" si="132"/>
        <v>0</v>
      </c>
      <c r="K2177" s="110">
        <f t="shared" si="133"/>
        <v>-39714831.418388605</v>
      </c>
      <c r="L2177" s="60"/>
      <c r="M2177" s="41"/>
      <c r="N2177" s="41"/>
      <c r="O2177" s="41"/>
    </row>
    <row r="2178" spans="1:15" s="7" customFormat="1" ht="18.75">
      <c r="A2178" s="81"/>
      <c r="B2178" s="109"/>
      <c r="C2178" s="29" t="s">
        <v>500</v>
      </c>
      <c r="D2178" s="32" t="s">
        <v>1656</v>
      </c>
      <c r="E2178" s="44"/>
      <c r="F2178" s="95">
        <v>802206123.63</v>
      </c>
      <c r="G2178" s="96" t="s">
        <v>1654</v>
      </c>
      <c r="H2178" s="47">
        <v>802206123.63</v>
      </c>
      <c r="I2178" s="35" t="s">
        <v>1657</v>
      </c>
      <c r="J2178" s="37">
        <f t="shared" si="132"/>
        <v>0</v>
      </c>
      <c r="K2178" s="110">
        <f t="shared" si="133"/>
        <v>-39714831.418388605</v>
      </c>
      <c r="L2178" s="60"/>
      <c r="M2178" s="41"/>
      <c r="N2178" s="41"/>
      <c r="O2178" s="41"/>
    </row>
    <row r="2179" spans="1:15" s="7" customFormat="1" ht="18.75">
      <c r="A2179" s="81"/>
      <c r="B2179" s="109"/>
      <c r="C2179" s="29" t="s">
        <v>501</v>
      </c>
      <c r="D2179" s="32" t="s">
        <v>1658</v>
      </c>
      <c r="E2179" s="44"/>
      <c r="F2179" s="95">
        <v>849053219.25999999</v>
      </c>
      <c r="G2179" s="96" t="s">
        <v>502</v>
      </c>
      <c r="H2179" s="47">
        <v>849053219.25999999</v>
      </c>
      <c r="I2179" s="309" t="s">
        <v>1659</v>
      </c>
      <c r="J2179" s="37">
        <f t="shared" si="132"/>
        <v>0</v>
      </c>
      <c r="K2179" s="110">
        <f t="shared" si="133"/>
        <v>-39714831.418388605</v>
      </c>
      <c r="L2179" s="60"/>
      <c r="M2179" s="41"/>
      <c r="N2179" s="41"/>
      <c r="O2179" s="41"/>
    </row>
    <row r="2180" spans="1:15" s="7" customFormat="1" ht="18.75">
      <c r="A2180" s="81"/>
      <c r="B2180" s="109"/>
      <c r="C2180" s="29" t="s">
        <v>504</v>
      </c>
      <c r="D2180" s="32" t="s">
        <v>1660</v>
      </c>
      <c r="E2180" s="44"/>
      <c r="F2180" s="95">
        <v>1030475289.04</v>
      </c>
      <c r="G2180" s="75">
        <v>43222</v>
      </c>
      <c r="H2180" s="47">
        <v>1030475289.04</v>
      </c>
      <c r="I2180" s="58" t="s">
        <v>1661</v>
      </c>
      <c r="J2180" s="37">
        <f t="shared" si="132"/>
        <v>0</v>
      </c>
      <c r="K2180" s="110">
        <f t="shared" si="133"/>
        <v>-39714831.418388605</v>
      </c>
      <c r="L2180" s="60"/>
      <c r="M2180" s="41"/>
      <c r="N2180" s="41"/>
      <c r="O2180" s="41"/>
    </row>
    <row r="2181" spans="1:15" s="7" customFormat="1" ht="18.75">
      <c r="A2181" s="81"/>
      <c r="B2181" s="109"/>
      <c r="C2181" s="29" t="s">
        <v>506</v>
      </c>
      <c r="D2181" s="32" t="s">
        <v>1660</v>
      </c>
      <c r="E2181" s="44"/>
      <c r="F2181" s="95">
        <v>455060535.32999998</v>
      </c>
      <c r="G2181" s="75" t="s">
        <v>566</v>
      </c>
      <c r="H2181" s="47">
        <v>455060535.32999998</v>
      </c>
      <c r="I2181" s="35"/>
      <c r="J2181" s="37">
        <f t="shared" si="132"/>
        <v>0</v>
      </c>
      <c r="K2181" s="110">
        <f t="shared" si="133"/>
        <v>-39714831.418388605</v>
      </c>
      <c r="L2181" s="60"/>
      <c r="M2181" s="41"/>
      <c r="N2181" s="41"/>
      <c r="O2181" s="41"/>
    </row>
    <row r="2182" spans="1:15" s="7" customFormat="1" ht="18.75">
      <c r="A2182" s="81"/>
      <c r="B2182" s="109"/>
      <c r="C2182" s="29" t="s">
        <v>508</v>
      </c>
      <c r="D2182" s="32" t="s">
        <v>1662</v>
      </c>
      <c r="E2182" s="44"/>
      <c r="F2182" s="95">
        <v>363169928.91000003</v>
      </c>
      <c r="G2182" s="75" t="s">
        <v>509</v>
      </c>
      <c r="H2182" s="47">
        <v>363169928.91039008</v>
      </c>
      <c r="I2182" s="58"/>
      <c r="J2182" s="37">
        <f t="shared" si="132"/>
        <v>-3.9005279541015625E-4</v>
      </c>
      <c r="K2182" s="110">
        <f t="shared" si="133"/>
        <v>-39714831.418388605</v>
      </c>
      <c r="L2182" s="60"/>
      <c r="M2182" s="41"/>
      <c r="N2182" s="41"/>
      <c r="O2182" s="41"/>
    </row>
    <row r="2183" spans="1:15" s="7" customFormat="1" ht="18.75">
      <c r="A2183" s="81"/>
      <c r="B2183" s="109"/>
      <c r="C2183" s="29" t="s">
        <v>355</v>
      </c>
      <c r="D2183" s="32" t="s">
        <v>1663</v>
      </c>
      <c r="E2183" s="44"/>
      <c r="F2183" s="95">
        <v>941037891.07439983</v>
      </c>
      <c r="G2183" s="75" t="s">
        <v>1523</v>
      </c>
      <c r="H2183" s="47">
        <v>941037891.07439983</v>
      </c>
      <c r="I2183" s="35"/>
      <c r="J2183" s="37">
        <f t="shared" si="132"/>
        <v>0</v>
      </c>
      <c r="K2183" s="110">
        <f t="shared" si="133"/>
        <v>-39714831.418778658</v>
      </c>
      <c r="L2183" s="60"/>
      <c r="M2183" s="110"/>
      <c r="N2183" s="41"/>
      <c r="O2183" s="41"/>
    </row>
    <row r="2184" spans="1:15" s="7" customFormat="1" ht="18.75">
      <c r="A2184" s="81"/>
      <c r="B2184" s="109"/>
      <c r="C2184" s="31" t="s">
        <v>234</v>
      </c>
      <c r="D2184" s="32" t="s">
        <v>1664</v>
      </c>
      <c r="E2184" s="44"/>
      <c r="F2184" s="95">
        <v>549567600.26857507</v>
      </c>
      <c r="G2184" s="75" t="s">
        <v>755</v>
      </c>
      <c r="H2184" s="47">
        <v>549567600.26857507</v>
      </c>
      <c r="I2184" s="35" t="s">
        <v>1661</v>
      </c>
      <c r="J2184" s="37">
        <f t="shared" si="132"/>
        <v>0</v>
      </c>
      <c r="K2184" s="110">
        <f t="shared" si="133"/>
        <v>-39714831.418778658</v>
      </c>
      <c r="L2184" s="60"/>
      <c r="M2184" s="110"/>
      <c r="N2184" s="41"/>
      <c r="O2184" s="41"/>
    </row>
    <row r="2185" spans="1:15" s="7" customFormat="1" ht="18.75">
      <c r="A2185" s="81"/>
      <c r="B2185" s="109"/>
      <c r="C2185" s="31" t="s">
        <v>514</v>
      </c>
      <c r="D2185" s="32" t="s">
        <v>1665</v>
      </c>
      <c r="E2185" s="44"/>
      <c r="F2185" s="95">
        <v>1276325840.0907001</v>
      </c>
      <c r="G2185" s="75" t="s">
        <v>757</v>
      </c>
      <c r="H2185" s="47">
        <v>1276325840.0907001</v>
      </c>
      <c r="I2185" s="35" t="s">
        <v>507</v>
      </c>
      <c r="J2185" s="37">
        <f t="shared" si="132"/>
        <v>0</v>
      </c>
      <c r="K2185" s="110">
        <f t="shared" si="133"/>
        <v>-39714831.418778658</v>
      </c>
      <c r="L2185" s="60"/>
      <c r="M2185" s="110"/>
      <c r="N2185" s="41"/>
      <c r="O2185" s="41"/>
    </row>
    <row r="2186" spans="1:15" s="7" customFormat="1" ht="18.75">
      <c r="A2186" s="81"/>
      <c r="B2186" s="109"/>
      <c r="C2186" s="102" t="s">
        <v>238</v>
      </c>
      <c r="D2186" s="32" t="s">
        <v>1666</v>
      </c>
      <c r="E2186" s="44"/>
      <c r="F2186" s="95">
        <v>960357853.57365012</v>
      </c>
      <c r="G2186" s="75" t="s">
        <v>1085</v>
      </c>
      <c r="H2186" s="47">
        <v>960357853.57365012</v>
      </c>
      <c r="I2186" s="35" t="s">
        <v>1667</v>
      </c>
      <c r="J2186" s="37">
        <f t="shared" si="132"/>
        <v>0</v>
      </c>
      <c r="K2186" s="110">
        <f t="shared" si="133"/>
        <v>-39714831.418778658</v>
      </c>
      <c r="L2186" s="60"/>
      <c r="M2186" s="41"/>
      <c r="N2186" s="41"/>
      <c r="O2186" s="41"/>
    </row>
    <row r="2187" spans="1:15" s="7" customFormat="1" ht="18.75">
      <c r="A2187" s="81"/>
      <c r="B2187" s="109"/>
      <c r="C2187" s="111" t="s">
        <v>240</v>
      </c>
      <c r="D2187" s="32" t="s">
        <v>1668</v>
      </c>
      <c r="E2187" s="44"/>
      <c r="F2187" s="95">
        <v>667606142.12502003</v>
      </c>
      <c r="G2187" s="75" t="s">
        <v>1086</v>
      </c>
      <c r="H2187" s="47">
        <v>667606142.12502003</v>
      </c>
      <c r="I2187" s="35" t="s">
        <v>1256</v>
      </c>
      <c r="J2187" s="37">
        <f t="shared" si="132"/>
        <v>0</v>
      </c>
      <c r="K2187" s="110">
        <f t="shared" si="133"/>
        <v>-39714831.418778658</v>
      </c>
      <c r="L2187" s="60"/>
      <c r="M2187" s="41"/>
      <c r="N2187" s="41"/>
      <c r="O2187" s="41"/>
    </row>
    <row r="2188" spans="1:15" s="7" customFormat="1" ht="18.75">
      <c r="A2188" s="81"/>
      <c r="B2188" s="109"/>
      <c r="C2188" s="102" t="s">
        <v>243</v>
      </c>
      <c r="D2188" s="32" t="s">
        <v>1669</v>
      </c>
      <c r="E2188" s="44"/>
      <c r="F2188" s="95">
        <v>997112745.78929996</v>
      </c>
      <c r="G2188" s="75" t="s">
        <v>424</v>
      </c>
      <c r="H2188" s="47">
        <v>997112745.78929996</v>
      </c>
      <c r="I2188" s="41"/>
      <c r="J2188" s="37">
        <f t="shared" si="132"/>
        <v>0</v>
      </c>
      <c r="K2188" s="110">
        <f t="shared" si="133"/>
        <v>-39714831.418778658</v>
      </c>
      <c r="L2188" s="60"/>
      <c r="M2188" s="41"/>
      <c r="N2188" s="41"/>
      <c r="O2188" s="41"/>
    </row>
    <row r="2189" spans="1:15" s="7" customFormat="1" ht="18.75">
      <c r="A2189" s="81"/>
      <c r="B2189" s="109"/>
      <c r="C2189" s="102" t="s">
        <v>246</v>
      </c>
      <c r="D2189" s="103" t="s">
        <v>1670</v>
      </c>
      <c r="E2189" s="44"/>
      <c r="F2189" s="104">
        <v>722262462.1158452</v>
      </c>
      <c r="G2189" s="105" t="s">
        <v>762</v>
      </c>
      <c r="H2189" s="47">
        <v>722262462.11584496</v>
      </c>
      <c r="I2189" s="41"/>
      <c r="J2189" s="37">
        <f t="shared" si="132"/>
        <v>0</v>
      </c>
      <c r="K2189" s="110">
        <f t="shared" si="133"/>
        <v>-39714831.418778658</v>
      </c>
      <c r="L2189" s="60"/>
      <c r="M2189" s="41"/>
      <c r="N2189" s="41"/>
      <c r="O2189" s="41"/>
    </row>
    <row r="2190" spans="1:15" s="7" customFormat="1" ht="18.75">
      <c r="A2190" s="81"/>
      <c r="B2190" s="109"/>
      <c r="C2190" s="111" t="s">
        <v>248</v>
      </c>
      <c r="D2190" s="103" t="s">
        <v>1671</v>
      </c>
      <c r="E2190" s="44"/>
      <c r="F2190" s="104">
        <v>770363468.14139998</v>
      </c>
      <c r="G2190" s="105" t="s">
        <v>762</v>
      </c>
      <c r="H2190" s="47">
        <v>770363468.14139998</v>
      </c>
      <c r="I2190" s="35" t="s">
        <v>519</v>
      </c>
      <c r="J2190" s="37">
        <f t="shared" si="132"/>
        <v>0</v>
      </c>
      <c r="K2190" s="110">
        <f t="shared" si="133"/>
        <v>-39714831.418778658</v>
      </c>
      <c r="L2190" s="60"/>
      <c r="M2190" s="41"/>
      <c r="N2190" s="41"/>
      <c r="O2190" s="41"/>
    </row>
    <row r="2191" spans="1:15" s="7" customFormat="1" ht="18.75">
      <c r="A2191" s="81"/>
      <c r="B2191" s="109"/>
      <c r="C2191" s="111" t="s">
        <v>250</v>
      </c>
      <c r="D2191" s="103" t="s">
        <v>1672</v>
      </c>
      <c r="E2191" s="44"/>
      <c r="F2191" s="104">
        <v>667022799.00999999</v>
      </c>
      <c r="G2191" s="105" t="s">
        <v>965</v>
      </c>
      <c r="H2191" s="47">
        <v>667022799.01235998</v>
      </c>
      <c r="I2191" s="35" t="s">
        <v>519</v>
      </c>
      <c r="J2191" s="37">
        <f t="shared" si="132"/>
        <v>-2.3599863052368164E-3</v>
      </c>
      <c r="K2191" s="110">
        <f t="shared" si="133"/>
        <v>-39714831.418778658</v>
      </c>
      <c r="L2191" s="60"/>
      <c r="M2191" s="41"/>
      <c r="N2191" s="41"/>
      <c r="O2191" s="41"/>
    </row>
    <row r="2192" spans="1:15" s="7" customFormat="1" ht="18.75">
      <c r="A2192" s="81"/>
      <c r="B2192" s="109"/>
      <c r="C2192" s="111" t="s">
        <v>139</v>
      </c>
      <c r="D2192" s="103" t="s">
        <v>1673</v>
      </c>
      <c r="E2192" s="44"/>
      <c r="F2192" s="104">
        <v>819954753.48000002</v>
      </c>
      <c r="G2192" s="105" t="s">
        <v>652</v>
      </c>
      <c r="H2192" s="47">
        <v>819954753.48000002</v>
      </c>
      <c r="I2192" s="35" t="s">
        <v>766</v>
      </c>
      <c r="J2192" s="37">
        <f t="shared" si="132"/>
        <v>0</v>
      </c>
      <c r="K2192" s="110">
        <f t="shared" si="133"/>
        <v>-39714831.421138644</v>
      </c>
      <c r="L2192" s="60"/>
      <c r="M2192" s="41"/>
      <c r="N2192" s="41"/>
      <c r="O2192" s="41"/>
    </row>
    <row r="2193" spans="1:15" s="7" customFormat="1" ht="18.75">
      <c r="A2193" s="81"/>
      <c r="B2193" s="109"/>
      <c r="C2193" s="62" t="s">
        <v>142</v>
      </c>
      <c r="D2193" s="103" t="s">
        <v>1674</v>
      </c>
      <c r="E2193" s="44"/>
      <c r="F2193" s="104">
        <v>948796183.76234996</v>
      </c>
      <c r="G2193" s="105" t="s">
        <v>1138</v>
      </c>
      <c r="H2193" s="36">
        <v>908361545.11000001</v>
      </c>
      <c r="I2193" s="35" t="s">
        <v>261</v>
      </c>
      <c r="J2193" s="37">
        <f t="shared" si="132"/>
        <v>40434638.652349949</v>
      </c>
      <c r="K2193" s="110">
        <f t="shared" si="133"/>
        <v>-39714831.421138644</v>
      </c>
      <c r="L2193" s="60"/>
      <c r="M2193" s="41"/>
      <c r="N2193" s="41"/>
      <c r="O2193" s="41"/>
    </row>
    <row r="2194" spans="1:15" s="7" customFormat="1" ht="18.75">
      <c r="A2194" s="81"/>
      <c r="B2194" s="109"/>
      <c r="C2194" s="62" t="s">
        <v>145</v>
      </c>
      <c r="D2194" s="103" t="s">
        <v>1675</v>
      </c>
      <c r="E2194" s="44"/>
      <c r="F2194" s="104">
        <v>854353724.85866559</v>
      </c>
      <c r="G2194" s="105" t="s">
        <v>1138</v>
      </c>
      <c r="H2194" s="36">
        <v>854353724.85866559</v>
      </c>
      <c r="I2194" s="35" t="s">
        <v>1104</v>
      </c>
      <c r="J2194" s="37">
        <f t="shared" si="132"/>
        <v>0</v>
      </c>
      <c r="K2194" s="110">
        <f t="shared" si="133"/>
        <v>719807.23121130466</v>
      </c>
      <c r="L2194" s="60"/>
      <c r="M2194" s="41"/>
      <c r="N2194" s="41"/>
      <c r="O2194" s="41"/>
    </row>
    <row r="2195" spans="1:15" s="7" customFormat="1" ht="18.75">
      <c r="A2195" s="81"/>
      <c r="B2195" s="109"/>
      <c r="C2195" s="62" t="s">
        <v>148</v>
      </c>
      <c r="D2195" s="103" t="s">
        <v>1676</v>
      </c>
      <c r="E2195" s="44"/>
      <c r="F2195" s="104">
        <v>926233604.75184</v>
      </c>
      <c r="G2195" s="105" t="s">
        <v>433</v>
      </c>
      <c r="H2195" s="36">
        <v>926233604.75184011</v>
      </c>
      <c r="I2195" s="35" t="s">
        <v>369</v>
      </c>
      <c r="J2195" s="37">
        <f t="shared" si="132"/>
        <v>0</v>
      </c>
      <c r="K2195" s="110">
        <f t="shared" si="133"/>
        <v>719807.23121130466</v>
      </c>
      <c r="L2195" s="60"/>
      <c r="M2195" s="41"/>
      <c r="N2195" s="41"/>
      <c r="O2195" s="41"/>
    </row>
    <row r="2196" spans="1:15" s="7" customFormat="1" ht="18.75">
      <c r="A2196" s="81"/>
      <c r="B2196" s="109"/>
      <c r="C2196" s="62" t="s">
        <v>151</v>
      </c>
      <c r="D2196" s="103" t="s">
        <v>1677</v>
      </c>
      <c r="E2196" s="44"/>
      <c r="F2196" s="104">
        <v>995961766.94910002</v>
      </c>
      <c r="G2196" s="105" t="s">
        <v>152</v>
      </c>
      <c r="H2196" s="36">
        <v>995961766.94910002</v>
      </c>
      <c r="I2196" s="35" t="s">
        <v>369</v>
      </c>
      <c r="J2196" s="37">
        <f t="shared" si="132"/>
        <v>0</v>
      </c>
      <c r="K2196" s="110">
        <f t="shared" si="133"/>
        <v>719807.23121130466</v>
      </c>
      <c r="L2196" s="60"/>
      <c r="M2196" s="41"/>
      <c r="N2196" s="41"/>
      <c r="O2196" s="41"/>
    </row>
    <row r="2197" spans="1:15" s="7" customFormat="1" ht="18.75">
      <c r="A2197" s="81"/>
      <c r="B2197" s="109"/>
      <c r="C2197" s="62" t="s">
        <v>154</v>
      </c>
      <c r="D2197" s="103" t="s">
        <v>1678</v>
      </c>
      <c r="E2197" s="44"/>
      <c r="F2197" s="104">
        <v>1090705988.46825</v>
      </c>
      <c r="G2197" s="105" t="s">
        <v>156</v>
      </c>
      <c r="H2197" s="36">
        <v>1090705988.46825</v>
      </c>
      <c r="I2197" s="35" t="s">
        <v>772</v>
      </c>
      <c r="J2197" s="37">
        <f t="shared" si="132"/>
        <v>0</v>
      </c>
      <c r="K2197" s="110">
        <f t="shared" si="133"/>
        <v>719807.23121130466</v>
      </c>
      <c r="L2197" s="60"/>
      <c r="M2197" s="41"/>
      <c r="N2197" s="41"/>
      <c r="O2197" s="41"/>
    </row>
    <row r="2198" spans="1:15" s="7" customFormat="1" ht="18.75">
      <c r="A2198" s="81"/>
      <c r="B2198" s="109"/>
      <c r="C2198" s="62" t="s">
        <v>158</v>
      </c>
      <c r="D2198" s="103" t="s">
        <v>1679</v>
      </c>
      <c r="E2198" s="44"/>
      <c r="F2198" s="104">
        <v>997089988.70111406</v>
      </c>
      <c r="G2198" s="105" t="s">
        <v>160</v>
      </c>
      <c r="H2198" s="36">
        <v>997089988.70111406</v>
      </c>
      <c r="I2198" s="35" t="s">
        <v>1680</v>
      </c>
      <c r="J2198" s="37">
        <f t="shared" si="132"/>
        <v>0</v>
      </c>
      <c r="K2198" s="110">
        <f t="shared" si="133"/>
        <v>719807.23121130466</v>
      </c>
      <c r="L2198" s="60"/>
      <c r="M2198" s="41"/>
      <c r="N2198" s="41"/>
      <c r="O2198" s="41"/>
    </row>
    <row r="2199" spans="1:15" s="7" customFormat="1" ht="18.75">
      <c r="A2199" s="81"/>
      <c r="B2199" s="109"/>
      <c r="C2199" s="62" t="s">
        <v>162</v>
      </c>
      <c r="D2199" s="103" t="s">
        <v>1681</v>
      </c>
      <c r="E2199" s="44"/>
      <c r="F2199" s="104">
        <v>829708299.55166996</v>
      </c>
      <c r="G2199" s="105" t="s">
        <v>164</v>
      </c>
      <c r="H2199" s="36">
        <v>829708299.55166996</v>
      </c>
      <c r="I2199" s="35" t="s">
        <v>1483</v>
      </c>
      <c r="J2199" s="37">
        <f t="shared" si="132"/>
        <v>0</v>
      </c>
      <c r="K2199" s="110">
        <f t="shared" si="133"/>
        <v>719807.23121130466</v>
      </c>
      <c r="L2199" s="60"/>
      <c r="M2199" s="41"/>
      <c r="N2199" s="41"/>
      <c r="O2199" s="41"/>
    </row>
    <row r="2200" spans="1:15" s="7" customFormat="1" ht="18.75">
      <c r="A2200" s="81"/>
      <c r="B2200" s="109"/>
      <c r="C2200" s="62" t="s">
        <v>166</v>
      </c>
      <c r="D2200" s="103" t="s">
        <v>1682</v>
      </c>
      <c r="E2200" s="44"/>
      <c r="F2200" s="104">
        <v>835160677.3522948</v>
      </c>
      <c r="G2200" s="105" t="s">
        <v>168</v>
      </c>
      <c r="H2200" s="36">
        <v>835160677.3522948</v>
      </c>
      <c r="I2200" s="35" t="s">
        <v>324</v>
      </c>
      <c r="J2200" s="37">
        <f t="shared" si="132"/>
        <v>0</v>
      </c>
      <c r="K2200" s="110">
        <f t="shared" si="133"/>
        <v>719807.23121130466</v>
      </c>
      <c r="L2200" s="60"/>
      <c r="M2200" s="41"/>
      <c r="N2200" s="41"/>
      <c r="O2200" s="41"/>
    </row>
    <row r="2201" spans="1:15" s="7" customFormat="1" ht="18.75">
      <c r="A2201" s="81"/>
      <c r="B2201" s="109"/>
      <c r="C2201" s="62" t="s">
        <v>170</v>
      </c>
      <c r="D2201" s="103" t="s">
        <v>1683</v>
      </c>
      <c r="E2201" s="44"/>
      <c r="F2201" s="104">
        <v>624693992.86514223</v>
      </c>
      <c r="G2201" s="105" t="s">
        <v>172</v>
      </c>
      <c r="H2201" s="36"/>
      <c r="I2201" s="35"/>
      <c r="J2201" s="37">
        <f t="shared" si="132"/>
        <v>624693992.86514223</v>
      </c>
      <c r="K2201" s="110">
        <f t="shared" si="133"/>
        <v>719807.23121130466</v>
      </c>
      <c r="L2201" s="60"/>
      <c r="M2201" s="41"/>
      <c r="N2201" s="41"/>
      <c r="O2201" s="41"/>
    </row>
    <row r="2202" spans="1:15" s="7" customFormat="1" ht="18.75">
      <c r="A2202" s="81"/>
      <c r="B2202" s="109"/>
      <c r="C2202" s="62" t="s">
        <v>174</v>
      </c>
      <c r="D2202" s="103" t="s">
        <v>1684</v>
      </c>
      <c r="E2202" s="44"/>
      <c r="F2202" s="104">
        <v>468931370.55278218</v>
      </c>
      <c r="G2202" s="105" t="s">
        <v>176</v>
      </c>
      <c r="H2202" s="36">
        <v>468931370.55278218</v>
      </c>
      <c r="I2202" s="35" t="s">
        <v>1685</v>
      </c>
      <c r="J2202" s="37">
        <f t="shared" si="132"/>
        <v>0</v>
      </c>
      <c r="K2202" s="110">
        <f t="shared" si="133"/>
        <v>625413800.09635353</v>
      </c>
      <c r="L2202" s="60"/>
      <c r="M2202" s="41"/>
      <c r="N2202" s="41"/>
      <c r="O2202" s="41"/>
    </row>
    <row r="2203" spans="1:15" s="7" customFormat="1" ht="18.75">
      <c r="A2203" s="81"/>
      <c r="B2203" s="109"/>
      <c r="C2203" s="62" t="s">
        <v>178</v>
      </c>
      <c r="D2203" s="103" t="s">
        <v>1686</v>
      </c>
      <c r="E2203" s="44"/>
      <c r="F2203" s="104">
        <v>711507788.72033691</v>
      </c>
      <c r="G2203" s="105" t="s">
        <v>179</v>
      </c>
      <c r="H2203" s="36">
        <v>1336201781.51</v>
      </c>
      <c r="I2203" s="35" t="s">
        <v>897</v>
      </c>
      <c r="J2203" s="37">
        <f t="shared" si="132"/>
        <v>-624693992.78966308</v>
      </c>
      <c r="K2203" s="110">
        <f t="shared" si="133"/>
        <v>625413800.09635353</v>
      </c>
      <c r="L2203" s="60"/>
      <c r="M2203" s="41"/>
      <c r="N2203" s="41"/>
      <c r="O2203" s="41"/>
    </row>
    <row r="2204" spans="1:15" s="7" customFormat="1" ht="18.75">
      <c r="A2204" s="81"/>
      <c r="B2204" s="109"/>
      <c r="C2204" s="62" t="s">
        <v>181</v>
      </c>
      <c r="D2204" s="103" t="s">
        <v>1687</v>
      </c>
      <c r="E2204" s="44"/>
      <c r="F2204" s="104">
        <v>954511621.97910738</v>
      </c>
      <c r="G2204" s="105" t="s">
        <v>183</v>
      </c>
      <c r="H2204" s="36">
        <v>954511621.98000002</v>
      </c>
      <c r="I2204" s="35" t="s">
        <v>848</v>
      </c>
      <c r="J2204" s="37">
        <f t="shared" si="132"/>
        <v>-8.9263916015625E-4</v>
      </c>
      <c r="K2204" s="110">
        <f t="shared" si="133"/>
        <v>719807.30669045448</v>
      </c>
      <c r="L2204" s="60"/>
      <c r="M2204" s="41"/>
      <c r="N2204" s="41"/>
      <c r="O2204" s="41"/>
    </row>
    <row r="2205" spans="1:15" s="7" customFormat="1" ht="18.75">
      <c r="A2205" s="56"/>
      <c r="B2205" s="109"/>
      <c r="C2205" s="62" t="s">
        <v>185</v>
      </c>
      <c r="D2205" s="103" t="s">
        <v>1688</v>
      </c>
      <c r="E2205" s="44"/>
      <c r="F2205" s="104">
        <v>1036306103.0112</v>
      </c>
      <c r="G2205" s="105" t="s">
        <v>187</v>
      </c>
      <c r="H2205" s="36">
        <v>1060980058.2656244</v>
      </c>
      <c r="I2205" s="35" t="s">
        <v>1618</v>
      </c>
      <c r="J2205" s="37">
        <f t="shared" si="132"/>
        <v>-24673955.254424453</v>
      </c>
      <c r="K2205" s="110">
        <f t="shared" si="133"/>
        <v>719807.30579781532</v>
      </c>
      <c r="L2205" s="60"/>
      <c r="M2205" s="41"/>
      <c r="N2205" s="41"/>
      <c r="O2205" s="41"/>
    </row>
    <row r="2206" spans="1:15" s="7" customFormat="1" ht="18.75">
      <c r="A2206" s="56"/>
      <c r="B2206" s="109"/>
      <c r="C2206" s="62" t="s">
        <v>189</v>
      </c>
      <c r="D2206" s="103" t="s">
        <v>1689</v>
      </c>
      <c r="E2206" s="44"/>
      <c r="F2206" s="104">
        <v>1051683691.2939501</v>
      </c>
      <c r="G2206" s="105" t="s">
        <v>282</v>
      </c>
      <c r="H2206" s="36">
        <v>1051683691.2939501</v>
      </c>
      <c r="I2206" s="35" t="s">
        <v>732</v>
      </c>
      <c r="J2206" s="37">
        <f t="shared" si="132"/>
        <v>0</v>
      </c>
      <c r="K2206" s="110">
        <f t="shared" si="133"/>
        <v>-23954147.948626637</v>
      </c>
      <c r="L2206" s="60"/>
      <c r="M2206" s="41"/>
      <c r="N2206" s="41"/>
      <c r="O2206" s="41"/>
    </row>
    <row r="2207" spans="1:15" s="7" customFormat="1" ht="18.75">
      <c r="A2207" s="56"/>
      <c r="B2207" s="109"/>
      <c r="C2207" s="62" t="s">
        <v>191</v>
      </c>
      <c r="D2207" s="103" t="s">
        <v>1690</v>
      </c>
      <c r="E2207" s="44">
        <v>43986</v>
      </c>
      <c r="F2207" s="104">
        <v>1224666459.2846</v>
      </c>
      <c r="G2207" s="105" t="s">
        <v>193</v>
      </c>
      <c r="H2207" s="36">
        <v>1224666459.2846</v>
      </c>
      <c r="I2207" s="310" t="s">
        <v>735</v>
      </c>
      <c r="J2207" s="37">
        <f t="shared" si="132"/>
        <v>0</v>
      </c>
      <c r="K2207" s="110">
        <f t="shared" si="133"/>
        <v>-23954147.948626637</v>
      </c>
      <c r="L2207" s="60"/>
      <c r="M2207" s="41"/>
      <c r="N2207" s="41"/>
      <c r="O2207" s="41"/>
    </row>
    <row r="2208" spans="1:15" s="7" customFormat="1" ht="18.75">
      <c r="A2208" s="56"/>
      <c r="B2208" s="109"/>
      <c r="C2208" s="62" t="s">
        <v>195</v>
      </c>
      <c r="D2208" s="103" t="s">
        <v>1691</v>
      </c>
      <c r="E2208" s="44" t="s">
        <v>197</v>
      </c>
      <c r="F2208" s="104">
        <v>713402643.72799504</v>
      </c>
      <c r="G2208" s="105" t="s">
        <v>198</v>
      </c>
      <c r="H2208" s="36">
        <v>713402643.72799504</v>
      </c>
      <c r="I2208" s="35" t="s">
        <v>1692</v>
      </c>
      <c r="J2208" s="37">
        <f t="shared" si="132"/>
        <v>0</v>
      </c>
      <c r="K2208" s="110">
        <f t="shared" si="133"/>
        <v>-23954147.948626637</v>
      </c>
      <c r="L2208" s="60"/>
      <c r="M2208" s="41"/>
      <c r="N2208" s="41"/>
      <c r="O2208" s="41"/>
    </row>
    <row r="2209" spans="1:15" s="7" customFormat="1" ht="18.75">
      <c r="A2209" s="56"/>
      <c r="B2209" s="109"/>
      <c r="C2209" s="62" t="s">
        <v>199</v>
      </c>
      <c r="D2209" s="103" t="s">
        <v>1693</v>
      </c>
      <c r="E2209" s="44">
        <v>44049</v>
      </c>
      <c r="F2209" s="104">
        <v>667614186.33000004</v>
      </c>
      <c r="G2209" s="105">
        <v>43897</v>
      </c>
      <c r="H2209" s="36">
        <v>667614186.33000004</v>
      </c>
      <c r="I2209" s="35" t="s">
        <v>586</v>
      </c>
      <c r="J2209" s="37">
        <f t="shared" si="132"/>
        <v>0</v>
      </c>
      <c r="K2209" s="110">
        <f t="shared" si="133"/>
        <v>-23954147.948626637</v>
      </c>
      <c r="L2209" s="60"/>
      <c r="M2209" s="41"/>
      <c r="N2209" s="41"/>
      <c r="O2209" s="41"/>
    </row>
    <row r="2210" spans="1:15" s="7" customFormat="1" ht="18.75">
      <c r="A2210" s="56"/>
      <c r="B2210" s="109"/>
      <c r="C2210" s="62" t="s">
        <v>201</v>
      </c>
      <c r="D2210" s="103" t="s">
        <v>1694</v>
      </c>
      <c r="E2210" s="44" t="s">
        <v>449</v>
      </c>
      <c r="F2210" s="104">
        <v>1267433653.1800001</v>
      </c>
      <c r="G2210" s="105">
        <v>44020</v>
      </c>
      <c r="H2210" s="36">
        <v>1267433653.1800001</v>
      </c>
      <c r="I2210" s="35" t="s">
        <v>1070</v>
      </c>
      <c r="J2210" s="37">
        <f t="shared" si="132"/>
        <v>0</v>
      </c>
      <c r="K2210" s="110">
        <f t="shared" si="133"/>
        <v>-23954147.948626637</v>
      </c>
      <c r="L2210" s="60"/>
      <c r="M2210" s="41"/>
      <c r="N2210" s="41"/>
      <c r="O2210" s="41"/>
    </row>
    <row r="2211" spans="1:15" s="7" customFormat="1" ht="18.75">
      <c r="A2211" s="56"/>
      <c r="B2211" s="109"/>
      <c r="C2211" s="62" t="s">
        <v>203</v>
      </c>
      <c r="D2211" s="103" t="s">
        <v>155</v>
      </c>
      <c r="E2211" s="44">
        <v>44020</v>
      </c>
      <c r="F2211" s="104">
        <v>1181856076.113915</v>
      </c>
      <c r="G2211" s="105" t="s">
        <v>1695</v>
      </c>
      <c r="H2211" s="36">
        <v>1181856076.113915</v>
      </c>
      <c r="I2211" s="35" t="s">
        <v>903</v>
      </c>
      <c r="J2211" s="37">
        <f t="shared" si="132"/>
        <v>0</v>
      </c>
      <c r="K2211" s="110">
        <f t="shared" si="133"/>
        <v>-23954147.948626637</v>
      </c>
      <c r="L2211" s="60"/>
      <c r="M2211" s="41"/>
      <c r="N2211" s="41"/>
      <c r="O2211" s="41"/>
    </row>
    <row r="2212" spans="1:15" s="7" customFormat="1" ht="18.75">
      <c r="A2212" s="56"/>
      <c r="B2212" s="109"/>
      <c r="C2212" s="62" t="s">
        <v>207</v>
      </c>
      <c r="D2212" s="103" t="s">
        <v>1696</v>
      </c>
      <c r="E2212" s="44" t="s">
        <v>292</v>
      </c>
      <c r="F2212" s="104">
        <v>1453355637.74</v>
      </c>
      <c r="G2212" s="105" t="s">
        <v>293</v>
      </c>
      <c r="H2212" s="36">
        <v>1453355637.74</v>
      </c>
      <c r="I2212" s="35" t="s">
        <v>602</v>
      </c>
      <c r="J2212" s="37">
        <f t="shared" si="132"/>
        <v>0</v>
      </c>
      <c r="K2212" s="110">
        <f t="shared" si="133"/>
        <v>-23954147.948626637</v>
      </c>
      <c r="L2212" s="60"/>
      <c r="M2212" s="41"/>
      <c r="N2212" s="41"/>
      <c r="O2212" s="41"/>
    </row>
    <row r="2213" spans="1:15" s="7" customFormat="1" ht="18.75">
      <c r="A2213" s="56"/>
      <c r="B2213" s="109"/>
      <c r="C2213" s="62" t="s">
        <v>212</v>
      </c>
      <c r="D2213" s="103" t="s">
        <v>1697</v>
      </c>
      <c r="E2213" s="44">
        <v>44084</v>
      </c>
      <c r="F2213" s="104">
        <v>748533577.40569806</v>
      </c>
      <c r="G2213" s="105" t="s">
        <v>213</v>
      </c>
      <c r="H2213" s="36">
        <v>748533577.40569806</v>
      </c>
      <c r="I2213" s="35" t="s">
        <v>1150</v>
      </c>
      <c r="J2213" s="37">
        <f t="shared" si="132"/>
        <v>0</v>
      </c>
      <c r="K2213" s="110">
        <f t="shared" si="133"/>
        <v>-23954147.948626637</v>
      </c>
      <c r="L2213" s="60"/>
      <c r="M2213" s="41"/>
      <c r="N2213" s="41"/>
      <c r="O2213" s="41"/>
    </row>
    <row r="2214" spans="1:15" s="7" customFormat="1" ht="18.75">
      <c r="A2214" s="56"/>
      <c r="B2214" s="109"/>
      <c r="C2214" s="62" t="s">
        <v>214</v>
      </c>
      <c r="D2214" s="103" t="s">
        <v>1698</v>
      </c>
      <c r="E2214" s="44">
        <v>43962</v>
      </c>
      <c r="F2214" s="104">
        <v>1125435281.1008177</v>
      </c>
      <c r="G2214" s="105" t="s">
        <v>216</v>
      </c>
      <c r="H2214" s="36">
        <v>1125435281.1008177</v>
      </c>
      <c r="I2214" s="44">
        <v>44531</v>
      </c>
      <c r="J2214" s="37">
        <f>F2214-H2214</f>
        <v>0</v>
      </c>
      <c r="K2214" s="110">
        <f t="shared" si="133"/>
        <v>-23954147.948626637</v>
      </c>
      <c r="L2214" s="60"/>
      <c r="M2214" s="41"/>
      <c r="N2214" s="41"/>
      <c r="O2214" s="41"/>
    </row>
    <row r="2215" spans="1:15" s="7" customFormat="1" ht="18.75">
      <c r="A2215" s="56"/>
      <c r="B2215" s="109"/>
      <c r="C2215" s="62" t="s">
        <v>218</v>
      </c>
      <c r="D2215" s="103" t="s">
        <v>1699</v>
      </c>
      <c r="E2215" s="44">
        <v>44024</v>
      </c>
      <c r="F2215" s="104">
        <v>834502473.63199461</v>
      </c>
      <c r="G2215" s="105">
        <v>44531</v>
      </c>
      <c r="H2215" s="36">
        <v>834502473.63199461</v>
      </c>
      <c r="I2215" s="35" t="s">
        <v>1700</v>
      </c>
      <c r="J2215" s="37">
        <f>F2215-H2215</f>
        <v>0</v>
      </c>
      <c r="K2215" s="110">
        <f t="shared" si="133"/>
        <v>-23954147.948626637</v>
      </c>
      <c r="L2215" s="60"/>
      <c r="M2215" s="41"/>
      <c r="N2215" s="41"/>
      <c r="O2215" s="41"/>
    </row>
    <row r="2216" spans="1:15" s="7" customFormat="1" ht="18.75">
      <c r="A2216" s="56"/>
      <c r="B2216" s="109"/>
      <c r="C2216" s="62" t="s">
        <v>219</v>
      </c>
      <c r="D2216" s="103" t="s">
        <v>117</v>
      </c>
      <c r="E2216" s="44">
        <v>44409</v>
      </c>
      <c r="F2216" s="104">
        <v>1132536495.6357846</v>
      </c>
      <c r="G2216" s="105" t="s">
        <v>220</v>
      </c>
      <c r="H2216" s="36">
        <v>1132536495.6357846</v>
      </c>
      <c r="I2216" s="35" t="s">
        <v>47</v>
      </c>
      <c r="J2216" s="37">
        <f>F2216-H2216</f>
        <v>0</v>
      </c>
      <c r="K2216" s="110">
        <f t="shared" si="133"/>
        <v>-23954147.948626637</v>
      </c>
      <c r="L2216" s="60"/>
      <c r="M2216" s="41"/>
      <c r="N2216" s="41"/>
      <c r="O2216" s="41"/>
    </row>
    <row r="2217" spans="1:15" s="7" customFormat="1" ht="18.75">
      <c r="A2217" s="56"/>
      <c r="B2217" s="109"/>
      <c r="C2217" s="62" t="s">
        <v>221</v>
      </c>
      <c r="D2217" s="103" t="s">
        <v>1701</v>
      </c>
      <c r="E2217" s="44">
        <v>44410</v>
      </c>
      <c r="F2217" s="104">
        <v>1170120866.2476499</v>
      </c>
      <c r="G2217" s="105" t="s">
        <v>93</v>
      </c>
      <c r="H2217" s="36">
        <v>1170120866.2476499</v>
      </c>
      <c r="I2217" s="35" t="s">
        <v>82</v>
      </c>
      <c r="J2217" s="37">
        <f>F2217-H2217</f>
        <v>0</v>
      </c>
      <c r="K2217" s="110">
        <f t="shared" si="133"/>
        <v>-23954147.948626637</v>
      </c>
      <c r="L2217" s="60"/>
      <c r="M2217" s="41"/>
      <c r="N2217" s="41"/>
      <c r="O2217" s="41"/>
    </row>
    <row r="2218" spans="1:15" s="7" customFormat="1" ht="18.75">
      <c r="A2218" s="56"/>
      <c r="B2218" s="109"/>
      <c r="C2218" s="62" t="s">
        <v>222</v>
      </c>
      <c r="D2218" s="103" t="s">
        <v>1702</v>
      </c>
      <c r="E2218" s="44">
        <v>44411</v>
      </c>
      <c r="F2218" s="104">
        <v>627431301.13350785</v>
      </c>
      <c r="G2218" s="105" t="s">
        <v>85</v>
      </c>
      <c r="H2218" s="36">
        <v>627431301.13350785</v>
      </c>
      <c r="I2218" s="35">
        <v>44200</v>
      </c>
      <c r="J2218" s="37">
        <f>F2218-H2218</f>
        <v>0</v>
      </c>
      <c r="K2218" s="110">
        <f t="shared" si="133"/>
        <v>-23954147.948626637</v>
      </c>
      <c r="L2218" s="60"/>
      <c r="M2218" s="41"/>
      <c r="N2218" s="41"/>
      <c r="O2218" s="41"/>
    </row>
    <row r="2219" spans="1:15" s="7" customFormat="1" ht="18.75">
      <c r="A2219" s="56"/>
      <c r="B2219" s="109" t="s">
        <v>1703</v>
      </c>
      <c r="C2219" s="102"/>
      <c r="D2219" s="32"/>
      <c r="E2219" s="44"/>
      <c r="F2219" s="34"/>
      <c r="G2219" s="35"/>
      <c r="H2219" s="91"/>
      <c r="I2219" s="35"/>
      <c r="J2219" s="37"/>
      <c r="K2219" s="116">
        <f t="shared" si="133"/>
        <v>-23954147.948626637</v>
      </c>
      <c r="L2219" s="60"/>
      <c r="M2219" s="41"/>
      <c r="N2219" s="41"/>
      <c r="O2219" s="41"/>
    </row>
    <row r="2220" spans="1:15" s="7" customFormat="1" ht="18.75">
      <c r="A2220" s="56"/>
      <c r="B2220" s="109"/>
      <c r="C2220" s="102"/>
      <c r="D2220" s="32"/>
      <c r="E2220" s="44"/>
      <c r="F2220" s="34"/>
      <c r="G2220" s="80"/>
      <c r="H2220" s="91"/>
      <c r="I2220" s="35"/>
      <c r="J2220" s="37"/>
      <c r="K2220" s="116"/>
      <c r="L2220" s="60"/>
      <c r="M2220" s="41"/>
      <c r="N2220" s="41"/>
      <c r="O2220" s="41"/>
    </row>
    <row r="2221" spans="1:15" s="7" customFormat="1" ht="18.75">
      <c r="A2221" s="56">
        <v>60</v>
      </c>
      <c r="B2221" s="30" t="s">
        <v>1704</v>
      </c>
      <c r="C2221" s="29" t="s">
        <v>562</v>
      </c>
      <c r="D2221" s="32" t="s">
        <v>1670</v>
      </c>
      <c r="E2221" s="44"/>
      <c r="F2221" s="95">
        <v>185600429.66</v>
      </c>
      <c r="G2221" s="98">
        <v>42922</v>
      </c>
      <c r="H2221" s="47">
        <v>185600429.66</v>
      </c>
      <c r="I2221" s="75"/>
      <c r="J2221" s="37">
        <f t="shared" ref="J2221:J2248" si="134">F2221-H2221</f>
        <v>0</v>
      </c>
      <c r="K2221" s="37">
        <v>0</v>
      </c>
      <c r="L2221" s="39"/>
      <c r="M2221" s="40"/>
      <c r="N2221" s="40"/>
      <c r="O2221" s="41"/>
    </row>
    <row r="2222" spans="1:15" s="7" customFormat="1" ht="18.75">
      <c r="A2222" s="56"/>
      <c r="B2222" s="30"/>
      <c r="C2222" s="29" t="s">
        <v>494</v>
      </c>
      <c r="D2222" s="32" t="s">
        <v>1671</v>
      </c>
      <c r="E2222" s="44"/>
      <c r="F2222" s="95">
        <v>157996601.15000001</v>
      </c>
      <c r="G2222" s="98" t="s">
        <v>672</v>
      </c>
      <c r="H2222" s="47">
        <v>157996601.15000001</v>
      </c>
      <c r="I2222" s="75"/>
      <c r="J2222" s="37">
        <f t="shared" si="134"/>
        <v>0</v>
      </c>
      <c r="K2222" s="37">
        <f t="shared" ref="K2222:K2248" si="135">K2221+J2221</f>
        <v>0</v>
      </c>
      <c r="L2222" s="39"/>
      <c r="M2222" s="40"/>
      <c r="N2222" s="40"/>
      <c r="O2222" s="41"/>
    </row>
    <row r="2223" spans="1:15" s="7" customFormat="1" ht="18.75">
      <c r="A2223" s="56"/>
      <c r="B2223" s="30"/>
      <c r="C2223" s="29" t="s">
        <v>497</v>
      </c>
      <c r="D2223" s="32" t="s">
        <v>1705</v>
      </c>
      <c r="E2223" s="44"/>
      <c r="F2223" s="95">
        <v>161723901.11000001</v>
      </c>
      <c r="G2223" s="98" t="s">
        <v>674</v>
      </c>
      <c r="H2223" s="54">
        <v>161723901.11000001</v>
      </c>
      <c r="I2223" s="75"/>
      <c r="J2223" s="37">
        <f t="shared" si="134"/>
        <v>0</v>
      </c>
      <c r="K2223" s="37">
        <f t="shared" si="135"/>
        <v>0</v>
      </c>
      <c r="L2223" s="39"/>
      <c r="M2223" s="40"/>
      <c r="N2223" s="40"/>
      <c r="O2223" s="41"/>
    </row>
    <row r="2224" spans="1:15" s="7" customFormat="1" ht="18.75">
      <c r="A2224" s="56"/>
      <c r="B2224" s="30"/>
      <c r="C2224" s="29" t="s">
        <v>564</v>
      </c>
      <c r="D2224" s="32" t="s">
        <v>1706</v>
      </c>
      <c r="E2224" s="44"/>
      <c r="F2224" s="95">
        <v>162738937.97999999</v>
      </c>
      <c r="G2224" s="98">
        <v>43038</v>
      </c>
      <c r="H2224" s="47">
        <v>162738937.97999999</v>
      </c>
      <c r="I2224" s="75" t="s">
        <v>1655</v>
      </c>
      <c r="J2224" s="37">
        <f t="shared" si="134"/>
        <v>0</v>
      </c>
      <c r="K2224" s="37">
        <f t="shared" si="135"/>
        <v>0</v>
      </c>
      <c r="L2224" s="39"/>
      <c r="M2224" s="40"/>
      <c r="N2224" s="40"/>
      <c r="O2224" s="41"/>
    </row>
    <row r="2225" spans="1:15" s="7" customFormat="1" ht="18.75">
      <c r="A2225" s="56"/>
      <c r="B2225" s="30"/>
      <c r="C2225" s="29" t="s">
        <v>504</v>
      </c>
      <c r="D2225" s="32" t="s">
        <v>1707</v>
      </c>
      <c r="E2225" s="44"/>
      <c r="F2225" s="95">
        <v>131756984.87</v>
      </c>
      <c r="G2225" s="75">
        <v>43222</v>
      </c>
      <c r="H2225" s="54">
        <v>131745651.19999999</v>
      </c>
      <c r="I2225" s="75"/>
      <c r="J2225" s="37">
        <f t="shared" si="134"/>
        <v>11333.670000016689</v>
      </c>
      <c r="K2225" s="37">
        <f t="shared" si="135"/>
        <v>0</v>
      </c>
      <c r="L2225" s="39"/>
      <c r="M2225" s="40"/>
      <c r="N2225" s="40"/>
      <c r="O2225" s="41"/>
    </row>
    <row r="2226" spans="1:15" s="7" customFormat="1" ht="18.75">
      <c r="A2226" s="56"/>
      <c r="B2226" s="30"/>
      <c r="C2226" s="29" t="s">
        <v>355</v>
      </c>
      <c r="D2226" s="32" t="s">
        <v>1708</v>
      </c>
      <c r="E2226" s="44"/>
      <c r="F2226" s="95">
        <v>171149923.60737598</v>
      </c>
      <c r="G2226" s="75" t="s">
        <v>510</v>
      </c>
      <c r="H2226" s="54">
        <v>171149923.61142492</v>
      </c>
      <c r="I2226" s="75"/>
      <c r="J2226" s="37">
        <f t="shared" si="134"/>
        <v>-4.0489435195922852E-3</v>
      </c>
      <c r="K2226" s="37">
        <f t="shared" si="135"/>
        <v>11333.670000016689</v>
      </c>
      <c r="L2226" s="39"/>
      <c r="M2226" s="40"/>
      <c r="N2226" s="40"/>
      <c r="O2226" s="41"/>
    </row>
    <row r="2227" spans="1:15" s="7" customFormat="1" ht="18.75">
      <c r="A2227" s="56"/>
      <c r="B2227" s="30"/>
      <c r="C2227" s="31" t="s">
        <v>234</v>
      </c>
      <c r="D2227" s="32" t="s">
        <v>1709</v>
      </c>
      <c r="E2227" s="44"/>
      <c r="F2227" s="95">
        <v>138133318.91</v>
      </c>
      <c r="G2227" s="75" t="s">
        <v>755</v>
      </c>
      <c r="H2227" s="47">
        <v>138133318.9092885</v>
      </c>
      <c r="I2227" s="75" t="s">
        <v>507</v>
      </c>
      <c r="J2227" s="37">
        <f t="shared" si="134"/>
        <v>7.1150064468383789E-4</v>
      </c>
      <c r="K2227" s="37">
        <f t="shared" si="135"/>
        <v>11333.66595107317</v>
      </c>
      <c r="L2227" s="39"/>
      <c r="M2227" s="40"/>
      <c r="N2227" s="40"/>
      <c r="O2227" s="41"/>
    </row>
    <row r="2228" spans="1:15" s="7" customFormat="1" ht="18.75">
      <c r="A2228" s="56"/>
      <c r="B2228" s="30"/>
      <c r="C2228" s="31" t="s">
        <v>514</v>
      </c>
      <c r="D2228" s="32" t="s">
        <v>1710</v>
      </c>
      <c r="E2228" s="44"/>
      <c r="F2228" s="95">
        <v>233057830.26909596</v>
      </c>
      <c r="G2228" s="75" t="s">
        <v>687</v>
      </c>
      <c r="H2228" s="47">
        <v>233057830.26909599</v>
      </c>
      <c r="I2228" s="75" t="s">
        <v>507</v>
      </c>
      <c r="J2228" s="37">
        <f t="shared" si="134"/>
        <v>0</v>
      </c>
      <c r="K2228" s="37">
        <f t="shared" si="135"/>
        <v>11333.666662573814</v>
      </c>
      <c r="L2228" s="131">
        <f>F2205+F2239</f>
        <v>1118038168.8055754</v>
      </c>
      <c r="M2228" s="40"/>
      <c r="N2228" s="40"/>
      <c r="O2228" s="41"/>
    </row>
    <row r="2229" spans="1:15" s="7" customFormat="1" ht="18.75">
      <c r="A2229" s="56"/>
      <c r="B2229" s="30"/>
      <c r="C2229" s="102" t="s">
        <v>238</v>
      </c>
      <c r="D2229" s="32" t="s">
        <v>1711</v>
      </c>
      <c r="E2229" s="44"/>
      <c r="F2229" s="95">
        <v>170384153.27484599</v>
      </c>
      <c r="G2229" s="75" t="s">
        <v>690</v>
      </c>
      <c r="H2229" s="36">
        <v>170384153.27484602</v>
      </c>
      <c r="I2229" s="75" t="s">
        <v>143</v>
      </c>
      <c r="J2229" s="37">
        <f t="shared" si="134"/>
        <v>0</v>
      </c>
      <c r="K2229" s="37">
        <f t="shared" si="135"/>
        <v>11333.666662573814</v>
      </c>
      <c r="L2229" s="39">
        <f>F2241+F2207+F2242</f>
        <v>1405190125.8263912</v>
      </c>
      <c r="M2229" s="40"/>
      <c r="N2229" s="40"/>
      <c r="O2229" s="41"/>
    </row>
    <row r="2230" spans="1:15" s="7" customFormat="1" ht="18.75">
      <c r="A2230" s="56"/>
      <c r="B2230" s="30"/>
      <c r="C2230" s="102" t="s">
        <v>517</v>
      </c>
      <c r="D2230" s="32" t="s">
        <v>1712</v>
      </c>
      <c r="E2230" s="44"/>
      <c r="F2230" s="95">
        <v>70566330.305393994</v>
      </c>
      <c r="G2230" s="75" t="s">
        <v>693</v>
      </c>
      <c r="H2230" s="36">
        <v>70566330.305393994</v>
      </c>
      <c r="I2230" s="75"/>
      <c r="J2230" s="37">
        <f t="shared" si="134"/>
        <v>0</v>
      </c>
      <c r="K2230" s="37">
        <f t="shared" si="135"/>
        <v>11333.666662573814</v>
      </c>
      <c r="L2230" s="39">
        <f>F2206+F2240</f>
        <v>1203700131.8765087</v>
      </c>
      <c r="M2230" s="40"/>
      <c r="N2230" s="40"/>
      <c r="O2230" s="41"/>
    </row>
    <row r="2231" spans="1:15" s="7" customFormat="1" ht="18.75">
      <c r="A2231" s="56"/>
      <c r="B2231" s="30"/>
      <c r="C2231" s="102" t="s">
        <v>243</v>
      </c>
      <c r="D2231" s="32" t="s">
        <v>1713</v>
      </c>
      <c r="E2231" s="44"/>
      <c r="F2231" s="95">
        <v>73433876.881049991</v>
      </c>
      <c r="G2231" s="75" t="s">
        <v>424</v>
      </c>
      <c r="H2231" s="36">
        <v>73427838.055306107</v>
      </c>
      <c r="I2231" s="75"/>
      <c r="J2231" s="37">
        <f t="shared" si="134"/>
        <v>6038.8257438838482</v>
      </c>
      <c r="K2231" s="37">
        <f t="shared" si="135"/>
        <v>11333.666662573814</v>
      </c>
      <c r="L2231" s="39"/>
      <c r="M2231" s="40"/>
      <c r="N2231" s="40"/>
      <c r="O2231" s="41"/>
    </row>
    <row r="2232" spans="1:15" s="7" customFormat="1" ht="18.75">
      <c r="A2232" s="56"/>
      <c r="B2232" s="30"/>
      <c r="C2232" s="102" t="s">
        <v>1175</v>
      </c>
      <c r="D2232" s="32" t="s">
        <v>1683</v>
      </c>
      <c r="E2232" s="44"/>
      <c r="F2232" s="95">
        <v>137908741.84256402</v>
      </c>
      <c r="G2232" s="75"/>
      <c r="H2232" s="36">
        <v>137908741.84256402</v>
      </c>
      <c r="I2232" s="75"/>
      <c r="J2232" s="37">
        <f t="shared" si="134"/>
        <v>0</v>
      </c>
      <c r="K2232" s="37">
        <f t="shared" si="135"/>
        <v>17372.492406457663</v>
      </c>
      <c r="L2232" s="131">
        <v>1142712124.0599999</v>
      </c>
      <c r="M2232" s="40"/>
      <c r="N2232" s="40"/>
      <c r="O2232" s="41"/>
    </row>
    <row r="2233" spans="1:15" s="7" customFormat="1" ht="18.75">
      <c r="A2233" s="56"/>
      <c r="B2233" s="30"/>
      <c r="C2233" s="111" t="s">
        <v>142</v>
      </c>
      <c r="D2233" s="32" t="s">
        <v>1684</v>
      </c>
      <c r="E2233" s="44"/>
      <c r="F2233" s="95">
        <v>75214531.705540493</v>
      </c>
      <c r="G2233" s="75" t="s">
        <v>652</v>
      </c>
      <c r="H2233" s="36">
        <v>75214531.709999993</v>
      </c>
      <c r="I2233" s="75" t="s">
        <v>256</v>
      </c>
      <c r="J2233" s="37">
        <f t="shared" si="134"/>
        <v>-4.4595003128051758E-3</v>
      </c>
      <c r="K2233" s="37">
        <f t="shared" si="135"/>
        <v>17372.492406457663</v>
      </c>
      <c r="L2233" s="39"/>
      <c r="M2233" s="40"/>
      <c r="N2233" s="40"/>
      <c r="O2233" s="41"/>
    </row>
    <row r="2234" spans="1:15" s="7" customFormat="1" ht="18.75">
      <c r="A2234" s="56"/>
      <c r="B2234" s="30"/>
      <c r="C2234" s="111" t="s">
        <v>145</v>
      </c>
      <c r="D2234" s="32" t="s">
        <v>1686</v>
      </c>
      <c r="E2234" s="44"/>
      <c r="F2234" s="95">
        <v>132845590.1393145</v>
      </c>
      <c r="G2234" s="75" t="s">
        <v>1138</v>
      </c>
      <c r="H2234" s="36">
        <v>132845590.1393145</v>
      </c>
      <c r="I2234" s="75" t="s">
        <v>1104</v>
      </c>
      <c r="J2234" s="37">
        <f t="shared" si="134"/>
        <v>0</v>
      </c>
      <c r="K2234" s="37">
        <f t="shared" si="135"/>
        <v>17372.48794695735</v>
      </c>
      <c r="L2234" s="39"/>
      <c r="M2234" s="40"/>
      <c r="N2234" s="40"/>
      <c r="O2234" s="41"/>
    </row>
    <row r="2235" spans="1:15" s="7" customFormat="1" ht="18.75">
      <c r="A2235" s="56"/>
      <c r="B2235" s="30"/>
      <c r="C2235" s="111" t="s">
        <v>148</v>
      </c>
      <c r="D2235" s="32" t="s">
        <v>1687</v>
      </c>
      <c r="E2235" s="44"/>
      <c r="F2235" s="95">
        <v>114081830.44924051</v>
      </c>
      <c r="G2235" s="75" t="s">
        <v>433</v>
      </c>
      <c r="H2235" s="36">
        <v>114081830.44924052</v>
      </c>
      <c r="I2235" s="75" t="s">
        <v>1104</v>
      </c>
      <c r="J2235" s="37">
        <f t="shared" si="134"/>
        <v>0</v>
      </c>
      <c r="K2235" s="37">
        <f t="shared" si="135"/>
        <v>17372.48794695735</v>
      </c>
      <c r="L2235" s="39">
        <v>748533577.40569806</v>
      </c>
      <c r="M2235" s="40"/>
      <c r="N2235" s="40"/>
      <c r="O2235" s="41"/>
    </row>
    <row r="2236" spans="1:15" s="7" customFormat="1" ht="18.75">
      <c r="A2236" s="56"/>
      <c r="B2236" s="30"/>
      <c r="C2236" s="111" t="s">
        <v>151</v>
      </c>
      <c r="D2236" s="32" t="s">
        <v>1688</v>
      </c>
      <c r="E2236" s="44"/>
      <c r="F2236" s="95">
        <v>48619786.419203997</v>
      </c>
      <c r="G2236" s="75" t="s">
        <v>152</v>
      </c>
      <c r="H2236" s="36">
        <v>48619786.419204004</v>
      </c>
      <c r="I2236" s="75" t="s">
        <v>527</v>
      </c>
      <c r="J2236" s="37">
        <f t="shared" si="134"/>
        <v>0</v>
      </c>
      <c r="K2236" s="37">
        <f t="shared" si="135"/>
        <v>17372.48794695735</v>
      </c>
      <c r="L2236" s="39">
        <v>11691804.140000001</v>
      </c>
      <c r="M2236" s="40"/>
      <c r="N2236" s="40"/>
      <c r="O2236" s="41"/>
    </row>
    <row r="2237" spans="1:15" s="7" customFormat="1" ht="18.75">
      <c r="A2237" s="56"/>
      <c r="B2237" s="30"/>
      <c r="C2237" s="111" t="s">
        <v>154</v>
      </c>
      <c r="D2237" s="32" t="s">
        <v>1689</v>
      </c>
      <c r="E2237" s="44"/>
      <c r="F2237" s="95">
        <v>186305387.03205451</v>
      </c>
      <c r="G2237" s="75" t="s">
        <v>156</v>
      </c>
      <c r="H2237" s="36">
        <v>186305387.03205451</v>
      </c>
      <c r="I2237" s="75" t="s">
        <v>527</v>
      </c>
      <c r="J2237" s="37">
        <f t="shared" si="134"/>
        <v>0</v>
      </c>
      <c r="K2237" s="37">
        <f t="shared" si="135"/>
        <v>17372.48794695735</v>
      </c>
      <c r="L2237" s="39">
        <v>5693291.3099999996</v>
      </c>
      <c r="M2237" s="40"/>
      <c r="N2237" s="40"/>
      <c r="O2237" s="41"/>
    </row>
    <row r="2238" spans="1:15" s="7" customFormat="1" ht="18.75">
      <c r="A2238" s="56"/>
      <c r="B2238" s="30"/>
      <c r="C2238" s="111" t="s">
        <v>158</v>
      </c>
      <c r="D2238" s="32" t="s">
        <v>1690</v>
      </c>
      <c r="E2238" s="44"/>
      <c r="F2238" s="95">
        <v>58398339.184037998</v>
      </c>
      <c r="G2238" s="75" t="s">
        <v>160</v>
      </c>
      <c r="H2238" s="36">
        <v>58398339.184037998</v>
      </c>
      <c r="I2238" s="75" t="s">
        <v>1680</v>
      </c>
      <c r="J2238" s="37">
        <f t="shared" si="134"/>
        <v>0</v>
      </c>
      <c r="K2238" s="37">
        <f t="shared" si="135"/>
        <v>17372.48794695735</v>
      </c>
      <c r="L2238" s="39">
        <v>5974703.4800000004</v>
      </c>
      <c r="M2238" s="40"/>
      <c r="N2238" s="40"/>
      <c r="O2238" s="41"/>
    </row>
    <row r="2239" spans="1:15" s="7" customFormat="1" ht="18.75">
      <c r="A2239" s="56"/>
      <c r="B2239" s="30"/>
      <c r="C2239" s="111" t="s">
        <v>185</v>
      </c>
      <c r="D2239" s="32" t="s">
        <v>1691</v>
      </c>
      <c r="E2239" s="44"/>
      <c r="F2239" s="95">
        <v>81732065.794375509</v>
      </c>
      <c r="G2239" s="75" t="s">
        <v>187</v>
      </c>
      <c r="H2239" s="36">
        <v>81732065.794375509</v>
      </c>
      <c r="I2239" s="75" t="s">
        <v>1618</v>
      </c>
      <c r="J2239" s="37">
        <f t="shared" si="134"/>
        <v>0</v>
      </c>
      <c r="K2239" s="37">
        <f t="shared" si="135"/>
        <v>17372.48794695735</v>
      </c>
      <c r="L2239" s="39">
        <v>26545554.780000001</v>
      </c>
      <c r="M2239" s="40"/>
      <c r="N2239" s="40"/>
      <c r="O2239" s="41"/>
    </row>
    <row r="2240" spans="1:15" s="7" customFormat="1" ht="18.75">
      <c r="A2240" s="56"/>
      <c r="B2240" s="30"/>
      <c r="C2240" s="111" t="s">
        <v>189</v>
      </c>
      <c r="D2240" s="32" t="s">
        <v>1714</v>
      </c>
      <c r="E2240" s="44"/>
      <c r="F2240" s="95">
        <v>152016440.58255851</v>
      </c>
      <c r="G2240" s="75" t="s">
        <v>377</v>
      </c>
      <c r="H2240" s="36">
        <v>152016440.58255851</v>
      </c>
      <c r="I2240" s="75" t="s">
        <v>732</v>
      </c>
      <c r="J2240" s="37">
        <f t="shared" si="134"/>
        <v>0</v>
      </c>
      <c r="K2240" s="37">
        <f t="shared" si="135"/>
        <v>17372.48794695735</v>
      </c>
      <c r="L2240" s="39">
        <v>34050511.759999998</v>
      </c>
      <c r="M2240" s="40"/>
      <c r="N2240" s="40"/>
      <c r="O2240" s="41"/>
    </row>
    <row r="2241" spans="1:15" s="7" customFormat="1" ht="18.75">
      <c r="A2241" s="56"/>
      <c r="B2241" s="30"/>
      <c r="C2241" s="111" t="s">
        <v>191</v>
      </c>
      <c r="D2241" s="32" t="s">
        <v>1715</v>
      </c>
      <c r="E2241" s="44">
        <v>43986</v>
      </c>
      <c r="F2241" s="95">
        <v>168831862.40179101</v>
      </c>
      <c r="G2241" s="75" t="s">
        <v>193</v>
      </c>
      <c r="H2241" s="36">
        <v>168831862.40179101</v>
      </c>
      <c r="I2241" s="75" t="s">
        <v>735</v>
      </c>
      <c r="J2241" s="37">
        <f t="shared" si="134"/>
        <v>0</v>
      </c>
      <c r="K2241" s="37">
        <f t="shared" si="135"/>
        <v>17372.48794695735</v>
      </c>
      <c r="L2241" s="39">
        <v>37010959.282039747</v>
      </c>
      <c r="M2241" s="40"/>
      <c r="N2241" s="40"/>
      <c r="O2241" s="41"/>
    </row>
    <row r="2242" spans="1:15" s="7" customFormat="1" ht="18.75">
      <c r="A2242" s="56"/>
      <c r="B2242" s="30"/>
      <c r="C2242" s="111" t="s">
        <v>195</v>
      </c>
      <c r="D2242" s="32" t="s">
        <v>1716</v>
      </c>
      <c r="E2242" s="44" t="s">
        <v>197</v>
      </c>
      <c r="F2242" s="95">
        <v>11691804.140000001</v>
      </c>
      <c r="G2242" s="75" t="s">
        <v>198</v>
      </c>
      <c r="H2242" s="36">
        <v>11691804.140000001</v>
      </c>
      <c r="I2242" s="75" t="s">
        <v>735</v>
      </c>
      <c r="J2242" s="37">
        <f t="shared" si="134"/>
        <v>0</v>
      </c>
      <c r="K2242" s="37">
        <f t="shared" si="135"/>
        <v>17372.48794695735</v>
      </c>
      <c r="L2242" s="39">
        <v>160625277.96732649</v>
      </c>
      <c r="M2242" s="40"/>
      <c r="N2242" s="40"/>
      <c r="O2242" s="41"/>
    </row>
    <row r="2243" spans="1:15" s="7" customFormat="1" ht="18.75">
      <c r="A2243" s="56"/>
      <c r="B2243" s="30"/>
      <c r="C2243" s="111" t="s">
        <v>199</v>
      </c>
      <c r="D2243" s="32" t="s">
        <v>1696</v>
      </c>
      <c r="E2243" s="44" t="s">
        <v>736</v>
      </c>
      <c r="F2243" s="95">
        <v>5693291.3099999996</v>
      </c>
      <c r="G2243" s="75" t="s">
        <v>602</v>
      </c>
      <c r="H2243" s="36">
        <v>5693291.3099999996</v>
      </c>
      <c r="I2243" s="75" t="s">
        <v>1150</v>
      </c>
      <c r="J2243" s="37">
        <f t="shared" si="134"/>
        <v>0</v>
      </c>
      <c r="K2243" s="37">
        <f t="shared" si="135"/>
        <v>17372.48794695735</v>
      </c>
      <c r="L2243" s="311">
        <f>SUM(L2235:L2242)</f>
        <v>1030125680.1250643</v>
      </c>
      <c r="M2243" s="40"/>
      <c r="N2243" s="40"/>
      <c r="O2243" s="41"/>
    </row>
    <row r="2244" spans="1:15" s="7" customFormat="1" ht="18.75">
      <c r="A2244" s="56"/>
      <c r="B2244" s="30"/>
      <c r="C2244" s="111" t="s">
        <v>201</v>
      </c>
      <c r="D2244" s="32" t="s">
        <v>1697</v>
      </c>
      <c r="E2244" s="44" t="s">
        <v>736</v>
      </c>
      <c r="F2244" s="95">
        <v>5974703.4800000004</v>
      </c>
      <c r="G2244" s="75" t="s">
        <v>602</v>
      </c>
      <c r="H2244" s="36">
        <v>5974703.4800000004</v>
      </c>
      <c r="I2244" s="75" t="s">
        <v>1150</v>
      </c>
      <c r="J2244" s="37">
        <f t="shared" si="134"/>
        <v>0</v>
      </c>
      <c r="K2244" s="37">
        <f t="shared" si="135"/>
        <v>17372.48794695735</v>
      </c>
      <c r="L2244" s="39"/>
      <c r="M2244" s="40"/>
      <c r="N2244" s="40"/>
      <c r="O2244" s="41"/>
    </row>
    <row r="2245" spans="1:15" s="7" customFormat="1" ht="18.75">
      <c r="A2245" s="56"/>
      <c r="B2245" s="30"/>
      <c r="C2245" s="111" t="s">
        <v>203</v>
      </c>
      <c r="D2245" s="32" t="s">
        <v>1698</v>
      </c>
      <c r="E2245" s="44" t="s">
        <v>736</v>
      </c>
      <c r="F2245" s="95">
        <v>26545554.780000001</v>
      </c>
      <c r="G2245" s="75" t="s">
        <v>602</v>
      </c>
      <c r="H2245" s="36">
        <v>26545554.780000001</v>
      </c>
      <c r="I2245" s="75" t="s">
        <v>1150</v>
      </c>
      <c r="J2245" s="37">
        <f t="shared" si="134"/>
        <v>0</v>
      </c>
      <c r="K2245" s="37">
        <f t="shared" si="135"/>
        <v>17372.48794695735</v>
      </c>
      <c r="L2245" s="39"/>
      <c r="M2245" s="40"/>
      <c r="N2245" s="40"/>
      <c r="O2245" s="41"/>
    </row>
    <row r="2246" spans="1:15" s="7" customFormat="1" ht="18.75">
      <c r="A2246" s="56"/>
      <c r="B2246" s="30"/>
      <c r="C2246" s="111" t="s">
        <v>207</v>
      </c>
      <c r="D2246" s="32" t="s">
        <v>1699</v>
      </c>
      <c r="E2246" s="44" t="s">
        <v>736</v>
      </c>
      <c r="F2246" s="95">
        <v>34050511.759999998</v>
      </c>
      <c r="G2246" s="75" t="s">
        <v>602</v>
      </c>
      <c r="H2246" s="36">
        <v>34050511.759999998</v>
      </c>
      <c r="I2246" s="75" t="s">
        <v>1150</v>
      </c>
      <c r="J2246" s="37">
        <f t="shared" si="134"/>
        <v>0</v>
      </c>
      <c r="K2246" s="37">
        <f t="shared" si="135"/>
        <v>17372.48794695735</v>
      </c>
      <c r="L2246" s="39"/>
      <c r="M2246" s="40"/>
      <c r="N2246" s="40"/>
      <c r="O2246" s="41"/>
    </row>
    <row r="2247" spans="1:15" s="7" customFormat="1" ht="18.75">
      <c r="A2247" s="56"/>
      <c r="B2247" s="30"/>
      <c r="C2247" s="111" t="s">
        <v>212</v>
      </c>
      <c r="D2247" s="32" t="s">
        <v>1696</v>
      </c>
      <c r="E2247" s="44" t="s">
        <v>1717</v>
      </c>
      <c r="F2247" s="95">
        <v>37010959.282039747</v>
      </c>
      <c r="G2247" s="75" t="s">
        <v>213</v>
      </c>
      <c r="H2247" s="36">
        <v>37010959.282039747</v>
      </c>
      <c r="I2247" s="75" t="s">
        <v>1150</v>
      </c>
      <c r="J2247" s="37">
        <f t="shared" si="134"/>
        <v>0</v>
      </c>
      <c r="K2247" s="37">
        <f t="shared" si="135"/>
        <v>17372.48794695735</v>
      </c>
      <c r="L2247" s="39"/>
      <c r="M2247" s="40"/>
      <c r="N2247" s="40"/>
      <c r="O2247" s="41"/>
    </row>
    <row r="2248" spans="1:15" s="7" customFormat="1" ht="18.75">
      <c r="A2248" s="56"/>
      <c r="B2248" s="30"/>
      <c r="C2248" s="111" t="s">
        <v>214</v>
      </c>
      <c r="D2248" s="32" t="s">
        <v>1697</v>
      </c>
      <c r="E2248" s="44">
        <v>43962</v>
      </c>
      <c r="F2248" s="95">
        <v>160625277.96732649</v>
      </c>
      <c r="G2248" s="75" t="s">
        <v>216</v>
      </c>
      <c r="H2248" s="36">
        <v>160625277.96732649</v>
      </c>
      <c r="I2248" s="75" t="s">
        <v>1150</v>
      </c>
      <c r="J2248" s="37">
        <f t="shared" si="134"/>
        <v>0</v>
      </c>
      <c r="K2248" s="37">
        <f t="shared" si="135"/>
        <v>17372.48794695735</v>
      </c>
      <c r="L2248" s="39"/>
      <c r="M2248" s="40"/>
      <c r="N2248" s="40"/>
      <c r="O2248" s="41"/>
    </row>
    <row r="2249" spans="1:15" s="7" customFormat="1" ht="18.75">
      <c r="A2249" s="56"/>
      <c r="B2249" s="30"/>
      <c r="C2249" s="111" t="s">
        <v>218</v>
      </c>
      <c r="D2249" s="32" t="s">
        <v>1698</v>
      </c>
      <c r="E2249" s="44">
        <v>44024</v>
      </c>
      <c r="F2249" s="95">
        <v>293969485.69523299</v>
      </c>
      <c r="G2249" s="75">
        <v>44531</v>
      </c>
      <c r="H2249" s="36">
        <v>293969485.69523299</v>
      </c>
      <c r="I2249" s="75" t="s">
        <v>1700</v>
      </c>
      <c r="J2249" s="37">
        <f>F2249-H2249</f>
        <v>0</v>
      </c>
      <c r="K2249" s="37">
        <f>K2248+J2248</f>
        <v>17372.48794695735</v>
      </c>
      <c r="L2249" s="39"/>
      <c r="M2249" s="40"/>
      <c r="N2249" s="40"/>
      <c r="O2249" s="41"/>
    </row>
    <row r="2250" spans="1:15" s="7" customFormat="1" ht="18.75">
      <c r="A2250" s="56"/>
      <c r="B2250" s="30"/>
      <c r="C2250" s="111" t="s">
        <v>219</v>
      </c>
      <c r="D2250" s="32" t="s">
        <v>1699</v>
      </c>
      <c r="E2250" s="44">
        <v>44409</v>
      </c>
      <c r="F2250" s="95">
        <v>299628699.27059829</v>
      </c>
      <c r="G2250" s="75" t="s">
        <v>220</v>
      </c>
      <c r="H2250" s="36">
        <v>299628699.27059829</v>
      </c>
      <c r="I2250" s="75" t="s">
        <v>1700</v>
      </c>
      <c r="J2250" s="37">
        <f>F2250-H2250</f>
        <v>0</v>
      </c>
      <c r="K2250" s="37">
        <f>K2249+J2249</f>
        <v>17372.48794695735</v>
      </c>
      <c r="L2250" s="39"/>
      <c r="M2250" s="40"/>
      <c r="N2250" s="40"/>
      <c r="O2250" s="41"/>
    </row>
    <row r="2251" spans="1:15" s="7" customFormat="1" ht="18.75">
      <c r="A2251" s="56"/>
      <c r="B2251" s="30"/>
      <c r="C2251" s="111" t="s">
        <v>221</v>
      </c>
      <c r="D2251" s="32" t="s">
        <v>117</v>
      </c>
      <c r="E2251" s="44">
        <v>0</v>
      </c>
      <c r="F2251" s="95">
        <v>254234923.42574552</v>
      </c>
      <c r="G2251" s="75" t="s">
        <v>93</v>
      </c>
      <c r="H2251" s="36">
        <v>154861263.64234999</v>
      </c>
      <c r="I2251" s="75" t="s">
        <v>82</v>
      </c>
      <c r="J2251" s="37">
        <f>F2251-H2251</f>
        <v>99373659.783395529</v>
      </c>
      <c r="K2251" s="37">
        <f>K2250+J2250</f>
        <v>17372.48794695735</v>
      </c>
      <c r="L2251" s="39"/>
      <c r="M2251" s="40"/>
      <c r="N2251" s="40"/>
      <c r="O2251" s="41"/>
    </row>
    <row r="2252" spans="1:15" s="7" customFormat="1" ht="18.75">
      <c r="A2252" s="56"/>
      <c r="B2252" s="30"/>
      <c r="C2252" s="111" t="s">
        <v>222</v>
      </c>
      <c r="D2252" s="32" t="s">
        <v>1701</v>
      </c>
      <c r="E2252" s="44">
        <v>44319</v>
      </c>
      <c r="F2252" s="95">
        <v>187324300.33230647</v>
      </c>
      <c r="G2252" s="75" t="s">
        <v>224</v>
      </c>
      <c r="H2252" s="36">
        <v>130480886.20649201</v>
      </c>
      <c r="I2252" s="75">
        <v>44200</v>
      </c>
      <c r="J2252" s="37">
        <f>F2252-H2252</f>
        <v>56843414.125814468</v>
      </c>
      <c r="K2252" s="37">
        <f>K2251+J2251</f>
        <v>99391032.271342486</v>
      </c>
      <c r="L2252" s="39"/>
      <c r="M2252" s="40"/>
      <c r="N2252" s="40"/>
      <c r="O2252" s="41"/>
    </row>
    <row r="2253" spans="1:15" s="7" customFormat="1" ht="18.75">
      <c r="A2253" s="56"/>
      <c r="B2253" s="30" t="s">
        <v>1718</v>
      </c>
      <c r="C2253" s="31"/>
      <c r="D2253" s="32"/>
      <c r="E2253" s="44"/>
      <c r="F2253" s="34"/>
      <c r="G2253" s="35"/>
      <c r="H2253" s="87"/>
      <c r="I2253" s="35"/>
      <c r="J2253" s="37"/>
      <c r="K2253" s="38">
        <f>K2252+J2252</f>
        <v>156234446.39715695</v>
      </c>
      <c r="L2253" s="39"/>
      <c r="M2253" s="40"/>
      <c r="N2253" s="40"/>
      <c r="O2253" s="41"/>
    </row>
    <row r="2254" spans="1:15" s="7" customFormat="1" ht="18.75">
      <c r="A2254" s="56"/>
      <c r="B2254" s="30"/>
      <c r="C2254" s="31"/>
      <c r="D2254" s="32"/>
      <c r="E2254" s="44"/>
      <c r="F2254" s="86"/>
      <c r="G2254" s="35"/>
      <c r="H2254" s="87"/>
      <c r="I2254" s="35"/>
      <c r="J2254" s="37"/>
      <c r="K2254" s="38"/>
      <c r="L2254" s="39"/>
      <c r="M2254" s="40"/>
      <c r="N2254" s="40"/>
      <c r="O2254" s="41"/>
    </row>
    <row r="2255" spans="1:15" s="7" customFormat="1" ht="18.75">
      <c r="A2255" s="81">
        <v>61</v>
      </c>
      <c r="B2255" s="57" t="s">
        <v>118</v>
      </c>
      <c r="C2255" s="41" t="s">
        <v>1719</v>
      </c>
      <c r="D2255" s="32"/>
      <c r="E2255" s="44"/>
      <c r="F2255" s="86">
        <v>2090220000</v>
      </c>
      <c r="G2255" s="76"/>
      <c r="H2255" s="208">
        <f>531513085.74+53748514.29+53748514.29+53748514.29+53748514.29+53748514.29</f>
        <v>800255657.18999982</v>
      </c>
      <c r="I2255" s="35"/>
      <c r="J2255" s="37">
        <f t="shared" ref="J2255:J2281" si="136">F2255-H2255</f>
        <v>1289964342.8100002</v>
      </c>
      <c r="K2255" s="116">
        <v>0</v>
      </c>
      <c r="L2255" s="60"/>
      <c r="M2255" s="41"/>
      <c r="N2255" s="41"/>
      <c r="O2255" s="41"/>
    </row>
    <row r="2256" spans="1:15" s="7" customFormat="1" ht="18.75">
      <c r="A2256" s="81"/>
      <c r="B2256" s="57"/>
      <c r="C2256" s="74" t="s">
        <v>409</v>
      </c>
      <c r="D2256" s="32" t="s">
        <v>122</v>
      </c>
      <c r="E2256" s="44"/>
      <c r="F2256" s="86">
        <v>570208408.86000001</v>
      </c>
      <c r="G2256" s="76" t="s">
        <v>1720</v>
      </c>
      <c r="H2256" s="312">
        <v>135828977.13000011</v>
      </c>
      <c r="I2256" s="97"/>
      <c r="J2256" s="37">
        <f t="shared" si="136"/>
        <v>434379431.7299999</v>
      </c>
      <c r="K2256" s="110">
        <f>J2255+K2255</f>
        <v>1289964342.8100002</v>
      </c>
      <c r="L2256" s="60"/>
      <c r="M2256" s="41"/>
      <c r="N2256" s="41"/>
      <c r="O2256" s="41"/>
    </row>
    <row r="2257" spans="1:15" s="7" customFormat="1" ht="18.75">
      <c r="A2257" s="81"/>
      <c r="B2257" s="57"/>
      <c r="C2257" s="74" t="s">
        <v>411</v>
      </c>
      <c r="D2257" s="32" t="s">
        <v>271</v>
      </c>
      <c r="E2257" s="44"/>
      <c r="F2257" s="86">
        <v>560231777.96000004</v>
      </c>
      <c r="G2257" s="76" t="s">
        <v>1721</v>
      </c>
      <c r="H2257" s="208">
        <v>200000000</v>
      </c>
      <c r="I2257" s="35" t="s">
        <v>1722</v>
      </c>
      <c r="J2257" s="37">
        <f t="shared" si="136"/>
        <v>360231777.96000004</v>
      </c>
      <c r="K2257" s="110">
        <f>K2256+J2256</f>
        <v>1724343774.54</v>
      </c>
      <c r="L2257" s="60"/>
      <c r="M2257" s="41"/>
      <c r="N2257" s="41"/>
      <c r="O2257" s="41"/>
    </row>
    <row r="2258" spans="1:15" s="7" customFormat="1" ht="18.75">
      <c r="A2258" s="81"/>
      <c r="B2258" s="57"/>
      <c r="C2258" s="41" t="s">
        <v>414</v>
      </c>
      <c r="D2258" s="32" t="s">
        <v>273</v>
      </c>
      <c r="E2258" s="44"/>
      <c r="F2258" s="86">
        <v>522716882.33999997</v>
      </c>
      <c r="G2258" s="76" t="s">
        <v>1723</v>
      </c>
      <c r="H2258" s="208">
        <v>500000000</v>
      </c>
      <c r="I2258" s="35" t="s">
        <v>934</v>
      </c>
      <c r="J2258" s="37">
        <f t="shared" si="136"/>
        <v>22716882.339999974</v>
      </c>
      <c r="K2258" s="110">
        <f t="shared" ref="K2258:K2281" si="137">K2257+J2257</f>
        <v>2084575552.5</v>
      </c>
      <c r="L2258" s="60"/>
      <c r="M2258" s="41"/>
      <c r="N2258" s="41"/>
      <c r="O2258" s="41"/>
    </row>
    <row r="2259" spans="1:15" s="7" customFormat="1" ht="18.75">
      <c r="A2259" s="81"/>
      <c r="B2259" s="57"/>
      <c r="C2259" s="41" t="s">
        <v>1412</v>
      </c>
      <c r="D2259" s="32" t="s">
        <v>275</v>
      </c>
      <c r="E2259" s="44"/>
      <c r="F2259" s="486">
        <v>530886293.13</v>
      </c>
      <c r="G2259" s="75">
        <v>42686</v>
      </c>
      <c r="H2259" s="208">
        <v>36000000</v>
      </c>
      <c r="I2259" s="35" t="s">
        <v>1724</v>
      </c>
      <c r="J2259" s="37">
        <f t="shared" si="136"/>
        <v>494886293.13</v>
      </c>
      <c r="K2259" s="110">
        <f t="shared" si="137"/>
        <v>2107292434.8399999</v>
      </c>
      <c r="L2259" s="60"/>
      <c r="M2259" s="41"/>
      <c r="N2259" s="41"/>
      <c r="O2259" s="41"/>
    </row>
    <row r="2260" spans="1:15" s="7" customFormat="1" ht="18.75">
      <c r="A2260" s="81"/>
      <c r="B2260" s="194"/>
      <c r="C2260" s="41" t="s">
        <v>609</v>
      </c>
      <c r="D2260" s="32" t="s">
        <v>277</v>
      </c>
      <c r="E2260" s="44"/>
      <c r="F2260" s="86">
        <v>539633045.33000004</v>
      </c>
      <c r="G2260" s="75" t="s">
        <v>1725</v>
      </c>
      <c r="H2260" s="208">
        <v>30000000</v>
      </c>
      <c r="I2260" s="35" t="s">
        <v>1724</v>
      </c>
      <c r="J2260" s="37">
        <f t="shared" si="136"/>
        <v>509633045.33000004</v>
      </c>
      <c r="K2260" s="110">
        <f t="shared" si="137"/>
        <v>2602178727.9699998</v>
      </c>
      <c r="L2260" s="60"/>
      <c r="M2260" s="41"/>
      <c r="N2260" s="41"/>
      <c r="O2260" s="41"/>
    </row>
    <row r="2261" spans="1:15" s="7" customFormat="1" ht="18.75">
      <c r="A2261" s="81"/>
      <c r="B2261" s="194"/>
      <c r="C2261" s="41" t="s">
        <v>611</v>
      </c>
      <c r="D2261" s="32" t="s">
        <v>279</v>
      </c>
      <c r="E2261" s="44"/>
      <c r="F2261" s="86">
        <v>434121437.86000001</v>
      </c>
      <c r="G2261" s="75" t="s">
        <v>1726</v>
      </c>
      <c r="H2261" s="208">
        <v>45000000</v>
      </c>
      <c r="I2261" s="35" t="s">
        <v>1727</v>
      </c>
      <c r="J2261" s="37">
        <f t="shared" si="136"/>
        <v>389121437.86000001</v>
      </c>
      <c r="K2261" s="110">
        <f t="shared" si="137"/>
        <v>3111811773.2999997</v>
      </c>
      <c r="L2261" s="60"/>
      <c r="M2261" s="41"/>
      <c r="N2261" s="41"/>
      <c r="O2261" s="41"/>
    </row>
    <row r="2262" spans="1:15" s="7" customFormat="1" ht="18.75">
      <c r="A2262" s="81"/>
      <c r="B2262" s="57"/>
      <c r="C2262" s="29" t="s">
        <v>614</v>
      </c>
      <c r="D2262" s="32" t="s">
        <v>283</v>
      </c>
      <c r="E2262" s="44"/>
      <c r="F2262" s="303">
        <v>494945044.81</v>
      </c>
      <c r="G2262" s="98">
        <v>42828</v>
      </c>
      <c r="H2262" s="208">
        <v>30000000</v>
      </c>
      <c r="I2262" s="35" t="s">
        <v>938</v>
      </c>
      <c r="J2262" s="37">
        <f t="shared" si="136"/>
        <v>464945044.81</v>
      </c>
      <c r="K2262" s="110">
        <f t="shared" si="137"/>
        <v>3500933211.1599998</v>
      </c>
      <c r="L2262" s="60"/>
      <c r="M2262" s="41"/>
      <c r="N2262" s="41"/>
      <c r="O2262" s="41"/>
    </row>
    <row r="2263" spans="1:15" s="7" customFormat="1" ht="18.75">
      <c r="A2263" s="81"/>
      <c r="B2263" s="109"/>
      <c r="C2263" s="29" t="s">
        <v>489</v>
      </c>
      <c r="D2263" s="32" t="s">
        <v>84</v>
      </c>
      <c r="E2263" s="44"/>
      <c r="F2263" s="303">
        <v>495700391.74000001</v>
      </c>
      <c r="G2263" s="119" t="s">
        <v>1728</v>
      </c>
      <c r="H2263" s="208">
        <v>36000000</v>
      </c>
      <c r="I2263" s="35" t="s">
        <v>938</v>
      </c>
      <c r="J2263" s="37">
        <f t="shared" si="136"/>
        <v>459700391.74000001</v>
      </c>
      <c r="K2263" s="110">
        <f t="shared" si="137"/>
        <v>3965878255.9699998</v>
      </c>
      <c r="L2263" s="60"/>
      <c r="M2263" s="41"/>
      <c r="N2263" s="41"/>
      <c r="O2263" s="41"/>
    </row>
    <row r="2264" spans="1:15" s="7" customFormat="1" ht="18.75">
      <c r="A2264" s="81"/>
      <c r="B2264" s="109"/>
      <c r="C2264" s="29" t="s">
        <v>618</v>
      </c>
      <c r="D2264" s="32" t="s">
        <v>286</v>
      </c>
      <c r="E2264" s="44"/>
      <c r="F2264" s="303">
        <v>578320575.14999998</v>
      </c>
      <c r="G2264" s="119" t="s">
        <v>1038</v>
      </c>
      <c r="H2264" s="208">
        <v>34000000</v>
      </c>
      <c r="I2264" s="35" t="s">
        <v>940</v>
      </c>
      <c r="J2264" s="37">
        <f t="shared" si="136"/>
        <v>544320575.14999998</v>
      </c>
      <c r="K2264" s="110">
        <f t="shared" si="137"/>
        <v>4425578647.71</v>
      </c>
      <c r="L2264" s="60"/>
      <c r="M2264" s="41"/>
      <c r="N2264" s="41"/>
      <c r="O2264" s="41"/>
    </row>
    <row r="2265" spans="1:15" s="7" customFormat="1" ht="18.75">
      <c r="A2265" s="81"/>
      <c r="B2265" s="109"/>
      <c r="C2265" s="29" t="s">
        <v>560</v>
      </c>
      <c r="D2265" s="32" t="s">
        <v>512</v>
      </c>
      <c r="E2265" s="44"/>
      <c r="F2265" s="303">
        <v>438104981.13</v>
      </c>
      <c r="G2265" s="98">
        <v>43014</v>
      </c>
      <c r="H2265" s="208">
        <f>33000000+35000000+32000000+35000000+34000000+30000000+42200000+37500000+20300000</f>
        <v>299000000</v>
      </c>
      <c r="I2265" s="35" t="s">
        <v>1729</v>
      </c>
      <c r="J2265" s="37">
        <f t="shared" si="136"/>
        <v>139104981.13</v>
      </c>
      <c r="K2265" s="110">
        <f t="shared" si="137"/>
        <v>4969899222.8599997</v>
      </c>
      <c r="L2265" s="60"/>
      <c r="M2265" s="41"/>
      <c r="N2265" s="41"/>
      <c r="O2265" s="41"/>
    </row>
    <row r="2266" spans="1:15" s="7" customFormat="1" ht="18.75">
      <c r="A2266" s="81"/>
      <c r="B2266" s="109"/>
      <c r="C2266" s="29" t="s">
        <v>562</v>
      </c>
      <c r="D2266" s="32" t="s">
        <v>1730</v>
      </c>
      <c r="E2266" s="44"/>
      <c r="F2266" s="303">
        <v>408489583.04000002</v>
      </c>
      <c r="G2266" s="98" t="s">
        <v>1731</v>
      </c>
      <c r="H2266" s="208"/>
      <c r="I2266" s="35"/>
      <c r="J2266" s="37">
        <f t="shared" si="136"/>
        <v>408489583.04000002</v>
      </c>
      <c r="K2266" s="110">
        <f t="shared" si="137"/>
        <v>5109004203.9899998</v>
      </c>
      <c r="L2266" s="60"/>
      <c r="M2266" s="41"/>
      <c r="N2266" s="41"/>
      <c r="O2266" s="41"/>
    </row>
    <row r="2267" spans="1:15" s="7" customFormat="1" ht="18.75">
      <c r="A2267" s="81"/>
      <c r="B2267" s="109"/>
      <c r="C2267" s="29" t="s">
        <v>494</v>
      </c>
      <c r="D2267" s="32" t="s">
        <v>1732</v>
      </c>
      <c r="E2267" s="44"/>
      <c r="F2267" s="303">
        <v>451218540.5</v>
      </c>
      <c r="G2267" s="98" t="s">
        <v>1733</v>
      </c>
      <c r="H2267" s="208"/>
      <c r="I2267" s="35"/>
      <c r="J2267" s="37">
        <f t="shared" si="136"/>
        <v>451218540.5</v>
      </c>
      <c r="K2267" s="110">
        <f t="shared" si="137"/>
        <v>5517493787.0299997</v>
      </c>
      <c r="L2267" s="60"/>
      <c r="M2267" s="41"/>
      <c r="N2267" s="41"/>
      <c r="O2267" s="41"/>
    </row>
    <row r="2268" spans="1:15" s="7" customFormat="1" ht="18.75">
      <c r="A2268" s="81"/>
      <c r="B2268" s="109"/>
      <c r="C2268" s="29" t="s">
        <v>497</v>
      </c>
      <c r="D2268" s="32" t="s">
        <v>1734</v>
      </c>
      <c r="E2268" s="44"/>
      <c r="F2268" s="303">
        <v>517105578.12</v>
      </c>
      <c r="G2268" s="98" t="s">
        <v>1735</v>
      </c>
      <c r="H2268" s="208"/>
      <c r="I2268" s="35"/>
      <c r="J2268" s="37">
        <f t="shared" si="136"/>
        <v>517105578.12</v>
      </c>
      <c r="K2268" s="110">
        <f t="shared" si="137"/>
        <v>5968712327.5299997</v>
      </c>
      <c r="L2268" s="60"/>
      <c r="M2268" s="41"/>
      <c r="N2268" s="41"/>
      <c r="O2268" s="41"/>
    </row>
    <row r="2269" spans="1:15" s="7" customFormat="1" ht="18.75">
      <c r="A2269" s="81"/>
      <c r="B2269" s="109"/>
      <c r="C2269" s="29" t="s">
        <v>498</v>
      </c>
      <c r="D2269" s="32" t="s">
        <v>1736</v>
      </c>
      <c r="E2269" s="44"/>
      <c r="F2269" s="303">
        <v>409757523.10000002</v>
      </c>
      <c r="G2269" s="98" t="s">
        <v>1737</v>
      </c>
      <c r="H2269" s="208"/>
      <c r="I2269" s="35"/>
      <c r="J2269" s="37">
        <f t="shared" si="136"/>
        <v>409757523.10000002</v>
      </c>
      <c r="K2269" s="110">
        <f t="shared" si="137"/>
        <v>6485817905.6499996</v>
      </c>
      <c r="L2269" s="60"/>
      <c r="M2269" s="41"/>
      <c r="N2269" s="41"/>
      <c r="O2269" s="41"/>
    </row>
    <row r="2270" spans="1:15" s="7" customFormat="1" ht="18.75">
      <c r="A2270" s="81"/>
      <c r="B2270" s="109"/>
      <c r="C2270" s="29" t="s">
        <v>564</v>
      </c>
      <c r="D2270" s="32" t="s">
        <v>1738</v>
      </c>
      <c r="E2270" s="44"/>
      <c r="F2270" s="303">
        <v>352404757.12</v>
      </c>
      <c r="G2270" s="98">
        <v>43049</v>
      </c>
      <c r="H2270" s="208"/>
      <c r="I2270" s="35"/>
      <c r="J2270" s="37">
        <f t="shared" si="136"/>
        <v>352404757.12</v>
      </c>
      <c r="K2270" s="110">
        <f t="shared" si="137"/>
        <v>6895575428.75</v>
      </c>
      <c r="L2270" s="60"/>
      <c r="M2270" s="41"/>
      <c r="N2270" s="41"/>
      <c r="O2270" s="41"/>
    </row>
    <row r="2271" spans="1:15" s="7" customFormat="1" ht="18.75">
      <c r="A2271" s="81"/>
      <c r="B2271" s="109"/>
      <c r="C2271" s="29" t="s">
        <v>500</v>
      </c>
      <c r="D2271" s="32" t="s">
        <v>1739</v>
      </c>
      <c r="E2271" s="44"/>
      <c r="F2271" s="303">
        <v>365287691.88</v>
      </c>
      <c r="G2271" s="98">
        <v>42866</v>
      </c>
      <c r="H2271" s="208">
        <v>234516423.93000001</v>
      </c>
      <c r="I2271" s="35" t="s">
        <v>1740</v>
      </c>
      <c r="J2271" s="37">
        <f t="shared" si="136"/>
        <v>130771267.94999999</v>
      </c>
      <c r="K2271" s="110">
        <f t="shared" si="137"/>
        <v>7247980185.8699999</v>
      </c>
      <c r="L2271" s="60"/>
      <c r="M2271" s="41"/>
      <c r="N2271" s="41"/>
      <c r="O2271" s="41"/>
    </row>
    <row r="2272" spans="1:15" s="7" customFormat="1" ht="18.75">
      <c r="A2272" s="81"/>
      <c r="B2272" s="109"/>
      <c r="C2272" s="29" t="s">
        <v>501</v>
      </c>
      <c r="D2272" s="32" t="s">
        <v>1741</v>
      </c>
      <c r="E2272" s="44"/>
      <c r="F2272" s="303">
        <v>233634454.33000001</v>
      </c>
      <c r="G2272" s="98">
        <v>42867</v>
      </c>
      <c r="H2272" s="208">
        <f>30000000+28000000+29000000</f>
        <v>87000000</v>
      </c>
      <c r="I2272" s="35" t="s">
        <v>1742</v>
      </c>
      <c r="J2272" s="37">
        <f t="shared" si="136"/>
        <v>146634454.33000001</v>
      </c>
      <c r="K2272" s="110">
        <f t="shared" si="137"/>
        <v>7378751453.8199997</v>
      </c>
      <c r="L2272" s="60"/>
      <c r="M2272" s="41"/>
      <c r="N2272" s="41"/>
      <c r="O2272" s="41"/>
    </row>
    <row r="2273" spans="1:15" s="7" customFormat="1" ht="18.75">
      <c r="A2273" s="81"/>
      <c r="B2273" s="109"/>
      <c r="C2273" s="29" t="s">
        <v>504</v>
      </c>
      <c r="D2273" s="32" t="s">
        <v>1743</v>
      </c>
      <c r="E2273" s="44"/>
      <c r="F2273" s="303">
        <v>189995491.61000001</v>
      </c>
      <c r="G2273" s="98">
        <v>43375</v>
      </c>
      <c r="H2273" s="208">
        <v>189995491.62</v>
      </c>
      <c r="I2273" s="35" t="s">
        <v>1657</v>
      </c>
      <c r="J2273" s="37">
        <f t="shared" si="136"/>
        <v>-9.9999904632568359E-3</v>
      </c>
      <c r="K2273" s="110">
        <f t="shared" si="137"/>
        <v>7525385908.1499996</v>
      </c>
      <c r="L2273" s="60"/>
      <c r="M2273" s="41"/>
      <c r="N2273" s="41"/>
      <c r="O2273" s="41"/>
    </row>
    <row r="2274" spans="1:15" s="7" customFormat="1" ht="18.75">
      <c r="A2274" s="81"/>
      <c r="B2274" s="109"/>
      <c r="C2274" s="29" t="s">
        <v>506</v>
      </c>
      <c r="D2274" s="32" t="s">
        <v>1744</v>
      </c>
      <c r="E2274" s="44"/>
      <c r="F2274" s="303">
        <v>169239933.69</v>
      </c>
      <c r="G2274" s="96">
        <v>43376</v>
      </c>
      <c r="H2274" s="208">
        <v>277000000</v>
      </c>
      <c r="I2274" s="35" t="s">
        <v>1041</v>
      </c>
      <c r="J2274" s="37">
        <f t="shared" si="136"/>
        <v>-107760066.31</v>
      </c>
      <c r="K2274" s="110">
        <f t="shared" si="137"/>
        <v>7525385908.1399994</v>
      </c>
      <c r="L2274" s="60"/>
      <c r="M2274" s="41"/>
      <c r="N2274" s="41"/>
      <c r="O2274" s="41"/>
    </row>
    <row r="2275" spans="1:15" s="7" customFormat="1" ht="18.75">
      <c r="A2275" s="81"/>
      <c r="B2275" s="109"/>
      <c r="C2275" s="29" t="s">
        <v>508</v>
      </c>
      <c r="D2275" s="32" t="s">
        <v>1745</v>
      </c>
      <c r="E2275" s="44"/>
      <c r="F2275" s="303">
        <v>123016423.92797183</v>
      </c>
      <c r="G2275" s="75" t="s">
        <v>509</v>
      </c>
      <c r="H2275" s="302">
        <f>196874388.02+28500000</f>
        <v>225374388.02000001</v>
      </c>
      <c r="I2275" s="35" t="s">
        <v>1746</v>
      </c>
      <c r="J2275" s="37">
        <f t="shared" si="136"/>
        <v>-102357964.09202819</v>
      </c>
      <c r="K2275" s="110">
        <f t="shared" si="137"/>
        <v>7417625841.829999</v>
      </c>
      <c r="L2275" s="60"/>
      <c r="M2275" s="41"/>
      <c r="N2275" s="41"/>
      <c r="O2275" s="41"/>
    </row>
    <row r="2276" spans="1:15" s="7" customFormat="1" ht="18.75">
      <c r="A2276" s="81"/>
      <c r="B2276" s="109"/>
      <c r="C2276" s="29" t="s">
        <v>355</v>
      </c>
      <c r="D2276" s="32" t="s">
        <v>1747</v>
      </c>
      <c r="E2276" s="44"/>
      <c r="F2276" s="303">
        <v>46941837.537423357</v>
      </c>
      <c r="G2276" s="75" t="s">
        <v>510</v>
      </c>
      <c r="H2276" s="208">
        <v>173461191.75</v>
      </c>
      <c r="I2276" s="35"/>
      <c r="J2276" s="37">
        <f t="shared" si="136"/>
        <v>-126519354.21257664</v>
      </c>
      <c r="K2276" s="110">
        <f t="shared" si="137"/>
        <v>7315267877.7379704</v>
      </c>
      <c r="L2276" s="60"/>
      <c r="M2276" s="41"/>
      <c r="N2276" s="41"/>
      <c r="O2276" s="41"/>
    </row>
    <row r="2277" spans="1:15" s="7" customFormat="1" ht="18.75">
      <c r="A2277" s="81"/>
      <c r="B2277" s="109"/>
      <c r="C2277" s="31" t="s">
        <v>234</v>
      </c>
      <c r="D2277" s="32" t="s">
        <v>1747</v>
      </c>
      <c r="E2277" s="44"/>
      <c r="F2277" s="303">
        <v>139519354.21000001</v>
      </c>
      <c r="G2277" s="75" t="s">
        <v>569</v>
      </c>
      <c r="H2277" s="208">
        <v>77538808.25</v>
      </c>
      <c r="I2277" s="35">
        <v>43259</v>
      </c>
      <c r="J2277" s="37">
        <f t="shared" si="136"/>
        <v>61980545.960000008</v>
      </c>
      <c r="K2277" s="110">
        <f t="shared" si="137"/>
        <v>7188748523.5253935</v>
      </c>
      <c r="L2277" s="60"/>
      <c r="M2277" s="41"/>
      <c r="N2277" s="41"/>
      <c r="O2277" s="41"/>
    </row>
    <row r="2278" spans="1:15" s="7" customFormat="1" ht="18.75">
      <c r="A2278" s="81"/>
      <c r="B2278" s="109"/>
      <c r="C2278" s="42" t="s">
        <v>1748</v>
      </c>
      <c r="D2278" s="32" t="s">
        <v>1749</v>
      </c>
      <c r="E2278" s="44"/>
      <c r="F2278" s="303">
        <v>200223924.76594025</v>
      </c>
      <c r="G2278" s="75"/>
      <c r="H2278" s="208">
        <v>27500000</v>
      </c>
      <c r="I2278" s="35" t="s">
        <v>1750</v>
      </c>
      <c r="J2278" s="37">
        <f t="shared" si="136"/>
        <v>172723924.76594025</v>
      </c>
      <c r="K2278" s="110">
        <f t="shared" si="137"/>
        <v>7250729069.4853935</v>
      </c>
      <c r="L2278" s="60"/>
      <c r="M2278" s="41"/>
      <c r="N2278" s="41"/>
      <c r="O2278" s="41"/>
    </row>
    <row r="2279" spans="1:15" s="7" customFormat="1" ht="18.75">
      <c r="A2279" s="81"/>
      <c r="B2279" s="109"/>
      <c r="C2279" s="102" t="s">
        <v>238</v>
      </c>
      <c r="D2279" s="103" t="s">
        <v>1751</v>
      </c>
      <c r="E2279" s="44"/>
      <c r="F2279" s="305">
        <v>187003510.5005112</v>
      </c>
      <c r="G2279" s="75" t="s">
        <v>507</v>
      </c>
      <c r="H2279" s="208">
        <v>27999842.5</v>
      </c>
      <c r="I2279" s="35" t="s">
        <v>697</v>
      </c>
      <c r="J2279" s="37">
        <f t="shared" si="136"/>
        <v>159003668.0005112</v>
      </c>
      <c r="K2279" s="110">
        <f t="shared" si="137"/>
        <v>7423452994.2513342</v>
      </c>
      <c r="L2279" s="60"/>
      <c r="M2279" s="41"/>
      <c r="N2279" s="41"/>
      <c r="O2279" s="41"/>
    </row>
    <row r="2280" spans="1:15" s="7" customFormat="1" ht="18.75">
      <c r="A2280" s="81"/>
      <c r="B2280" s="109"/>
      <c r="C2280" s="111" t="s">
        <v>240</v>
      </c>
      <c r="D2280" s="103" t="s">
        <v>1752</v>
      </c>
      <c r="E2280" s="44"/>
      <c r="F2280" s="305">
        <v>227155771.73028904</v>
      </c>
      <c r="G2280" s="75" t="s">
        <v>957</v>
      </c>
      <c r="H2280" s="208">
        <v>35000000</v>
      </c>
      <c r="I2280" s="35" t="s">
        <v>519</v>
      </c>
      <c r="J2280" s="37">
        <f t="shared" si="136"/>
        <v>192155771.73028904</v>
      </c>
      <c r="K2280" s="110">
        <f t="shared" si="137"/>
        <v>7582456662.2518454</v>
      </c>
      <c r="L2280" s="60"/>
      <c r="M2280" s="41"/>
      <c r="N2280" s="41"/>
      <c r="O2280" s="41"/>
    </row>
    <row r="2281" spans="1:15" s="7" customFormat="1" ht="18.75">
      <c r="A2281" s="81"/>
      <c r="B2281" s="109"/>
      <c r="C2281" s="111" t="s">
        <v>1753</v>
      </c>
      <c r="D2281" s="103" t="s">
        <v>319</v>
      </c>
      <c r="E2281" s="44"/>
      <c r="F2281" s="305">
        <v>49704297.329999998</v>
      </c>
      <c r="G2281" s="75"/>
      <c r="H2281" s="159">
        <v>22000000</v>
      </c>
      <c r="I2281" s="41" t="s">
        <v>1266</v>
      </c>
      <c r="J2281" s="37">
        <f t="shared" si="136"/>
        <v>27704297.329999998</v>
      </c>
      <c r="K2281" s="110">
        <f t="shared" si="137"/>
        <v>7774612433.9821348</v>
      </c>
      <c r="L2281" s="60"/>
      <c r="M2281" s="41"/>
      <c r="N2281" s="41"/>
      <c r="O2281" s="41"/>
    </row>
    <row r="2282" spans="1:15" s="7" customFormat="1" ht="18.75">
      <c r="A2282" s="56"/>
      <c r="B2282" s="57" t="s">
        <v>1754</v>
      </c>
      <c r="C2282" s="31"/>
      <c r="D2282" s="32"/>
      <c r="E2282" s="44"/>
      <c r="F2282" s="86"/>
      <c r="G2282" s="485"/>
      <c r="H2282" s="115">
        <f>K2282-F2282</f>
        <v>7802316731.3121347</v>
      </c>
      <c r="I2282" s="35"/>
      <c r="J2282" s="37"/>
      <c r="K2282" s="116">
        <f>K2281+J2281</f>
        <v>7802316731.3121347</v>
      </c>
      <c r="L2282" s="60"/>
      <c r="M2282" s="41"/>
      <c r="N2282" s="41"/>
      <c r="O2282" s="41"/>
    </row>
    <row r="2283" spans="1:15" s="7" customFormat="1" ht="18.75">
      <c r="A2283" s="56"/>
      <c r="B2283" s="57"/>
      <c r="C2283" s="31"/>
      <c r="D2283" s="32"/>
      <c r="E2283" s="44"/>
      <c r="F2283" s="86"/>
      <c r="G2283" s="80"/>
      <c r="H2283" s="115"/>
      <c r="I2283" s="35"/>
      <c r="J2283" s="37"/>
      <c r="K2283" s="116"/>
      <c r="L2283" s="60"/>
      <c r="M2283" s="41"/>
      <c r="N2283" s="41"/>
      <c r="O2283" s="41"/>
    </row>
    <row r="2284" spans="1:15" s="7" customFormat="1" ht="18.75">
      <c r="A2284" s="81">
        <v>62</v>
      </c>
      <c r="B2284" s="57" t="s">
        <v>1755</v>
      </c>
      <c r="C2284" s="29" t="s">
        <v>497</v>
      </c>
      <c r="D2284" s="32" t="s">
        <v>763</v>
      </c>
      <c r="E2284" s="44"/>
      <c r="F2284" s="95">
        <v>167917142.63999999</v>
      </c>
      <c r="G2284" s="98">
        <v>43017</v>
      </c>
      <c r="H2284" s="63">
        <v>159921088.22857141</v>
      </c>
      <c r="I2284" s="35"/>
      <c r="J2284" s="37">
        <f t="shared" ref="J2284:J2323" si="138">F2284-H2284</f>
        <v>7996054.4114285707</v>
      </c>
      <c r="K2284" s="116">
        <v>0</v>
      </c>
      <c r="L2284" s="60"/>
      <c r="M2284" s="41"/>
      <c r="N2284" s="41"/>
      <c r="O2284" s="41"/>
    </row>
    <row r="2285" spans="1:15" s="7" customFormat="1" ht="18.75">
      <c r="A2285" s="81"/>
      <c r="B2285" s="57"/>
      <c r="C2285" s="29" t="s">
        <v>498</v>
      </c>
      <c r="D2285" s="32" t="s">
        <v>765</v>
      </c>
      <c r="E2285" s="44"/>
      <c r="F2285" s="95">
        <v>158035422.88999999</v>
      </c>
      <c r="G2285" s="98">
        <v>42988</v>
      </c>
      <c r="H2285" s="63">
        <v>150509926.56190476</v>
      </c>
      <c r="I2285" s="35">
        <v>43034</v>
      </c>
      <c r="J2285" s="37">
        <f t="shared" si="138"/>
        <v>7525496.3280952275</v>
      </c>
      <c r="K2285" s="110">
        <f>J2284+K2284</f>
        <v>7996054.4114285707</v>
      </c>
      <c r="L2285" s="60"/>
      <c r="M2285" s="41"/>
      <c r="N2285" s="41"/>
      <c r="O2285" s="41"/>
    </row>
    <row r="2286" spans="1:15" s="7" customFormat="1" ht="18.75">
      <c r="A2286" s="81"/>
      <c r="B2286" s="57"/>
      <c r="C2286" s="29" t="s">
        <v>564</v>
      </c>
      <c r="D2286" s="32" t="s">
        <v>1756</v>
      </c>
      <c r="E2286" s="44"/>
      <c r="F2286" s="95">
        <v>123123227.34999999</v>
      </c>
      <c r="G2286" s="98">
        <v>43044</v>
      </c>
      <c r="H2286" s="63">
        <v>117260216.52</v>
      </c>
      <c r="I2286" s="35" t="s">
        <v>1722</v>
      </c>
      <c r="J2286" s="37">
        <f t="shared" si="138"/>
        <v>5863010.8299999982</v>
      </c>
      <c r="K2286" s="110">
        <f t="shared" ref="K2286:K2329" si="139">J2285+K2285</f>
        <v>15521550.739523798</v>
      </c>
      <c r="L2286" s="60"/>
      <c r="M2286" s="41"/>
      <c r="N2286" s="41"/>
      <c r="O2286" s="41"/>
    </row>
    <row r="2287" spans="1:15" s="7" customFormat="1" ht="18.75">
      <c r="A2287" s="81"/>
      <c r="B2287" s="57"/>
      <c r="C2287" s="29" t="s">
        <v>500</v>
      </c>
      <c r="D2287" s="32" t="s">
        <v>1757</v>
      </c>
      <c r="E2287" s="44"/>
      <c r="F2287" s="95">
        <v>128220486.55</v>
      </c>
      <c r="G2287" s="98">
        <v>42867</v>
      </c>
      <c r="H2287" s="63">
        <v>122114749.09999999</v>
      </c>
      <c r="I2287" s="35" t="s">
        <v>935</v>
      </c>
      <c r="J2287" s="37">
        <f t="shared" si="138"/>
        <v>6105737.450000003</v>
      </c>
      <c r="K2287" s="110">
        <f t="shared" si="139"/>
        <v>21384561.569523796</v>
      </c>
      <c r="L2287" s="60"/>
      <c r="M2287" s="41"/>
      <c r="N2287" s="41"/>
      <c r="O2287" s="41"/>
    </row>
    <row r="2288" spans="1:15" s="7" customFormat="1" ht="18.75">
      <c r="A2288" s="81"/>
      <c r="B2288" s="57"/>
      <c r="C2288" s="29" t="s">
        <v>501</v>
      </c>
      <c r="D2288" s="32" t="s">
        <v>1757</v>
      </c>
      <c r="E2288" s="44"/>
      <c r="F2288" s="101">
        <v>129999653.68000001</v>
      </c>
      <c r="G2288" s="98" t="s">
        <v>1383</v>
      </c>
      <c r="H2288" s="63">
        <v>123809193.98</v>
      </c>
      <c r="I2288" s="35" t="s">
        <v>1758</v>
      </c>
      <c r="J2288" s="37">
        <f t="shared" si="138"/>
        <v>6190459.700000003</v>
      </c>
      <c r="K2288" s="110">
        <f t="shared" si="139"/>
        <v>27490299.019523799</v>
      </c>
      <c r="L2288" s="60"/>
      <c r="M2288" s="41"/>
      <c r="N2288" s="41"/>
      <c r="O2288" s="41"/>
    </row>
    <row r="2289" spans="1:15" s="7" customFormat="1" ht="18.75">
      <c r="A2289" s="81"/>
      <c r="B2289" s="57"/>
      <c r="C2289" s="29" t="s">
        <v>504</v>
      </c>
      <c r="D2289" s="32" t="s">
        <v>1759</v>
      </c>
      <c r="E2289" s="44"/>
      <c r="F2289" s="101">
        <v>127586447.84999999</v>
      </c>
      <c r="G2289" s="75">
        <v>43222</v>
      </c>
      <c r="H2289" s="63">
        <v>121510902.70999999</v>
      </c>
      <c r="I2289" s="35" t="s">
        <v>1760</v>
      </c>
      <c r="J2289" s="37">
        <f t="shared" si="138"/>
        <v>6075545.1400000006</v>
      </c>
      <c r="K2289" s="110">
        <f t="shared" si="139"/>
        <v>33680758.719523802</v>
      </c>
      <c r="L2289" s="60"/>
      <c r="M2289" s="41"/>
      <c r="N2289" s="41"/>
      <c r="O2289" s="41"/>
    </row>
    <row r="2290" spans="1:15" s="7" customFormat="1" ht="18.75">
      <c r="A2290" s="81"/>
      <c r="B2290" s="57"/>
      <c r="C2290" s="29" t="s">
        <v>506</v>
      </c>
      <c r="D2290" s="32" t="s">
        <v>1761</v>
      </c>
      <c r="E2290" s="44"/>
      <c r="F2290" s="101">
        <v>114397398.56999999</v>
      </c>
      <c r="G2290" s="75">
        <v>43223</v>
      </c>
      <c r="H2290" s="63">
        <v>108949903.39</v>
      </c>
      <c r="I2290" s="35">
        <v>43378</v>
      </c>
      <c r="J2290" s="37">
        <f t="shared" si="138"/>
        <v>5447495.1799999923</v>
      </c>
      <c r="K2290" s="110">
        <f t="shared" si="139"/>
        <v>39756303.859523803</v>
      </c>
      <c r="L2290" s="60"/>
      <c r="M2290" s="41"/>
      <c r="N2290" s="41"/>
      <c r="O2290" s="41"/>
    </row>
    <row r="2291" spans="1:15" s="7" customFormat="1" ht="18.75">
      <c r="A2291" s="81"/>
      <c r="B2291" s="57"/>
      <c r="C2291" s="29" t="s">
        <v>508</v>
      </c>
      <c r="D2291" s="32" t="s">
        <v>1762</v>
      </c>
      <c r="E2291" s="44"/>
      <c r="F2291" s="101">
        <v>108139382.23</v>
      </c>
      <c r="G2291" s="75" t="s">
        <v>509</v>
      </c>
      <c r="H2291" s="63">
        <v>102989887.84</v>
      </c>
      <c r="I2291" s="35"/>
      <c r="J2291" s="37">
        <f t="shared" si="138"/>
        <v>5149494.3900000006</v>
      </c>
      <c r="K2291" s="110">
        <f t="shared" si="139"/>
        <v>45203799.039523795</v>
      </c>
      <c r="L2291" s="60"/>
      <c r="M2291" s="41"/>
      <c r="N2291" s="41"/>
      <c r="O2291" s="59">
        <v>262605167.70811075</v>
      </c>
    </row>
    <row r="2292" spans="1:15" s="7" customFormat="1" ht="18.75">
      <c r="A2292" s="81"/>
      <c r="B2292" s="57"/>
      <c r="C2292" s="29" t="s">
        <v>355</v>
      </c>
      <c r="D2292" s="32" t="s">
        <v>1763</v>
      </c>
      <c r="E2292" s="44"/>
      <c r="F2292" s="101">
        <v>131110909.79910001</v>
      </c>
      <c r="G2292" s="75" t="s">
        <v>510</v>
      </c>
      <c r="H2292" s="63">
        <v>124867533.14</v>
      </c>
      <c r="I2292" s="35" t="s">
        <v>1764</v>
      </c>
      <c r="J2292" s="37">
        <f t="shared" si="138"/>
        <v>6243376.659100011</v>
      </c>
      <c r="K2292" s="110">
        <f t="shared" si="139"/>
        <v>50353293.429523796</v>
      </c>
      <c r="L2292" s="60"/>
      <c r="M2292" s="41"/>
      <c r="N2292" s="41"/>
      <c r="O2292" s="41"/>
    </row>
    <row r="2293" spans="1:15" s="7" customFormat="1" ht="18.75">
      <c r="A2293" s="81"/>
      <c r="B2293" s="57"/>
      <c r="C2293" s="313" t="s">
        <v>234</v>
      </c>
      <c r="D2293" s="32" t="s">
        <v>512</v>
      </c>
      <c r="E2293" s="44"/>
      <c r="F2293" s="101">
        <v>128838767.41</v>
      </c>
      <c r="G2293" s="75" t="s">
        <v>513</v>
      </c>
      <c r="H2293" s="63">
        <v>122703588.09999999</v>
      </c>
      <c r="I2293" s="35"/>
      <c r="J2293" s="37">
        <f t="shared" si="138"/>
        <v>6135179.3100000024</v>
      </c>
      <c r="K2293" s="110">
        <f t="shared" si="139"/>
        <v>56596670.088623807</v>
      </c>
      <c r="L2293" s="60"/>
      <c r="M2293" s="41"/>
      <c r="N2293" s="41"/>
      <c r="O2293" s="41"/>
    </row>
    <row r="2294" spans="1:15" s="7" customFormat="1" ht="18.75">
      <c r="A2294" s="81"/>
      <c r="B2294" s="57"/>
      <c r="C2294" s="313" t="s">
        <v>514</v>
      </c>
      <c r="D2294" s="32" t="s">
        <v>1730</v>
      </c>
      <c r="E2294" s="44"/>
      <c r="F2294" s="101">
        <v>134801548.01304346</v>
      </c>
      <c r="G2294" s="75" t="s">
        <v>571</v>
      </c>
      <c r="H2294" s="63">
        <v>127893158.54000001</v>
      </c>
      <c r="I2294" s="35" t="s">
        <v>1765</v>
      </c>
      <c r="J2294" s="37">
        <f t="shared" si="138"/>
        <v>6908389.4730434567</v>
      </c>
      <c r="K2294" s="110">
        <f t="shared" si="139"/>
        <v>62731849.398623809</v>
      </c>
      <c r="L2294" s="60"/>
      <c r="M2294" s="41"/>
      <c r="N2294" s="41"/>
      <c r="O2294" s="41"/>
    </row>
    <row r="2295" spans="1:15" s="7" customFormat="1" ht="18.75">
      <c r="A2295" s="81"/>
      <c r="B2295" s="57"/>
      <c r="C2295" s="102" t="s">
        <v>238</v>
      </c>
      <c r="D2295" s="32" t="s">
        <v>1734</v>
      </c>
      <c r="E2295" s="44"/>
      <c r="F2295" s="101">
        <v>136932619.8222675</v>
      </c>
      <c r="G2295" s="75" t="s">
        <v>572</v>
      </c>
      <c r="H2295" s="63">
        <v>130412018.88</v>
      </c>
      <c r="I2295" s="58" t="s">
        <v>1766</v>
      </c>
      <c r="J2295" s="37">
        <f t="shared" si="138"/>
        <v>6520600.9422675073</v>
      </c>
      <c r="K2295" s="110">
        <f t="shared" si="139"/>
        <v>69640238.871667266</v>
      </c>
      <c r="L2295" s="60"/>
      <c r="M2295" s="41"/>
      <c r="N2295" s="41"/>
      <c r="O2295" s="41"/>
    </row>
    <row r="2296" spans="1:15" s="7" customFormat="1" ht="18.75">
      <c r="A2296" s="81"/>
      <c r="B2296" s="57"/>
      <c r="C2296" s="102" t="s">
        <v>517</v>
      </c>
      <c r="D2296" s="32" t="s">
        <v>1736</v>
      </c>
      <c r="E2296" s="44"/>
      <c r="F2296" s="101">
        <v>133052658.29159848</v>
      </c>
      <c r="G2296" s="75" t="s">
        <v>956</v>
      </c>
      <c r="H2296" s="63">
        <v>126716817.42</v>
      </c>
      <c r="I2296" s="58" t="s">
        <v>696</v>
      </c>
      <c r="J2296" s="37">
        <f t="shared" si="138"/>
        <v>6335840.8715984821</v>
      </c>
      <c r="K2296" s="110">
        <f t="shared" si="139"/>
        <v>76160839.813934773</v>
      </c>
      <c r="L2296" s="60"/>
      <c r="M2296" s="41"/>
      <c r="N2296" s="41"/>
      <c r="O2296" s="41"/>
    </row>
    <row r="2297" spans="1:15" s="7" customFormat="1" ht="18.75">
      <c r="A2297" s="81"/>
      <c r="B2297" s="57"/>
      <c r="C2297" s="102" t="s">
        <v>243</v>
      </c>
      <c r="D2297" s="32" t="s">
        <v>1767</v>
      </c>
      <c r="E2297" s="44"/>
      <c r="F2297" s="101">
        <v>138756972.90150148</v>
      </c>
      <c r="G2297" s="75"/>
      <c r="H2297" s="63">
        <v>132149498</v>
      </c>
      <c r="I2297" s="97"/>
      <c r="J2297" s="37">
        <f t="shared" si="138"/>
        <v>6607474.9015014768</v>
      </c>
      <c r="K2297" s="110">
        <f t="shared" si="139"/>
        <v>82496680.685533255</v>
      </c>
      <c r="L2297" s="60"/>
      <c r="M2297" s="41"/>
      <c r="N2297" s="41"/>
      <c r="O2297" s="41"/>
    </row>
    <row r="2298" spans="1:15" s="7" customFormat="1" ht="18.75">
      <c r="A2298" s="81"/>
      <c r="B2298" s="57"/>
      <c r="C2298" s="102" t="s">
        <v>246</v>
      </c>
      <c r="D2298" s="103" t="s">
        <v>1768</v>
      </c>
      <c r="E2298" s="44"/>
      <c r="F2298" s="101">
        <v>145119504.44208002</v>
      </c>
      <c r="G2298" s="105" t="s">
        <v>576</v>
      </c>
      <c r="H2298" s="63">
        <v>138209051.84999999</v>
      </c>
      <c r="I2298" s="58" t="s">
        <v>1611</v>
      </c>
      <c r="J2298" s="37">
        <f t="shared" si="138"/>
        <v>6910452.5920800269</v>
      </c>
      <c r="K2298" s="110">
        <f t="shared" si="139"/>
        <v>89104155.587034732</v>
      </c>
      <c r="L2298" s="60"/>
      <c r="M2298" s="41"/>
      <c r="N2298" s="41"/>
      <c r="O2298" s="41"/>
    </row>
    <row r="2299" spans="1:15" s="7" customFormat="1" ht="18.75">
      <c r="A2299" s="81"/>
      <c r="B2299" s="57"/>
      <c r="C2299" s="102" t="s">
        <v>522</v>
      </c>
      <c r="D2299" s="103" t="s">
        <v>1769</v>
      </c>
      <c r="E2299" s="44"/>
      <c r="F2299" s="101">
        <v>144585446.75832602</v>
      </c>
      <c r="G2299" s="105" t="s">
        <v>577</v>
      </c>
      <c r="H2299" s="63">
        <v>137700425.47999999</v>
      </c>
      <c r="I2299" s="76"/>
      <c r="J2299" s="37">
        <f t="shared" si="138"/>
        <v>6885021.2783260345</v>
      </c>
      <c r="K2299" s="110">
        <f t="shared" si="139"/>
        <v>96014608.179114759</v>
      </c>
      <c r="L2299" s="60"/>
      <c r="M2299" s="41"/>
      <c r="N2299" s="41"/>
      <c r="O2299" s="41"/>
    </row>
    <row r="2300" spans="1:15" s="7" customFormat="1" ht="18.75">
      <c r="A2300" s="81"/>
      <c r="B2300" s="57"/>
      <c r="C2300" s="111" t="s">
        <v>250</v>
      </c>
      <c r="D2300" s="103" t="s">
        <v>298</v>
      </c>
      <c r="E2300" s="44"/>
      <c r="F2300" s="104">
        <v>139475689.77000001</v>
      </c>
      <c r="G2300" s="105" t="s">
        <v>578</v>
      </c>
      <c r="H2300" s="63">
        <v>132833990.26000001</v>
      </c>
      <c r="I2300" s="76" t="s">
        <v>252</v>
      </c>
      <c r="J2300" s="37">
        <f t="shared" si="138"/>
        <v>6641699.5100000054</v>
      </c>
      <c r="K2300" s="110">
        <f t="shared" si="139"/>
        <v>102899629.45744079</v>
      </c>
      <c r="L2300" s="60"/>
      <c r="M2300" s="41"/>
      <c r="N2300" s="41"/>
      <c r="O2300" s="41"/>
    </row>
    <row r="2301" spans="1:15" s="7" customFormat="1" ht="18.75">
      <c r="A2301" s="81"/>
      <c r="B2301" s="57"/>
      <c r="C2301" s="111" t="s">
        <v>139</v>
      </c>
      <c r="D2301" s="103" t="s">
        <v>299</v>
      </c>
      <c r="E2301" s="44"/>
      <c r="F2301" s="104">
        <v>139756528.13999999</v>
      </c>
      <c r="G2301" s="105" t="s">
        <v>579</v>
      </c>
      <c r="H2301" s="63">
        <v>133101455.37</v>
      </c>
      <c r="I2301" s="76" t="s">
        <v>143</v>
      </c>
      <c r="J2301" s="37">
        <f t="shared" si="138"/>
        <v>6655072.7699999809</v>
      </c>
      <c r="K2301" s="110">
        <f t="shared" si="139"/>
        <v>109541328.9674408</v>
      </c>
      <c r="L2301" s="60"/>
      <c r="M2301" s="41"/>
      <c r="N2301" s="41"/>
      <c r="O2301" s="41"/>
    </row>
    <row r="2302" spans="1:15" s="7" customFormat="1" ht="18.75">
      <c r="A2302" s="81"/>
      <c r="B2302" s="57"/>
      <c r="C2302" s="62" t="s">
        <v>142</v>
      </c>
      <c r="D2302" s="103" t="s">
        <v>29</v>
      </c>
      <c r="E2302" s="44"/>
      <c r="F2302" s="104">
        <v>135205224.17374352</v>
      </c>
      <c r="G2302" s="105" t="s">
        <v>1138</v>
      </c>
      <c r="H2302" s="63">
        <v>128766880.5</v>
      </c>
      <c r="I2302" s="76" t="s">
        <v>143</v>
      </c>
      <c r="J2302" s="37">
        <f t="shared" si="138"/>
        <v>6438343.6737435162</v>
      </c>
      <c r="K2302" s="110">
        <f t="shared" si="139"/>
        <v>116196401.73744078</v>
      </c>
      <c r="L2302" s="60"/>
      <c r="M2302" s="41"/>
      <c r="N2302" s="41"/>
      <c r="O2302" s="41"/>
    </row>
    <row r="2303" spans="1:15" s="7" customFormat="1" ht="18.75">
      <c r="A2303" s="81"/>
      <c r="B2303" s="57"/>
      <c r="C2303" s="62" t="s">
        <v>145</v>
      </c>
      <c r="D2303" s="103" t="s">
        <v>301</v>
      </c>
      <c r="E2303" s="44"/>
      <c r="F2303" s="104">
        <v>123607924.33588199</v>
      </c>
      <c r="G2303" s="105" t="s">
        <v>1138</v>
      </c>
      <c r="H2303" s="63">
        <v>117721832.7</v>
      </c>
      <c r="I2303" s="76" t="s">
        <v>365</v>
      </c>
      <c r="J2303" s="37">
        <f t="shared" si="138"/>
        <v>5886091.6358819902</v>
      </c>
      <c r="K2303" s="110">
        <f t="shared" si="139"/>
        <v>122634745.4111843</v>
      </c>
      <c r="L2303" s="60"/>
      <c r="M2303" s="41"/>
      <c r="N2303" s="41"/>
      <c r="O2303" s="41"/>
    </row>
    <row r="2304" spans="1:15" s="7" customFormat="1" ht="18.75">
      <c r="A2304" s="81"/>
      <c r="B2304" s="57"/>
      <c r="C2304" s="62" t="s">
        <v>148</v>
      </c>
      <c r="D2304" s="103" t="s">
        <v>313</v>
      </c>
      <c r="E2304" s="44"/>
      <c r="F2304" s="104">
        <v>130421466.41729099</v>
      </c>
      <c r="G2304" s="105" t="s">
        <v>433</v>
      </c>
      <c r="H2304" s="63">
        <v>124210920.40000001</v>
      </c>
      <c r="I2304" s="75" t="s">
        <v>261</v>
      </c>
      <c r="J2304" s="37">
        <f t="shared" si="138"/>
        <v>6210546.0172909796</v>
      </c>
      <c r="K2304" s="110">
        <f t="shared" si="139"/>
        <v>128520837.04706629</v>
      </c>
      <c r="L2304" s="60"/>
      <c r="M2304" s="41"/>
      <c r="N2304" s="41"/>
      <c r="O2304" s="41"/>
    </row>
    <row r="2305" spans="1:15" s="7" customFormat="1" ht="18.75">
      <c r="A2305" s="81"/>
      <c r="B2305" s="57"/>
      <c r="C2305" s="62" t="s">
        <v>151</v>
      </c>
      <c r="D2305" s="103" t="s">
        <v>314</v>
      </c>
      <c r="E2305" s="44"/>
      <c r="F2305" s="104">
        <v>129963711.014991</v>
      </c>
      <c r="G2305" s="105" t="s">
        <v>152</v>
      </c>
      <c r="H2305" s="63">
        <v>123774962.87</v>
      </c>
      <c r="I2305" s="75" t="s">
        <v>1197</v>
      </c>
      <c r="J2305" s="37">
        <f t="shared" si="138"/>
        <v>6188748.1449909955</v>
      </c>
      <c r="K2305" s="110">
        <f t="shared" si="139"/>
        <v>134731383.06435728</v>
      </c>
      <c r="L2305" s="60"/>
      <c r="M2305" s="41"/>
      <c r="N2305" s="41"/>
      <c r="O2305" s="41"/>
    </row>
    <row r="2306" spans="1:15" s="7" customFormat="1" ht="18.75">
      <c r="A2306" s="81"/>
      <c r="B2306" s="57"/>
      <c r="C2306" s="62" t="s">
        <v>154</v>
      </c>
      <c r="D2306" s="103" t="s">
        <v>315</v>
      </c>
      <c r="E2306" s="44"/>
      <c r="F2306" s="104">
        <v>133102720.89329249</v>
      </c>
      <c r="G2306" s="105" t="s">
        <v>156</v>
      </c>
      <c r="H2306" s="63">
        <v>126764496.5</v>
      </c>
      <c r="I2306" s="75" t="s">
        <v>369</v>
      </c>
      <c r="J2306" s="37">
        <f t="shared" si="138"/>
        <v>6338224.3932924867</v>
      </c>
      <c r="K2306" s="110">
        <f t="shared" si="139"/>
        <v>140920131.20934826</v>
      </c>
      <c r="L2306" s="60"/>
      <c r="M2306" s="41"/>
      <c r="N2306" s="41"/>
      <c r="O2306" s="41"/>
    </row>
    <row r="2307" spans="1:15" s="7" customFormat="1" ht="18.75">
      <c r="A2307" s="81"/>
      <c r="B2307" s="57"/>
      <c r="C2307" s="62" t="s">
        <v>158</v>
      </c>
      <c r="D2307" s="103" t="s">
        <v>316</v>
      </c>
      <c r="E2307" s="44"/>
      <c r="F2307" s="104">
        <v>134348334.93786597</v>
      </c>
      <c r="G2307" s="105" t="s">
        <v>160</v>
      </c>
      <c r="H2307" s="63">
        <v>127950795.18000001</v>
      </c>
      <c r="I2307" s="75" t="s">
        <v>1007</v>
      </c>
      <c r="J2307" s="37">
        <f t="shared" si="138"/>
        <v>6397539.7578659654</v>
      </c>
      <c r="K2307" s="110">
        <f t="shared" si="139"/>
        <v>147258355.60264075</v>
      </c>
      <c r="L2307" s="60"/>
      <c r="M2307" s="41"/>
      <c r="N2307" s="41"/>
      <c r="O2307" s="41"/>
    </row>
    <row r="2308" spans="1:15" s="7" customFormat="1" ht="18.75">
      <c r="A2308" s="81"/>
      <c r="B2308" s="57"/>
      <c r="C2308" s="62" t="s">
        <v>162</v>
      </c>
      <c r="D2308" s="103" t="s">
        <v>317</v>
      </c>
      <c r="E2308" s="44"/>
      <c r="F2308" s="104">
        <v>134957617.30760401</v>
      </c>
      <c r="G2308" s="105" t="s">
        <v>164</v>
      </c>
      <c r="H2308" s="63">
        <v>134957617.30760401</v>
      </c>
      <c r="I2308" s="314" t="s">
        <v>161</v>
      </c>
      <c r="J2308" s="37">
        <f t="shared" si="138"/>
        <v>0</v>
      </c>
      <c r="K2308" s="110">
        <f t="shared" si="139"/>
        <v>153655895.36050671</v>
      </c>
      <c r="L2308" s="60"/>
      <c r="M2308" s="41"/>
      <c r="N2308" s="41"/>
      <c r="O2308" s="41"/>
    </row>
    <row r="2309" spans="1:15" s="7" customFormat="1" ht="18.75">
      <c r="A2309" s="81"/>
      <c r="B2309" s="57"/>
      <c r="C2309" s="62" t="s">
        <v>166</v>
      </c>
      <c r="D2309" s="103" t="s">
        <v>319</v>
      </c>
      <c r="E2309" s="44"/>
      <c r="F2309" s="104">
        <v>133863968.36282401</v>
      </c>
      <c r="G2309" s="105" t="s">
        <v>168</v>
      </c>
      <c r="H2309" s="63">
        <v>133863968.36</v>
      </c>
      <c r="I2309" s="314" t="s">
        <v>656</v>
      </c>
      <c r="J2309" s="37">
        <f t="shared" si="138"/>
        <v>2.8240084648132324E-3</v>
      </c>
      <c r="K2309" s="110">
        <f t="shared" si="139"/>
        <v>153655895.36050671</v>
      </c>
      <c r="L2309" s="60"/>
      <c r="M2309" s="41"/>
      <c r="N2309" s="41"/>
      <c r="O2309" s="41"/>
    </row>
    <row r="2310" spans="1:15" s="7" customFormat="1" ht="18.75">
      <c r="A2310" s="81"/>
      <c r="B2310" s="57"/>
      <c r="C2310" s="62" t="s">
        <v>1770</v>
      </c>
      <c r="D2310" s="103"/>
      <c r="E2310" s="44"/>
      <c r="F2310" s="104"/>
      <c r="G2310" s="105"/>
      <c r="H2310" s="63">
        <v>153655895.36000001</v>
      </c>
      <c r="I2310" s="314"/>
      <c r="J2310" s="37">
        <f t="shared" si="138"/>
        <v>-153655895.36000001</v>
      </c>
      <c r="K2310" s="110">
        <f t="shared" si="139"/>
        <v>153655895.36333072</v>
      </c>
      <c r="L2310" s="60"/>
      <c r="M2310" s="41"/>
      <c r="N2310" s="41"/>
      <c r="O2310" s="41"/>
    </row>
    <row r="2311" spans="1:15" s="7" customFormat="1" ht="18.75">
      <c r="A2311" s="81"/>
      <c r="B2311" s="57"/>
      <c r="C2311" s="62" t="s">
        <v>170</v>
      </c>
      <c r="D2311" s="103" t="s">
        <v>321</v>
      </c>
      <c r="E2311" s="44"/>
      <c r="F2311" s="104">
        <v>138700022.05761451</v>
      </c>
      <c r="G2311" s="105" t="s">
        <v>172</v>
      </c>
      <c r="H2311" s="63">
        <v>138700022.05761451</v>
      </c>
      <c r="I2311" s="314" t="s">
        <v>274</v>
      </c>
      <c r="J2311" s="37">
        <f t="shared" si="138"/>
        <v>0</v>
      </c>
      <c r="K2311" s="110">
        <f t="shared" si="139"/>
        <v>3.3307075500488281E-3</v>
      </c>
      <c r="L2311" s="60"/>
      <c r="M2311" s="41"/>
      <c r="N2311" s="41"/>
      <c r="O2311" s="41"/>
    </row>
    <row r="2312" spans="1:15" s="7" customFormat="1" ht="18.75">
      <c r="A2312" s="81"/>
      <c r="B2312" s="57"/>
      <c r="C2312" s="62" t="s">
        <v>174</v>
      </c>
      <c r="D2312" s="103" t="s">
        <v>323</v>
      </c>
      <c r="E2312" s="44"/>
      <c r="F2312" s="104">
        <v>145221954.22724849</v>
      </c>
      <c r="G2312" s="105" t="s">
        <v>176</v>
      </c>
      <c r="H2312" s="63">
        <v>145221954.22724849</v>
      </c>
      <c r="I2312" s="314" t="s">
        <v>593</v>
      </c>
      <c r="J2312" s="37">
        <f t="shared" si="138"/>
        <v>0</v>
      </c>
      <c r="K2312" s="110">
        <f t="shared" si="139"/>
        <v>3.3307075500488281E-3</v>
      </c>
      <c r="L2312" s="60"/>
      <c r="M2312" s="41"/>
      <c r="N2312" s="41"/>
      <c r="O2312" s="41"/>
    </row>
    <row r="2313" spans="1:15" s="7" customFormat="1" ht="18.75">
      <c r="A2313" s="81"/>
      <c r="B2313" s="57"/>
      <c r="C2313" s="62" t="s">
        <v>178</v>
      </c>
      <c r="D2313" s="103" t="s">
        <v>44</v>
      </c>
      <c r="E2313" s="44"/>
      <c r="F2313" s="104">
        <v>142152837.35562</v>
      </c>
      <c r="G2313" s="105" t="s">
        <v>179</v>
      </c>
      <c r="H2313" s="63">
        <v>142152837.35562</v>
      </c>
      <c r="I2313" s="314" t="s">
        <v>1377</v>
      </c>
      <c r="J2313" s="37">
        <f t="shared" si="138"/>
        <v>0</v>
      </c>
      <c r="K2313" s="110">
        <f t="shared" si="139"/>
        <v>3.3307075500488281E-3</v>
      </c>
      <c r="L2313" s="60"/>
      <c r="M2313" s="41"/>
      <c r="N2313" s="41"/>
      <c r="O2313" s="41"/>
    </row>
    <row r="2314" spans="1:15" s="7" customFormat="1" ht="18.75">
      <c r="A2314" s="81"/>
      <c r="B2314" s="57"/>
      <c r="C2314" s="62" t="s">
        <v>181</v>
      </c>
      <c r="D2314" s="103" t="s">
        <v>326</v>
      </c>
      <c r="E2314" s="44"/>
      <c r="F2314" s="104">
        <v>146200888.50345299</v>
      </c>
      <c r="G2314" s="105" t="s">
        <v>183</v>
      </c>
      <c r="H2314" s="63">
        <v>146200888.50345299</v>
      </c>
      <c r="I2314" s="314" t="s">
        <v>1517</v>
      </c>
      <c r="J2314" s="37">
        <f t="shared" si="138"/>
        <v>0</v>
      </c>
      <c r="K2314" s="110">
        <f t="shared" si="139"/>
        <v>3.3307075500488281E-3</v>
      </c>
      <c r="L2314" s="60"/>
      <c r="M2314" s="41"/>
      <c r="N2314" s="41"/>
      <c r="O2314" s="41"/>
    </row>
    <row r="2315" spans="1:15" s="7" customFormat="1" ht="18.75">
      <c r="A2315" s="81"/>
      <c r="B2315" s="57"/>
      <c r="C2315" s="62" t="s">
        <v>185</v>
      </c>
      <c r="D2315" s="103" t="s">
        <v>328</v>
      </c>
      <c r="E2315" s="44"/>
      <c r="F2315" s="104">
        <v>149770007.64137998</v>
      </c>
      <c r="G2315" s="105" t="s">
        <v>730</v>
      </c>
      <c r="H2315" s="63">
        <v>146579478.75</v>
      </c>
      <c r="I2315" s="314" t="s">
        <v>781</v>
      </c>
      <c r="J2315" s="37">
        <f t="shared" si="138"/>
        <v>3190528.8913799822</v>
      </c>
      <c r="K2315" s="110">
        <f t="shared" si="139"/>
        <v>3.3307075500488281E-3</v>
      </c>
      <c r="L2315" s="60"/>
      <c r="M2315" s="41"/>
      <c r="N2315" s="41"/>
      <c r="O2315" s="41"/>
    </row>
    <row r="2316" spans="1:15" s="7" customFormat="1" ht="18.75">
      <c r="A2316" s="81"/>
      <c r="B2316" s="57"/>
      <c r="C2316" s="62" t="s">
        <v>189</v>
      </c>
      <c r="D2316" s="103" t="s">
        <v>330</v>
      </c>
      <c r="E2316" s="44"/>
      <c r="F2316" s="104">
        <v>143837106.10553548</v>
      </c>
      <c r="G2316" s="105" t="s">
        <v>377</v>
      </c>
      <c r="H2316" s="63">
        <v>140772907.75</v>
      </c>
      <c r="I2316" s="314" t="s">
        <v>849</v>
      </c>
      <c r="J2316" s="37">
        <f t="shared" si="138"/>
        <v>3064198.3555354774</v>
      </c>
      <c r="K2316" s="110">
        <f t="shared" si="139"/>
        <v>3190528.8947106898</v>
      </c>
      <c r="L2316" s="60"/>
      <c r="M2316" s="41"/>
      <c r="N2316" s="60"/>
      <c r="O2316" s="41"/>
    </row>
    <row r="2317" spans="1:15" s="7" customFormat="1" ht="18.75">
      <c r="A2317" s="81"/>
      <c r="B2317" s="57"/>
      <c r="C2317" s="62" t="s">
        <v>191</v>
      </c>
      <c r="D2317" s="103" t="s">
        <v>332</v>
      </c>
      <c r="E2317" s="44">
        <v>43986</v>
      </c>
      <c r="F2317" s="104">
        <v>193156531.619793</v>
      </c>
      <c r="G2317" s="105" t="s">
        <v>193</v>
      </c>
      <c r="H2317" s="63">
        <v>189041668.75</v>
      </c>
      <c r="I2317" s="314" t="s">
        <v>198</v>
      </c>
      <c r="J2317" s="37">
        <f t="shared" si="138"/>
        <v>4114862.8697929978</v>
      </c>
      <c r="K2317" s="110">
        <f t="shared" si="139"/>
        <v>6254727.2502461672</v>
      </c>
      <c r="L2317" s="60"/>
      <c r="M2317" s="41"/>
      <c r="N2317" s="41"/>
      <c r="O2317" s="41"/>
    </row>
    <row r="2318" spans="1:15" s="7" customFormat="1" ht="18.75">
      <c r="A2318" s="81"/>
      <c r="B2318" s="57"/>
      <c r="C2318" s="62" t="s">
        <v>195</v>
      </c>
      <c r="D2318" s="103" t="s">
        <v>333</v>
      </c>
      <c r="E2318" s="44" t="s">
        <v>197</v>
      </c>
      <c r="F2318" s="104">
        <v>176971642.96125001</v>
      </c>
      <c r="G2318" s="105" t="s">
        <v>334</v>
      </c>
      <c r="H2318" s="63">
        <v>173201571.75</v>
      </c>
      <c r="I2318" s="314" t="s">
        <v>1562</v>
      </c>
      <c r="J2318" s="37">
        <f t="shared" si="138"/>
        <v>3770071.2112500072</v>
      </c>
      <c r="K2318" s="110">
        <f t="shared" si="139"/>
        <v>10369590.120039165</v>
      </c>
      <c r="L2318" s="60"/>
      <c r="M2318" s="41"/>
      <c r="N2318" s="41"/>
      <c r="O2318" s="41"/>
    </row>
    <row r="2319" spans="1:15" s="7" customFormat="1" ht="18.75">
      <c r="A2319" s="81"/>
      <c r="B2319" s="57"/>
      <c r="C2319" s="62" t="s">
        <v>199</v>
      </c>
      <c r="D2319" s="103" t="s">
        <v>335</v>
      </c>
      <c r="E2319" s="44">
        <v>44049</v>
      </c>
      <c r="F2319" s="104">
        <v>166752217.53078002</v>
      </c>
      <c r="G2319" s="105" t="s">
        <v>734</v>
      </c>
      <c r="H2319" s="63">
        <f>166752217.53078+14139661.33</f>
        <v>180891878.86078</v>
      </c>
      <c r="I2319" s="314" t="s">
        <v>708</v>
      </c>
      <c r="J2319" s="37">
        <f t="shared" si="138"/>
        <v>-14139661.329999983</v>
      </c>
      <c r="K2319" s="110">
        <f t="shared" si="139"/>
        <v>14139661.331289172</v>
      </c>
      <c r="L2319" s="60"/>
      <c r="M2319" s="41"/>
      <c r="N2319" s="41"/>
      <c r="O2319" s="41"/>
    </row>
    <row r="2320" spans="1:15" s="7" customFormat="1" ht="18.75">
      <c r="A2320" s="81"/>
      <c r="B2320" s="57"/>
      <c r="C2320" s="62" t="s">
        <v>201</v>
      </c>
      <c r="D2320" s="103" t="s">
        <v>337</v>
      </c>
      <c r="E2320" s="44">
        <v>44081</v>
      </c>
      <c r="F2320" s="104">
        <v>166360623.12239999</v>
      </c>
      <c r="G2320" s="105" t="s">
        <v>290</v>
      </c>
      <c r="H2320" s="63">
        <v>166360623.12239999</v>
      </c>
      <c r="I2320" s="314" t="s">
        <v>1771</v>
      </c>
      <c r="J2320" s="37">
        <f t="shared" si="138"/>
        <v>0</v>
      </c>
      <c r="K2320" s="110">
        <f t="shared" si="139"/>
        <v>1.2891888618469238E-3</v>
      </c>
      <c r="L2320" s="60"/>
      <c r="M2320" s="41"/>
      <c r="N2320" s="41"/>
      <c r="O2320" s="41"/>
    </row>
    <row r="2321" spans="1:15" s="7" customFormat="1" ht="18.75">
      <c r="A2321" s="81"/>
      <c r="B2321" s="57"/>
      <c r="C2321" s="62" t="s">
        <v>203</v>
      </c>
      <c r="D2321" s="103" t="s">
        <v>338</v>
      </c>
      <c r="E2321" s="44">
        <v>44020</v>
      </c>
      <c r="F2321" s="104">
        <v>177494423.13391203</v>
      </c>
      <c r="G2321" s="105">
        <v>44021</v>
      </c>
      <c r="H2321" s="63">
        <v>177494423.13391203</v>
      </c>
      <c r="I2321" s="314" t="s">
        <v>287</v>
      </c>
      <c r="J2321" s="37">
        <f t="shared" si="138"/>
        <v>0</v>
      </c>
      <c r="K2321" s="110">
        <f t="shared" si="139"/>
        <v>1.2891888618469238E-3</v>
      </c>
      <c r="L2321" s="60"/>
      <c r="M2321" s="41"/>
      <c r="N2321" s="41"/>
      <c r="O2321" s="41"/>
    </row>
    <row r="2322" spans="1:15" s="7" customFormat="1" ht="18.75">
      <c r="A2322" s="81"/>
      <c r="B2322" s="57"/>
      <c r="C2322" s="62" t="s">
        <v>207</v>
      </c>
      <c r="D2322" s="103" t="s">
        <v>340</v>
      </c>
      <c r="E2322" s="44" t="s">
        <v>209</v>
      </c>
      <c r="F2322" s="104">
        <v>234675600.75</v>
      </c>
      <c r="G2322" s="105" t="s">
        <v>210</v>
      </c>
      <c r="H2322" s="63">
        <v>234675600.75</v>
      </c>
      <c r="I2322" s="314" t="s">
        <v>288</v>
      </c>
      <c r="J2322" s="37">
        <f t="shared" si="138"/>
        <v>0</v>
      </c>
      <c r="K2322" s="110">
        <f t="shared" si="139"/>
        <v>1.2891888618469238E-3</v>
      </c>
      <c r="L2322" s="60"/>
      <c r="M2322" s="41"/>
      <c r="N2322" s="41"/>
      <c r="O2322" s="41"/>
    </row>
    <row r="2323" spans="1:15" s="7" customFormat="1" ht="18.75">
      <c r="A2323" s="81"/>
      <c r="B2323" s="57"/>
      <c r="C2323" s="62" t="s">
        <v>212</v>
      </c>
      <c r="D2323" s="103" t="s">
        <v>341</v>
      </c>
      <c r="E2323" s="44" t="s">
        <v>1717</v>
      </c>
      <c r="F2323" s="104">
        <v>289832660.54044974</v>
      </c>
      <c r="G2323" s="105" t="s">
        <v>213</v>
      </c>
      <c r="H2323" s="63">
        <v>289832660.54044974</v>
      </c>
      <c r="I2323" s="314" t="s">
        <v>1150</v>
      </c>
      <c r="J2323" s="37">
        <f t="shared" si="138"/>
        <v>0</v>
      </c>
      <c r="K2323" s="110">
        <f t="shared" si="139"/>
        <v>1.2891888618469238E-3</v>
      </c>
      <c r="L2323" s="60"/>
      <c r="M2323" s="41"/>
      <c r="N2323" s="41"/>
      <c r="O2323" s="41"/>
    </row>
    <row r="2324" spans="1:15" s="7" customFormat="1" ht="18.75">
      <c r="A2324" s="81"/>
      <c r="B2324" s="57"/>
      <c r="C2324" s="62" t="s">
        <v>214</v>
      </c>
      <c r="D2324" s="103" t="s">
        <v>343</v>
      </c>
      <c r="E2324" s="44">
        <v>0</v>
      </c>
      <c r="F2324" s="104">
        <v>305295185.31752002</v>
      </c>
      <c r="G2324" s="105">
        <v>43963</v>
      </c>
      <c r="H2324" s="63">
        <v>305295185.31752002</v>
      </c>
      <c r="I2324" s="314" t="s">
        <v>1772</v>
      </c>
      <c r="J2324" s="37">
        <f>F2324-H2324</f>
        <v>0</v>
      </c>
      <c r="K2324" s="110">
        <f t="shared" si="139"/>
        <v>1.2891888618469238E-3</v>
      </c>
      <c r="L2324" s="60"/>
      <c r="M2324" s="41"/>
      <c r="N2324" s="41"/>
      <c r="O2324" s="41"/>
    </row>
    <row r="2325" spans="1:15" s="7" customFormat="1" ht="18.75">
      <c r="A2325" s="81"/>
      <c r="B2325" s="57"/>
      <c r="C2325" s="62" t="s">
        <v>218</v>
      </c>
      <c r="D2325" s="103" t="s">
        <v>344</v>
      </c>
      <c r="E2325" s="44">
        <v>44024</v>
      </c>
      <c r="F2325" s="104">
        <v>292193053.29602194</v>
      </c>
      <c r="G2325" s="105">
        <v>44531</v>
      </c>
      <c r="H2325" s="63">
        <v>292193053.29602194</v>
      </c>
      <c r="I2325" s="314" t="s">
        <v>604</v>
      </c>
      <c r="J2325" s="37">
        <f>F2325-H2325</f>
        <v>0</v>
      </c>
      <c r="K2325" s="110">
        <f t="shared" si="139"/>
        <v>1.2891888618469238E-3</v>
      </c>
      <c r="L2325" s="60"/>
      <c r="M2325" s="41"/>
      <c r="N2325" s="41"/>
      <c r="O2325" s="41"/>
    </row>
    <row r="2326" spans="1:15" s="7" customFormat="1" ht="18.75">
      <c r="A2326" s="81"/>
      <c r="B2326" s="57"/>
      <c r="C2326" s="62" t="s">
        <v>219</v>
      </c>
      <c r="D2326" s="103" t="s">
        <v>345</v>
      </c>
      <c r="E2326" s="44">
        <v>44409</v>
      </c>
      <c r="F2326" s="104">
        <v>322891885.247931</v>
      </c>
      <c r="G2326" s="105" t="s">
        <v>220</v>
      </c>
      <c r="H2326" s="63">
        <v>322891885.247931</v>
      </c>
      <c r="I2326" s="314" t="s">
        <v>589</v>
      </c>
      <c r="J2326" s="37">
        <f>F2326-H2326</f>
        <v>0</v>
      </c>
      <c r="K2326" s="110">
        <f t="shared" si="139"/>
        <v>1.2891888618469238E-3</v>
      </c>
      <c r="L2326" s="60"/>
      <c r="M2326" s="41"/>
      <c r="N2326" s="41"/>
      <c r="O2326" s="41"/>
    </row>
    <row r="2327" spans="1:15" s="7" customFormat="1" ht="18.75">
      <c r="A2327" s="81"/>
      <c r="B2327" s="57"/>
      <c r="C2327" s="62" t="s">
        <v>221</v>
      </c>
      <c r="D2327" s="103" t="s">
        <v>346</v>
      </c>
      <c r="E2327" s="44">
        <v>44441</v>
      </c>
      <c r="F2327" s="104">
        <v>346501868.23357874</v>
      </c>
      <c r="G2327" s="105" t="s">
        <v>93</v>
      </c>
      <c r="H2327" s="55">
        <v>346501868.23357874</v>
      </c>
      <c r="I2327" s="7" t="s">
        <v>85</v>
      </c>
      <c r="J2327" s="37">
        <f>F2327-H2327</f>
        <v>0</v>
      </c>
      <c r="K2327" s="110">
        <f t="shared" si="139"/>
        <v>1.2891888618469238E-3</v>
      </c>
      <c r="L2327" s="60"/>
      <c r="M2327" s="41"/>
      <c r="N2327" s="41"/>
      <c r="O2327" s="41"/>
    </row>
    <row r="2328" spans="1:15" s="7" customFormat="1" ht="18.75">
      <c r="A2328" s="81"/>
      <c r="B2328" s="57"/>
      <c r="C2328" s="62" t="s">
        <v>222</v>
      </c>
      <c r="D2328" s="103" t="s">
        <v>347</v>
      </c>
      <c r="E2328" s="44">
        <v>44319</v>
      </c>
      <c r="F2328" s="104">
        <v>310763192.9882288</v>
      </c>
      <c r="G2328" s="105" t="s">
        <v>224</v>
      </c>
      <c r="H2328" s="55">
        <v>310763192.9882288</v>
      </c>
      <c r="I2328" s="53" t="s">
        <v>1081</v>
      </c>
      <c r="J2328" s="37">
        <f>F2328-H2328</f>
        <v>0</v>
      </c>
      <c r="K2328" s="110">
        <f t="shared" si="139"/>
        <v>1.2891888618469238E-3</v>
      </c>
      <c r="L2328" s="60"/>
      <c r="M2328" s="41"/>
      <c r="N2328" s="41"/>
      <c r="O2328" s="41"/>
    </row>
    <row r="2329" spans="1:15" s="7" customFormat="1" ht="18.75">
      <c r="A2329" s="81"/>
      <c r="B2329" s="57" t="s">
        <v>1773</v>
      </c>
      <c r="C2329" s="41"/>
      <c r="D2329" s="32"/>
      <c r="E2329" s="44"/>
      <c r="F2329" s="34"/>
      <c r="G2329" s="58"/>
      <c r="H2329" s="54"/>
      <c r="I2329" s="162"/>
      <c r="J2329" s="37"/>
      <c r="K2329" s="116">
        <f t="shared" si="139"/>
        <v>1.2891888618469238E-3</v>
      </c>
      <c r="L2329" s="60"/>
      <c r="M2329" s="41"/>
      <c r="N2329" s="41"/>
      <c r="O2329" s="41"/>
    </row>
    <row r="2330" spans="1:15" s="7" customFormat="1" ht="18.75">
      <c r="A2330" s="81"/>
      <c r="B2330" s="57"/>
      <c r="C2330" s="41"/>
      <c r="D2330" s="32"/>
      <c r="E2330" s="44"/>
      <c r="F2330" s="34"/>
      <c r="G2330" s="58"/>
      <c r="H2330" s="54"/>
      <c r="I2330" s="162"/>
      <c r="J2330" s="37"/>
      <c r="K2330" s="116"/>
      <c r="L2330" s="60"/>
      <c r="M2330" s="41"/>
      <c r="N2330" s="41"/>
      <c r="O2330" s="41"/>
    </row>
    <row r="2331" spans="1:15" s="7" customFormat="1" ht="18.75">
      <c r="A2331" s="30">
        <v>63</v>
      </c>
      <c r="B2331" s="210" t="s">
        <v>126</v>
      </c>
      <c r="C2331" s="315" t="s">
        <v>1774</v>
      </c>
      <c r="D2331" s="32" t="s">
        <v>448</v>
      </c>
      <c r="E2331" s="44"/>
      <c r="F2331" s="34">
        <v>10297711710.208611</v>
      </c>
      <c r="G2331" s="143" t="s">
        <v>1775</v>
      </c>
      <c r="H2331" s="54">
        <v>0</v>
      </c>
      <c r="I2331" s="35"/>
      <c r="J2331" s="37">
        <f t="shared" ref="J2331:J2385" si="140">F2331-H2331</f>
        <v>10297711710.208611</v>
      </c>
      <c r="K2331" s="110">
        <v>0</v>
      </c>
      <c r="L2331" s="39"/>
      <c r="M2331" s="316"/>
      <c r="N2331" s="316"/>
      <c r="O2331" s="41"/>
    </row>
    <row r="2332" spans="1:15" s="7" customFormat="1" ht="18.75">
      <c r="A2332" s="30"/>
      <c r="B2332" s="210"/>
      <c r="C2332" s="315" t="s">
        <v>471</v>
      </c>
      <c r="D2332" s="32" t="s">
        <v>1776</v>
      </c>
      <c r="E2332" s="44"/>
      <c r="F2332" s="34">
        <v>372449668.17000002</v>
      </c>
      <c r="G2332" s="143" t="s">
        <v>1777</v>
      </c>
      <c r="H2332" s="54">
        <v>0</v>
      </c>
      <c r="I2332" s="35"/>
      <c r="J2332" s="37">
        <f t="shared" si="140"/>
        <v>372449668.17000002</v>
      </c>
      <c r="K2332" s="317">
        <f>K2331+J2331</f>
        <v>10297711710.208611</v>
      </c>
      <c r="L2332" s="39"/>
      <c r="M2332" s="316"/>
      <c r="N2332" s="316"/>
      <c r="O2332" s="41"/>
    </row>
    <row r="2333" spans="1:15" s="7" customFormat="1" ht="18.75">
      <c r="A2333" s="30"/>
      <c r="B2333" s="210"/>
      <c r="C2333" s="315" t="s">
        <v>398</v>
      </c>
      <c r="D2333" s="32" t="s">
        <v>452</v>
      </c>
      <c r="E2333" s="44"/>
      <c r="F2333" s="34">
        <v>197827890.69</v>
      </c>
      <c r="G2333" s="143" t="s">
        <v>1778</v>
      </c>
      <c r="H2333" s="54">
        <v>0</v>
      </c>
      <c r="I2333" s="35"/>
      <c r="J2333" s="37">
        <f t="shared" si="140"/>
        <v>197827890.69</v>
      </c>
      <c r="K2333" s="317">
        <f>K2332+J2332</f>
        <v>10670161378.378611</v>
      </c>
      <c r="L2333" s="39"/>
      <c r="M2333" s="316"/>
      <c r="N2333" s="316"/>
      <c r="O2333" s="41"/>
    </row>
    <row r="2334" spans="1:15" s="7" customFormat="1" ht="18.75">
      <c r="A2334" s="30"/>
      <c r="B2334" s="210"/>
      <c r="C2334" s="315" t="s">
        <v>1403</v>
      </c>
      <c r="D2334" s="32" t="s">
        <v>452</v>
      </c>
      <c r="E2334" s="44"/>
      <c r="F2334" s="34">
        <v>211230350.30000001</v>
      </c>
      <c r="G2334" s="143" t="s">
        <v>1779</v>
      </c>
      <c r="H2334" s="54">
        <v>0</v>
      </c>
      <c r="I2334" s="35"/>
      <c r="J2334" s="37">
        <f t="shared" si="140"/>
        <v>211230350.30000001</v>
      </c>
      <c r="K2334" s="317">
        <f>K2333+J2333</f>
        <v>10867989269.068611</v>
      </c>
      <c r="L2334" s="39"/>
      <c r="M2334" s="316"/>
      <c r="N2334" s="316"/>
      <c r="O2334" s="41"/>
    </row>
    <row r="2335" spans="1:15" s="7" customFormat="1" ht="18.75">
      <c r="A2335" s="30"/>
      <c r="B2335" s="210"/>
      <c r="C2335" s="315" t="s">
        <v>401</v>
      </c>
      <c r="D2335" s="32" t="s">
        <v>453</v>
      </c>
      <c r="E2335" s="44"/>
      <c r="F2335" s="34">
        <v>255707623</v>
      </c>
      <c r="G2335" s="143" t="s">
        <v>1780</v>
      </c>
      <c r="H2335" s="54">
        <v>0</v>
      </c>
      <c r="I2335" s="35"/>
      <c r="J2335" s="37">
        <f t="shared" si="140"/>
        <v>255707623</v>
      </c>
      <c r="K2335" s="317">
        <f t="shared" ref="K2335:K2391" si="141">K2334+J2334</f>
        <v>11079219619.36861</v>
      </c>
      <c r="L2335" s="39"/>
      <c r="M2335" s="316"/>
      <c r="N2335" s="316"/>
      <c r="O2335" s="41"/>
    </row>
    <row r="2336" spans="1:15" s="7" customFormat="1" ht="18.75">
      <c r="A2336" s="30"/>
      <c r="B2336" s="210"/>
      <c r="C2336" s="74" t="s">
        <v>404</v>
      </c>
      <c r="D2336" s="32" t="s">
        <v>454</v>
      </c>
      <c r="E2336" s="44"/>
      <c r="F2336" s="34">
        <v>242835010.94999999</v>
      </c>
      <c r="G2336" s="199" t="s">
        <v>1781</v>
      </c>
      <c r="H2336" s="54">
        <v>0</v>
      </c>
      <c r="I2336" s="35"/>
      <c r="J2336" s="37">
        <f t="shared" si="140"/>
        <v>242835010.94999999</v>
      </c>
      <c r="K2336" s="317">
        <f t="shared" si="141"/>
        <v>11334927242.36861</v>
      </c>
      <c r="L2336" s="39"/>
      <c r="M2336" s="316"/>
      <c r="N2336" s="316"/>
      <c r="O2336" s="41"/>
    </row>
    <row r="2337" spans="1:15" s="7" customFormat="1" ht="18.75">
      <c r="A2337" s="30"/>
      <c r="B2337" s="210"/>
      <c r="C2337" s="41" t="s">
        <v>406</v>
      </c>
      <c r="D2337" s="32" t="s">
        <v>455</v>
      </c>
      <c r="E2337" s="44"/>
      <c r="F2337" s="34">
        <v>397435814.80000001</v>
      </c>
      <c r="G2337" s="143" t="s">
        <v>1407</v>
      </c>
      <c r="H2337" s="54">
        <v>0</v>
      </c>
      <c r="I2337" s="35"/>
      <c r="J2337" s="37">
        <f t="shared" si="140"/>
        <v>397435814.80000001</v>
      </c>
      <c r="K2337" s="317">
        <f t="shared" si="141"/>
        <v>11577762253.318611</v>
      </c>
      <c r="L2337" s="39"/>
      <c r="M2337" s="316"/>
      <c r="N2337" s="316"/>
      <c r="O2337" s="41"/>
    </row>
    <row r="2338" spans="1:15" s="7" customFormat="1" ht="18.75">
      <c r="A2338" s="30"/>
      <c r="B2338" s="210"/>
      <c r="C2338" s="41" t="s">
        <v>409</v>
      </c>
      <c r="D2338" s="32" t="s">
        <v>31</v>
      </c>
      <c r="E2338" s="44"/>
      <c r="F2338" s="34">
        <v>537791498.98000002</v>
      </c>
      <c r="G2338" s="143" t="s">
        <v>1782</v>
      </c>
      <c r="H2338" s="54">
        <v>0</v>
      </c>
      <c r="I2338" s="35"/>
      <c r="J2338" s="37">
        <f t="shared" si="140"/>
        <v>537791498.98000002</v>
      </c>
      <c r="K2338" s="317">
        <f t="shared" si="141"/>
        <v>11975198068.11861</v>
      </c>
      <c r="L2338" s="39"/>
      <c r="M2338" s="316"/>
      <c r="N2338" s="316"/>
      <c r="O2338" s="41"/>
    </row>
    <row r="2339" spans="1:15" s="7" customFormat="1" ht="18.75">
      <c r="A2339" s="30"/>
      <c r="B2339" s="210"/>
      <c r="C2339" s="41" t="s">
        <v>411</v>
      </c>
      <c r="D2339" s="32" t="s">
        <v>457</v>
      </c>
      <c r="E2339" s="44"/>
      <c r="F2339" s="34">
        <v>506384287.01999998</v>
      </c>
      <c r="G2339" s="143" t="s">
        <v>1409</v>
      </c>
      <c r="H2339" s="54">
        <v>0</v>
      </c>
      <c r="I2339" s="35"/>
      <c r="J2339" s="37">
        <f t="shared" si="140"/>
        <v>506384287.01999998</v>
      </c>
      <c r="K2339" s="317">
        <f t="shared" si="141"/>
        <v>12512989567.09861</v>
      </c>
      <c r="L2339" s="39"/>
      <c r="M2339" s="316"/>
      <c r="N2339" s="316"/>
      <c r="O2339" s="41"/>
    </row>
    <row r="2340" spans="1:15" s="7" customFormat="1" ht="18.75">
      <c r="A2340" s="30"/>
      <c r="B2340" s="210"/>
      <c r="C2340" s="41" t="s">
        <v>414</v>
      </c>
      <c r="D2340" s="32" t="s">
        <v>457</v>
      </c>
      <c r="E2340" s="44"/>
      <c r="F2340" s="34">
        <v>461308526.16000003</v>
      </c>
      <c r="G2340" s="143" t="s">
        <v>1783</v>
      </c>
      <c r="H2340" s="54">
        <v>0</v>
      </c>
      <c r="I2340" s="35"/>
      <c r="J2340" s="37">
        <f t="shared" si="140"/>
        <v>461308526.16000003</v>
      </c>
      <c r="K2340" s="317">
        <f t="shared" si="141"/>
        <v>13019373854.11861</v>
      </c>
      <c r="L2340" s="39"/>
      <c r="M2340" s="316"/>
      <c r="N2340" s="316"/>
      <c r="O2340" s="41"/>
    </row>
    <row r="2341" spans="1:15" s="7" customFormat="1" ht="18.75">
      <c r="A2341" s="30"/>
      <c r="B2341" s="210"/>
      <c r="C2341" s="41" t="s">
        <v>1412</v>
      </c>
      <c r="D2341" s="32" t="s">
        <v>1784</v>
      </c>
      <c r="E2341" s="44"/>
      <c r="F2341" s="34">
        <v>593865868.54999995</v>
      </c>
      <c r="G2341" s="318">
        <v>42441</v>
      </c>
      <c r="H2341" s="54">
        <v>0</v>
      </c>
      <c r="I2341" s="35"/>
      <c r="J2341" s="37">
        <f t="shared" si="140"/>
        <v>593865868.54999995</v>
      </c>
      <c r="K2341" s="317">
        <f t="shared" si="141"/>
        <v>13480682380.27861</v>
      </c>
      <c r="L2341" s="39"/>
      <c r="M2341" s="316"/>
      <c r="N2341" s="316"/>
      <c r="O2341" s="41"/>
    </row>
    <row r="2342" spans="1:15" s="7" customFormat="1" ht="18.75">
      <c r="A2342" s="30"/>
      <c r="B2342" s="210"/>
      <c r="C2342" s="41" t="s">
        <v>609</v>
      </c>
      <c r="D2342" s="32" t="s">
        <v>1785</v>
      </c>
      <c r="E2342" s="44"/>
      <c r="F2342" s="319">
        <v>408696575.56</v>
      </c>
      <c r="G2342" s="143" t="s">
        <v>1786</v>
      </c>
      <c r="H2342" s="54">
        <v>0</v>
      </c>
      <c r="I2342" s="35"/>
      <c r="J2342" s="37">
        <f t="shared" si="140"/>
        <v>408696575.56</v>
      </c>
      <c r="K2342" s="317">
        <f t="shared" si="141"/>
        <v>14074548248.828609</v>
      </c>
      <c r="L2342" s="39"/>
      <c r="M2342" s="316"/>
      <c r="N2342" s="316"/>
      <c r="O2342" s="41"/>
    </row>
    <row r="2343" spans="1:15" s="7" customFormat="1" ht="18.75">
      <c r="A2343" s="30"/>
      <c r="B2343" s="210"/>
      <c r="C2343" s="41" t="s">
        <v>1624</v>
      </c>
      <c r="D2343" s="32" t="s">
        <v>1787</v>
      </c>
      <c r="E2343" s="44"/>
      <c r="F2343" s="319">
        <v>333327719.41000003</v>
      </c>
      <c r="G2343" s="199" t="s">
        <v>1726</v>
      </c>
      <c r="H2343" s="54">
        <v>0</v>
      </c>
      <c r="I2343" s="35"/>
      <c r="J2343" s="37">
        <f t="shared" si="140"/>
        <v>333327719.41000003</v>
      </c>
      <c r="K2343" s="317">
        <f t="shared" si="141"/>
        <v>14483244824.388609</v>
      </c>
      <c r="L2343" s="39"/>
      <c r="M2343" s="316"/>
      <c r="N2343" s="316"/>
      <c r="O2343" s="41"/>
    </row>
    <row r="2344" spans="1:15" s="7" customFormat="1" ht="18.75">
      <c r="A2344" s="30"/>
      <c r="B2344" s="210"/>
      <c r="C2344" s="29" t="s">
        <v>614</v>
      </c>
      <c r="D2344" s="32" t="s">
        <v>1788</v>
      </c>
      <c r="E2344" s="44"/>
      <c r="F2344" s="118">
        <v>372274314.61000001</v>
      </c>
      <c r="G2344" s="119" t="s">
        <v>1155</v>
      </c>
      <c r="H2344" s="54">
        <v>0</v>
      </c>
      <c r="I2344" s="35"/>
      <c r="J2344" s="37">
        <f t="shared" si="140"/>
        <v>372274314.61000001</v>
      </c>
      <c r="K2344" s="317">
        <f t="shared" si="141"/>
        <v>14816572543.798609</v>
      </c>
      <c r="L2344" s="39"/>
      <c r="M2344" s="316"/>
      <c r="N2344" s="316"/>
      <c r="O2344" s="41"/>
    </row>
    <row r="2345" spans="1:15" s="7" customFormat="1" ht="18.75">
      <c r="A2345" s="30"/>
      <c r="B2345" s="109"/>
      <c r="C2345" s="29" t="s">
        <v>489</v>
      </c>
      <c r="D2345" s="32" t="s">
        <v>1789</v>
      </c>
      <c r="E2345" s="44"/>
      <c r="F2345" s="118">
        <v>269483397.75999999</v>
      </c>
      <c r="G2345" s="119" t="s">
        <v>556</v>
      </c>
      <c r="H2345" s="54"/>
      <c r="I2345" s="35"/>
      <c r="J2345" s="37">
        <f t="shared" si="140"/>
        <v>269483397.75999999</v>
      </c>
      <c r="K2345" s="317">
        <f t="shared" si="141"/>
        <v>15188846858.408609</v>
      </c>
      <c r="L2345" s="39"/>
      <c r="M2345" s="316"/>
      <c r="N2345" s="316"/>
      <c r="O2345" s="41"/>
    </row>
    <row r="2346" spans="1:15" s="7" customFormat="1" ht="18.75">
      <c r="A2346" s="30"/>
      <c r="B2346" s="109"/>
      <c r="C2346" s="29" t="s">
        <v>618</v>
      </c>
      <c r="D2346" s="32" t="s">
        <v>1790</v>
      </c>
      <c r="E2346" s="44"/>
      <c r="F2346" s="118">
        <v>344609716.06</v>
      </c>
      <c r="G2346" s="119" t="s">
        <v>559</v>
      </c>
      <c r="H2346" s="54"/>
      <c r="I2346" s="35"/>
      <c r="J2346" s="37">
        <f t="shared" si="140"/>
        <v>344609716.06</v>
      </c>
      <c r="K2346" s="317">
        <f t="shared" si="141"/>
        <v>15458330256.16861</v>
      </c>
      <c r="L2346" s="39"/>
      <c r="M2346" s="316"/>
      <c r="N2346" s="316"/>
      <c r="O2346" s="41"/>
    </row>
    <row r="2347" spans="1:15" s="7" customFormat="1" ht="18.75">
      <c r="A2347" s="30"/>
      <c r="B2347" s="109"/>
      <c r="C2347" s="29" t="s">
        <v>560</v>
      </c>
      <c r="D2347" s="32" t="s">
        <v>1791</v>
      </c>
      <c r="E2347" s="44"/>
      <c r="F2347" s="95">
        <v>280460940.75</v>
      </c>
      <c r="G2347" s="98">
        <v>42831</v>
      </c>
      <c r="H2347" s="54"/>
      <c r="I2347" s="35"/>
      <c r="J2347" s="37">
        <f t="shared" si="140"/>
        <v>280460940.75</v>
      </c>
      <c r="K2347" s="317">
        <f t="shared" si="141"/>
        <v>15802939972.228609</v>
      </c>
      <c r="L2347" s="39"/>
      <c r="M2347" s="316"/>
      <c r="N2347" s="316"/>
      <c r="O2347" s="41"/>
    </row>
    <row r="2348" spans="1:15" s="7" customFormat="1" ht="18.75">
      <c r="A2348" s="30"/>
      <c r="B2348" s="109"/>
      <c r="C2348" s="29" t="s">
        <v>562</v>
      </c>
      <c r="D2348" s="32" t="s">
        <v>1792</v>
      </c>
      <c r="E2348" s="44"/>
      <c r="F2348" s="95">
        <v>266145462.62</v>
      </c>
      <c r="G2348" s="98">
        <v>42922</v>
      </c>
      <c r="H2348" s="54"/>
      <c r="I2348" s="35"/>
      <c r="J2348" s="37">
        <f t="shared" si="140"/>
        <v>266145462.62</v>
      </c>
      <c r="K2348" s="317">
        <f t="shared" si="141"/>
        <v>16083400912.978609</v>
      </c>
      <c r="L2348" s="39"/>
      <c r="M2348" s="316"/>
      <c r="N2348" s="316"/>
      <c r="O2348" s="41"/>
    </row>
    <row r="2349" spans="1:15" s="7" customFormat="1" ht="18.75">
      <c r="A2349" s="30"/>
      <c r="B2349" s="109"/>
      <c r="C2349" s="29" t="s">
        <v>494</v>
      </c>
      <c r="D2349" s="32" t="s">
        <v>1793</v>
      </c>
      <c r="E2349" s="44"/>
      <c r="F2349" s="95">
        <v>340096263.92000002</v>
      </c>
      <c r="G2349" s="98">
        <v>42959</v>
      </c>
      <c r="H2349" s="54"/>
      <c r="I2349" s="35"/>
      <c r="J2349" s="37">
        <f t="shared" si="140"/>
        <v>340096263.92000002</v>
      </c>
      <c r="K2349" s="317">
        <f t="shared" si="141"/>
        <v>16349546375.59861</v>
      </c>
      <c r="L2349" s="39"/>
      <c r="M2349" s="316"/>
      <c r="N2349" s="316"/>
      <c r="O2349" s="41"/>
    </row>
    <row r="2350" spans="1:15" s="7" customFormat="1" ht="18.75">
      <c r="A2350" s="30"/>
      <c r="B2350" s="109"/>
      <c r="C2350" s="29" t="s">
        <v>497</v>
      </c>
      <c r="D2350" s="32" t="s">
        <v>1794</v>
      </c>
      <c r="E2350" s="44"/>
      <c r="F2350" s="95">
        <v>303358398.63999999</v>
      </c>
      <c r="G2350" s="98">
        <v>42990</v>
      </c>
      <c r="H2350" s="54"/>
      <c r="I2350" s="35"/>
      <c r="J2350" s="37">
        <f t="shared" si="140"/>
        <v>303358398.63999999</v>
      </c>
      <c r="K2350" s="317">
        <f t="shared" si="141"/>
        <v>16689642639.51861</v>
      </c>
      <c r="L2350" s="39"/>
      <c r="M2350" s="316"/>
      <c r="N2350" s="316"/>
    </row>
    <row r="2351" spans="1:15" s="7" customFormat="1" ht="18.75">
      <c r="A2351" s="30"/>
      <c r="B2351" s="109"/>
      <c r="C2351" s="29" t="s">
        <v>498</v>
      </c>
      <c r="D2351" s="32" t="s">
        <v>1795</v>
      </c>
      <c r="E2351" s="44"/>
      <c r="F2351" s="95">
        <v>563936031.23000002</v>
      </c>
      <c r="G2351" s="98">
        <v>42988</v>
      </c>
      <c r="H2351" s="54"/>
      <c r="I2351" s="35"/>
      <c r="J2351" s="37">
        <f t="shared" si="140"/>
        <v>563936031.23000002</v>
      </c>
      <c r="K2351" s="317">
        <f t="shared" si="141"/>
        <v>16993001038.158609</v>
      </c>
      <c r="L2351" s="39"/>
      <c r="M2351" s="316"/>
      <c r="N2351" s="316"/>
    </row>
    <row r="2352" spans="1:15" s="7" customFormat="1" ht="18.75">
      <c r="A2352" s="30"/>
      <c r="B2352" s="109"/>
      <c r="C2352" s="29" t="s">
        <v>564</v>
      </c>
      <c r="D2352" s="32" t="s">
        <v>1796</v>
      </c>
      <c r="E2352" s="44"/>
      <c r="F2352" s="95">
        <v>398888647.82999998</v>
      </c>
      <c r="G2352" s="98">
        <v>43044</v>
      </c>
      <c r="H2352" s="54"/>
      <c r="I2352" s="35"/>
      <c r="J2352" s="37">
        <f t="shared" si="140"/>
        <v>398888647.82999998</v>
      </c>
      <c r="K2352" s="317">
        <f t="shared" si="141"/>
        <v>17556937069.388611</v>
      </c>
      <c r="L2352" s="39"/>
      <c r="M2352" s="316"/>
      <c r="N2352" s="316"/>
    </row>
    <row r="2353" spans="1:14" s="7" customFormat="1" ht="18.75">
      <c r="A2353" s="30"/>
      <c r="B2353" s="109"/>
      <c r="C2353" s="29" t="s">
        <v>500</v>
      </c>
      <c r="D2353" s="32" t="s">
        <v>1797</v>
      </c>
      <c r="E2353" s="44"/>
      <c r="F2353" s="95">
        <v>458869116.73000002</v>
      </c>
      <c r="G2353" s="98" t="s">
        <v>801</v>
      </c>
      <c r="H2353" s="54"/>
      <c r="I2353" s="35"/>
      <c r="J2353" s="37">
        <f t="shared" si="140"/>
        <v>458869116.73000002</v>
      </c>
      <c r="K2353" s="317">
        <f t="shared" si="141"/>
        <v>17955825717.218613</v>
      </c>
      <c r="L2353" s="39"/>
      <c r="M2353" s="316"/>
      <c r="N2353" s="316"/>
    </row>
    <row r="2354" spans="1:14" s="7" customFormat="1" ht="18.75">
      <c r="A2354" s="30"/>
      <c r="B2354" s="109"/>
      <c r="C2354" s="29" t="s">
        <v>501</v>
      </c>
      <c r="D2354" s="32" t="s">
        <v>1798</v>
      </c>
      <c r="E2354" s="44"/>
      <c r="F2354" s="95">
        <v>628807954.64999998</v>
      </c>
      <c r="G2354" s="98" t="s">
        <v>502</v>
      </c>
      <c r="H2354" s="54"/>
      <c r="I2354" s="35"/>
      <c r="J2354" s="37">
        <f t="shared" si="140"/>
        <v>628807954.64999998</v>
      </c>
      <c r="K2354" s="317">
        <f t="shared" si="141"/>
        <v>18414694833.948612</v>
      </c>
      <c r="L2354" s="39"/>
      <c r="M2354" s="316"/>
      <c r="N2354" s="316"/>
    </row>
    <row r="2355" spans="1:14" s="7" customFormat="1" ht="18.75">
      <c r="A2355" s="30"/>
      <c r="B2355" s="109"/>
      <c r="C2355" s="29" t="s">
        <v>504</v>
      </c>
      <c r="D2355" s="32" t="s">
        <v>1799</v>
      </c>
      <c r="E2355" s="44"/>
      <c r="F2355" s="95">
        <v>192706928.78</v>
      </c>
      <c r="G2355" s="75">
        <v>43222</v>
      </c>
      <c r="H2355" s="54"/>
      <c r="I2355" s="35"/>
      <c r="J2355" s="37">
        <f t="shared" si="140"/>
        <v>192706928.78</v>
      </c>
      <c r="K2355" s="317">
        <f t="shared" si="141"/>
        <v>19043502788.598614</v>
      </c>
      <c r="L2355" s="39"/>
      <c r="M2355" s="316"/>
      <c r="N2355" s="316"/>
    </row>
    <row r="2356" spans="1:14" s="7" customFormat="1" ht="18.75">
      <c r="A2356" s="30"/>
      <c r="B2356" s="109"/>
      <c r="C2356" s="29" t="s">
        <v>506</v>
      </c>
      <c r="D2356" s="32" t="s">
        <v>1800</v>
      </c>
      <c r="E2356" s="44"/>
      <c r="F2356" s="95">
        <v>204974731.13999999</v>
      </c>
      <c r="G2356" s="75">
        <v>43376</v>
      </c>
      <c r="H2356" s="54"/>
      <c r="I2356" s="35"/>
      <c r="J2356" s="37">
        <f t="shared" si="140"/>
        <v>204974731.13999999</v>
      </c>
      <c r="K2356" s="317">
        <f t="shared" si="141"/>
        <v>19236209717.378613</v>
      </c>
      <c r="L2356" s="39"/>
      <c r="M2356" s="316"/>
      <c r="N2356" s="316"/>
    </row>
    <row r="2357" spans="1:14" s="7" customFormat="1" ht="18.75">
      <c r="A2357" s="30"/>
      <c r="B2357" s="109"/>
      <c r="C2357" s="29" t="s">
        <v>508</v>
      </c>
      <c r="D2357" s="32" t="s">
        <v>1801</v>
      </c>
      <c r="E2357" s="44"/>
      <c r="F2357" s="95">
        <v>343785138.07999998</v>
      </c>
      <c r="G2357" s="75" t="s">
        <v>509</v>
      </c>
      <c r="H2357" s="54"/>
      <c r="I2357" s="35"/>
      <c r="J2357" s="37">
        <f t="shared" si="140"/>
        <v>343785138.07999998</v>
      </c>
      <c r="K2357" s="317">
        <f t="shared" si="141"/>
        <v>19441184448.518612</v>
      </c>
      <c r="L2357" s="39"/>
      <c r="M2357" s="316"/>
      <c r="N2357" s="316"/>
    </row>
    <row r="2358" spans="1:14" s="7" customFormat="1" ht="18.75">
      <c r="A2358" s="30"/>
      <c r="B2358" s="109"/>
      <c r="C2358" s="29" t="s">
        <v>355</v>
      </c>
      <c r="D2358" s="32" t="s">
        <v>1802</v>
      </c>
      <c r="E2358" s="44"/>
      <c r="F2358" s="95">
        <v>607013905.21513546</v>
      </c>
      <c r="G2358" s="75" t="s">
        <v>510</v>
      </c>
      <c r="H2358" s="54"/>
      <c r="I2358" s="35"/>
      <c r="J2358" s="37">
        <f t="shared" si="140"/>
        <v>607013905.21513546</v>
      </c>
      <c r="K2358" s="317">
        <f t="shared" si="141"/>
        <v>19784969586.598614</v>
      </c>
      <c r="L2358" s="39"/>
      <c r="M2358" s="316"/>
      <c r="N2358" s="316"/>
    </row>
    <row r="2359" spans="1:14" s="7" customFormat="1" ht="18.75">
      <c r="A2359" s="30"/>
      <c r="B2359" s="109"/>
      <c r="C2359" s="31" t="s">
        <v>234</v>
      </c>
      <c r="D2359" s="32" t="s">
        <v>1803</v>
      </c>
      <c r="E2359" s="44"/>
      <c r="F2359" s="95">
        <v>253113354.44397804</v>
      </c>
      <c r="G2359" s="75" t="s">
        <v>569</v>
      </c>
      <c r="H2359" s="54"/>
      <c r="I2359" s="35"/>
      <c r="J2359" s="37">
        <f t="shared" si="140"/>
        <v>253113354.44397804</v>
      </c>
      <c r="K2359" s="317">
        <f t="shared" si="141"/>
        <v>20391983491.813747</v>
      </c>
      <c r="L2359" s="39"/>
      <c r="M2359" s="316"/>
      <c r="N2359" s="316"/>
    </row>
    <row r="2360" spans="1:14" s="7" customFormat="1" ht="18.75">
      <c r="A2360" s="30"/>
      <c r="B2360" s="109"/>
      <c r="C2360" s="31" t="s">
        <v>514</v>
      </c>
      <c r="D2360" s="32" t="s">
        <v>1804</v>
      </c>
      <c r="E2360" s="44"/>
      <c r="F2360" s="95">
        <v>456576326.51990432</v>
      </c>
      <c r="G2360" s="75" t="s">
        <v>571</v>
      </c>
      <c r="H2360" s="54"/>
      <c r="I2360" s="35"/>
      <c r="J2360" s="37">
        <f t="shared" si="140"/>
        <v>456576326.51990432</v>
      </c>
      <c r="K2360" s="317">
        <f t="shared" si="141"/>
        <v>20645096846.257725</v>
      </c>
      <c r="L2360" s="39"/>
      <c r="M2360" s="316"/>
      <c r="N2360" s="316"/>
    </row>
    <row r="2361" spans="1:14" s="7" customFormat="1" ht="18.75">
      <c r="A2361" s="30"/>
      <c r="B2361" s="109"/>
      <c r="C2361" s="102" t="s">
        <v>238</v>
      </c>
      <c r="D2361" s="32" t="s">
        <v>1805</v>
      </c>
      <c r="E2361" s="44"/>
      <c r="F2361" s="95">
        <v>425488049.13132024</v>
      </c>
      <c r="G2361" s="75" t="s">
        <v>642</v>
      </c>
      <c r="H2361" s="54"/>
      <c r="I2361" s="35"/>
      <c r="J2361" s="37">
        <f t="shared" si="140"/>
        <v>425488049.13132024</v>
      </c>
      <c r="K2361" s="317">
        <f t="shared" si="141"/>
        <v>21101673172.77763</v>
      </c>
      <c r="L2361" s="39"/>
      <c r="M2361" s="316"/>
      <c r="N2361" s="316"/>
    </row>
    <row r="2362" spans="1:14" s="7" customFormat="1" ht="18.75">
      <c r="A2362" s="30"/>
      <c r="B2362" s="109"/>
      <c r="C2362" s="102" t="s">
        <v>517</v>
      </c>
      <c r="D2362" s="32" t="s">
        <v>1806</v>
      </c>
      <c r="E2362" s="44"/>
      <c r="F2362" s="95">
        <v>234867899.65017781</v>
      </c>
      <c r="G2362" s="75" t="s">
        <v>644</v>
      </c>
      <c r="H2362" s="54"/>
      <c r="I2362" s="35"/>
      <c r="J2362" s="37">
        <f t="shared" si="140"/>
        <v>234867899.65017781</v>
      </c>
      <c r="K2362" s="317">
        <f t="shared" si="141"/>
        <v>21527161221.908951</v>
      </c>
      <c r="L2362" s="39"/>
      <c r="M2362" s="316"/>
      <c r="N2362" s="316"/>
    </row>
    <row r="2363" spans="1:14" s="7" customFormat="1" ht="18.75">
      <c r="A2363" s="30"/>
      <c r="B2363" s="109"/>
      <c r="C2363" s="111" t="s">
        <v>250</v>
      </c>
      <c r="D2363" s="103" t="s">
        <v>1807</v>
      </c>
      <c r="E2363" s="44"/>
      <c r="F2363" s="104">
        <v>109680589.86</v>
      </c>
      <c r="G2363" s="105" t="s">
        <v>362</v>
      </c>
      <c r="H2363" s="54"/>
      <c r="I2363" s="35"/>
      <c r="J2363" s="37">
        <f t="shared" si="140"/>
        <v>109680589.86</v>
      </c>
      <c r="K2363" s="317">
        <f t="shared" si="141"/>
        <v>21762029121.559128</v>
      </c>
      <c r="L2363" s="39"/>
      <c r="M2363" s="316"/>
      <c r="N2363" s="316"/>
    </row>
    <row r="2364" spans="1:14" s="7" customFormat="1" ht="18.75">
      <c r="A2364" s="30"/>
      <c r="B2364" s="109"/>
      <c r="C2364" s="111" t="s">
        <v>139</v>
      </c>
      <c r="D2364" s="103" t="s">
        <v>1808</v>
      </c>
      <c r="E2364" s="44"/>
      <c r="F2364" s="104">
        <v>220775749.47999999</v>
      </c>
      <c r="G2364" s="105" t="s">
        <v>363</v>
      </c>
      <c r="H2364" s="54"/>
      <c r="I2364" s="35"/>
      <c r="J2364" s="37">
        <f t="shared" si="140"/>
        <v>220775749.47999999</v>
      </c>
      <c r="K2364" s="317">
        <f t="shared" si="141"/>
        <v>21871709711.419128</v>
      </c>
      <c r="L2364" s="39"/>
      <c r="M2364" s="316"/>
      <c r="N2364" s="316"/>
    </row>
    <row r="2365" spans="1:14" s="7" customFormat="1" ht="18.75">
      <c r="A2365" s="30"/>
      <c r="B2365" s="109"/>
      <c r="C2365" s="62" t="s">
        <v>142</v>
      </c>
      <c r="D2365" s="103" t="s">
        <v>1809</v>
      </c>
      <c r="E2365" s="44"/>
      <c r="F2365" s="104">
        <v>552072428.89918542</v>
      </c>
      <c r="G2365" s="105"/>
      <c r="H2365" s="54"/>
      <c r="I2365" s="35"/>
      <c r="J2365" s="37">
        <f t="shared" si="140"/>
        <v>552072428.89918542</v>
      </c>
      <c r="K2365" s="317">
        <f t="shared" si="141"/>
        <v>22092485460.899128</v>
      </c>
      <c r="L2365" s="39"/>
      <c r="M2365" s="316"/>
      <c r="N2365" s="316"/>
    </row>
    <row r="2366" spans="1:14" s="7" customFormat="1" ht="18.75">
      <c r="A2366" s="30"/>
      <c r="B2366" s="109"/>
      <c r="C2366" s="62" t="s">
        <v>145</v>
      </c>
      <c r="D2366" s="103" t="s">
        <v>1810</v>
      </c>
      <c r="E2366" s="44"/>
      <c r="F2366" s="104">
        <v>519261199.30000001</v>
      </c>
      <c r="G2366" s="105"/>
      <c r="H2366" s="54"/>
      <c r="I2366" s="35"/>
      <c r="J2366" s="37">
        <f t="shared" si="140"/>
        <v>519261199.30000001</v>
      </c>
      <c r="K2366" s="317">
        <f t="shared" si="141"/>
        <v>22644557889.798313</v>
      </c>
      <c r="L2366" s="39"/>
      <c r="M2366" s="316"/>
      <c r="N2366" s="316"/>
    </row>
    <row r="2367" spans="1:14" s="7" customFormat="1" ht="18.75">
      <c r="A2367" s="30"/>
      <c r="B2367" s="109"/>
      <c r="C2367" s="62" t="s">
        <v>148</v>
      </c>
      <c r="D2367" s="103" t="s">
        <v>1811</v>
      </c>
      <c r="E2367" s="44"/>
      <c r="F2367" s="104">
        <v>476515034.25223744</v>
      </c>
      <c r="G2367" s="105" t="s">
        <v>433</v>
      </c>
      <c r="H2367" s="54"/>
      <c r="I2367" s="35"/>
      <c r="J2367" s="37">
        <f t="shared" si="140"/>
        <v>476515034.25223744</v>
      </c>
      <c r="K2367" s="317">
        <f t="shared" si="141"/>
        <v>23163819089.098312</v>
      </c>
      <c r="L2367" s="39"/>
      <c r="M2367" s="316"/>
      <c r="N2367" s="316"/>
    </row>
    <row r="2368" spans="1:14" s="7" customFormat="1" ht="18.75">
      <c r="A2368" s="30"/>
      <c r="B2368" s="109"/>
      <c r="C2368" s="62" t="s">
        <v>151</v>
      </c>
      <c r="D2368" s="103" t="s">
        <v>1812</v>
      </c>
      <c r="E2368" s="44"/>
      <c r="F2368" s="104">
        <v>168429923.87549999</v>
      </c>
      <c r="G2368" s="105" t="s">
        <v>152</v>
      </c>
      <c r="H2368" s="54"/>
      <c r="I2368" s="35"/>
      <c r="J2368" s="37">
        <f t="shared" si="140"/>
        <v>168429923.87549999</v>
      </c>
      <c r="K2368" s="317">
        <f t="shared" si="141"/>
        <v>23640334123.350552</v>
      </c>
      <c r="L2368" s="39"/>
      <c r="M2368" s="316"/>
      <c r="N2368" s="316"/>
    </row>
    <row r="2369" spans="1:14" s="7" customFormat="1" ht="18.75">
      <c r="A2369" s="30"/>
      <c r="B2369" s="109"/>
      <c r="C2369" s="62" t="s">
        <v>154</v>
      </c>
      <c r="D2369" s="103" t="s">
        <v>1813</v>
      </c>
      <c r="E2369" s="44"/>
      <c r="F2369" s="104">
        <v>301261050.00088644</v>
      </c>
      <c r="G2369" s="105" t="s">
        <v>156</v>
      </c>
      <c r="H2369" s="54"/>
      <c r="I2369" s="35"/>
      <c r="J2369" s="37">
        <f t="shared" si="140"/>
        <v>301261050.00088644</v>
      </c>
      <c r="K2369" s="317">
        <f t="shared" si="141"/>
        <v>23808764047.226051</v>
      </c>
      <c r="L2369" s="39"/>
      <c r="M2369" s="316"/>
      <c r="N2369" s="316"/>
    </row>
    <row r="2370" spans="1:14" s="7" customFormat="1" ht="18.75">
      <c r="A2370" s="30"/>
      <c r="B2370" s="109"/>
      <c r="C2370" s="62" t="s">
        <v>158</v>
      </c>
      <c r="D2370" s="103" t="s">
        <v>1814</v>
      </c>
      <c r="E2370" s="44"/>
      <c r="F2370" s="104">
        <v>326514117.18136054</v>
      </c>
      <c r="G2370" s="105" t="s">
        <v>160</v>
      </c>
      <c r="H2370" s="54"/>
      <c r="I2370" s="35"/>
      <c r="J2370" s="37">
        <f t="shared" si="140"/>
        <v>326514117.18136054</v>
      </c>
      <c r="K2370" s="317">
        <f t="shared" si="141"/>
        <v>24110025097.226936</v>
      </c>
      <c r="L2370" s="39"/>
      <c r="M2370" s="316"/>
      <c r="N2370" s="316"/>
    </row>
    <row r="2371" spans="1:14" s="7" customFormat="1" ht="18.75">
      <c r="A2371" s="30"/>
      <c r="B2371" s="109"/>
      <c r="C2371" s="62" t="s">
        <v>162</v>
      </c>
      <c r="D2371" s="103" t="s">
        <v>1815</v>
      </c>
      <c r="E2371" s="44"/>
      <c r="F2371" s="104">
        <v>350927924.75193596</v>
      </c>
      <c r="G2371" s="105" t="s">
        <v>164</v>
      </c>
      <c r="H2371" s="54"/>
      <c r="I2371" s="35"/>
      <c r="J2371" s="37">
        <f t="shared" si="140"/>
        <v>350927924.75193596</v>
      </c>
      <c r="K2371" s="317">
        <f t="shared" si="141"/>
        <v>24436539214.408298</v>
      </c>
      <c r="L2371" s="39"/>
      <c r="M2371" s="316"/>
      <c r="N2371" s="316"/>
    </row>
    <row r="2372" spans="1:14" s="7" customFormat="1" ht="18.75">
      <c r="A2372" s="30"/>
      <c r="B2372" s="109"/>
      <c r="C2372" s="62" t="s">
        <v>166</v>
      </c>
      <c r="D2372" s="103" t="s">
        <v>1816</v>
      </c>
      <c r="E2372" s="44"/>
      <c r="F2372" s="104">
        <v>262549390.1671305</v>
      </c>
      <c r="G2372" s="105" t="s">
        <v>168</v>
      </c>
      <c r="H2372" s="54"/>
      <c r="I2372" s="35"/>
      <c r="J2372" s="37">
        <f t="shared" si="140"/>
        <v>262549390.1671305</v>
      </c>
      <c r="K2372" s="317">
        <f t="shared" si="141"/>
        <v>24787467139.160233</v>
      </c>
      <c r="L2372" s="39"/>
      <c r="M2372" s="316"/>
      <c r="N2372" s="316"/>
    </row>
    <row r="2373" spans="1:14" s="7" customFormat="1" ht="18.75">
      <c r="A2373" s="30"/>
      <c r="B2373" s="109"/>
      <c r="C2373" s="62" t="s">
        <v>170</v>
      </c>
      <c r="D2373" s="103" t="s">
        <v>1817</v>
      </c>
      <c r="E2373" s="44"/>
      <c r="F2373" s="104">
        <v>204093979.07015252</v>
      </c>
      <c r="G2373" s="105" t="s">
        <v>172</v>
      </c>
      <c r="H2373" s="54"/>
      <c r="I2373" s="35"/>
      <c r="J2373" s="37">
        <f t="shared" si="140"/>
        <v>204093979.07015252</v>
      </c>
      <c r="K2373" s="317">
        <f t="shared" si="141"/>
        <v>25050016529.327362</v>
      </c>
      <c r="L2373" s="39"/>
      <c r="M2373" s="316"/>
      <c r="N2373" s="316"/>
    </row>
    <row r="2374" spans="1:14" s="7" customFormat="1" ht="18.75">
      <c r="A2374" s="30"/>
      <c r="B2374" s="109"/>
      <c r="C2374" s="62" t="s">
        <v>174</v>
      </c>
      <c r="D2374" s="103" t="s">
        <v>1818</v>
      </c>
      <c r="E2374" s="44"/>
      <c r="F2374" s="104">
        <v>177089229.07308149</v>
      </c>
      <c r="G2374" s="105" t="s">
        <v>176</v>
      </c>
      <c r="H2374" s="54"/>
      <c r="I2374" s="35"/>
      <c r="J2374" s="37">
        <f t="shared" si="140"/>
        <v>177089229.07308149</v>
      </c>
      <c r="K2374" s="317">
        <f t="shared" si="141"/>
        <v>25254110508.397514</v>
      </c>
      <c r="L2374" s="39"/>
      <c r="M2374" s="316"/>
      <c r="N2374" s="316"/>
    </row>
    <row r="2375" spans="1:14" s="7" customFormat="1" ht="18.75">
      <c r="A2375" s="30"/>
      <c r="B2375" s="109"/>
      <c r="C2375" s="62" t="s">
        <v>178</v>
      </c>
      <c r="D2375" s="103" t="s">
        <v>1819</v>
      </c>
      <c r="E2375" s="44"/>
      <c r="F2375" s="104">
        <v>207384614.07812396</v>
      </c>
      <c r="G2375" s="105" t="s">
        <v>179</v>
      </c>
      <c r="H2375" s="54"/>
      <c r="I2375" s="35"/>
      <c r="J2375" s="37">
        <f t="shared" si="140"/>
        <v>207384614.07812396</v>
      </c>
      <c r="K2375" s="317">
        <f t="shared" si="141"/>
        <v>25431199737.470596</v>
      </c>
      <c r="L2375" s="39"/>
      <c r="M2375" s="316"/>
      <c r="N2375" s="316"/>
    </row>
    <row r="2376" spans="1:14" s="7" customFormat="1" ht="18.75">
      <c r="A2376" s="30"/>
      <c r="B2376" s="109"/>
      <c r="C2376" s="62" t="s">
        <v>181</v>
      </c>
      <c r="D2376" s="103" t="s">
        <v>1820</v>
      </c>
      <c r="E2376" s="44"/>
      <c r="F2376" s="104">
        <v>206489822.46103048</v>
      </c>
      <c r="G2376" s="105" t="s">
        <v>183</v>
      </c>
      <c r="H2376" s="54"/>
      <c r="I2376" s="35"/>
      <c r="J2376" s="37">
        <f t="shared" si="140"/>
        <v>206489822.46103048</v>
      </c>
      <c r="K2376" s="317">
        <f t="shared" si="141"/>
        <v>25638584351.548721</v>
      </c>
      <c r="L2376" s="39"/>
      <c r="M2376" s="316"/>
      <c r="N2376" s="316"/>
    </row>
    <row r="2377" spans="1:14" s="7" customFormat="1" ht="18.75">
      <c r="A2377" s="30"/>
      <c r="B2377" s="109"/>
      <c r="C2377" s="62" t="s">
        <v>185</v>
      </c>
      <c r="D2377" s="103" t="s">
        <v>1821</v>
      </c>
      <c r="E2377" s="44"/>
      <c r="F2377" s="104">
        <v>161950852.88539499</v>
      </c>
      <c r="G2377" s="105" t="s">
        <v>730</v>
      </c>
      <c r="H2377" s="54"/>
      <c r="I2377" s="35"/>
      <c r="J2377" s="37">
        <f t="shared" si="140"/>
        <v>161950852.88539499</v>
      </c>
      <c r="K2377" s="317">
        <f t="shared" si="141"/>
        <v>25845074174.00975</v>
      </c>
      <c r="L2377" s="39"/>
      <c r="M2377" s="316"/>
      <c r="N2377" s="316"/>
    </row>
    <row r="2378" spans="1:14" s="7" customFormat="1" ht="18.75">
      <c r="A2378" s="30"/>
      <c r="B2378" s="109"/>
      <c r="C2378" s="62" t="s">
        <v>189</v>
      </c>
      <c r="D2378" s="103" t="s">
        <v>1822</v>
      </c>
      <c r="E2378" s="44"/>
      <c r="F2378" s="104">
        <v>161661853.3057726</v>
      </c>
      <c r="G2378" s="105" t="s">
        <v>282</v>
      </c>
      <c r="H2378" s="54"/>
      <c r="I2378" s="35"/>
      <c r="J2378" s="37">
        <f t="shared" si="140"/>
        <v>161661853.3057726</v>
      </c>
      <c r="K2378" s="317">
        <f t="shared" si="141"/>
        <v>26007025026.895145</v>
      </c>
      <c r="L2378" s="39"/>
      <c r="M2378" s="316"/>
      <c r="N2378" s="316"/>
    </row>
    <row r="2379" spans="1:14" s="7" customFormat="1" ht="18.75">
      <c r="A2379" s="30"/>
      <c r="B2379" s="109"/>
      <c r="C2379" s="62" t="s">
        <v>191</v>
      </c>
      <c r="D2379" s="103" t="s">
        <v>1823</v>
      </c>
      <c r="E2379" s="44">
        <v>43986</v>
      </c>
      <c r="F2379" s="104">
        <v>242390447.33284733</v>
      </c>
      <c r="G2379" s="105">
        <v>44140</v>
      </c>
      <c r="H2379" s="54"/>
      <c r="I2379" s="35"/>
      <c r="J2379" s="37">
        <f t="shared" si="140"/>
        <v>242390447.33284733</v>
      </c>
      <c r="K2379" s="317">
        <f t="shared" si="141"/>
        <v>26168686880.200916</v>
      </c>
      <c r="L2379" s="39"/>
      <c r="M2379" s="316"/>
      <c r="N2379" s="316"/>
    </row>
    <row r="2380" spans="1:14" s="7" customFormat="1" ht="18.75">
      <c r="A2380" s="30"/>
      <c r="B2380" s="109"/>
      <c r="C2380" s="62" t="s">
        <v>195</v>
      </c>
      <c r="D2380" s="103" t="s">
        <v>1824</v>
      </c>
      <c r="E2380" s="44" t="s">
        <v>197</v>
      </c>
      <c r="F2380" s="104">
        <v>178221564.87476817</v>
      </c>
      <c r="G2380" s="105" t="s">
        <v>334</v>
      </c>
      <c r="H2380" s="54"/>
      <c r="I2380" s="35"/>
      <c r="J2380" s="37">
        <f t="shared" si="140"/>
        <v>178221564.87476817</v>
      </c>
      <c r="K2380" s="317">
        <f t="shared" si="141"/>
        <v>26411077327.533764</v>
      </c>
      <c r="L2380" s="39"/>
      <c r="M2380" s="316"/>
      <c r="N2380" s="316"/>
    </row>
    <row r="2381" spans="1:14" s="7" customFormat="1" ht="18.75">
      <c r="A2381" s="30"/>
      <c r="B2381" s="109"/>
      <c r="C2381" s="62" t="s">
        <v>199</v>
      </c>
      <c r="D2381" s="103" t="s">
        <v>1825</v>
      </c>
      <c r="E2381" s="44">
        <v>44049</v>
      </c>
      <c r="F2381" s="104">
        <v>187004580.13432726</v>
      </c>
      <c r="G2381" s="105" t="s">
        <v>734</v>
      </c>
      <c r="H2381" s="54"/>
      <c r="I2381" s="35"/>
      <c r="J2381" s="37">
        <f t="shared" si="140"/>
        <v>187004580.13432726</v>
      </c>
      <c r="K2381" s="317">
        <f t="shared" si="141"/>
        <v>26589298892.408531</v>
      </c>
      <c r="L2381" s="39"/>
      <c r="M2381" s="316"/>
      <c r="N2381" s="316"/>
    </row>
    <row r="2382" spans="1:14" s="7" customFormat="1" ht="18.75">
      <c r="A2382" s="30"/>
      <c r="B2382" s="109"/>
      <c r="C2382" s="62" t="s">
        <v>201</v>
      </c>
      <c r="D2382" s="103" t="s">
        <v>1826</v>
      </c>
      <c r="E2382" s="44" t="s">
        <v>449</v>
      </c>
      <c r="F2382" s="104">
        <v>225642867.40985948</v>
      </c>
      <c r="G2382" s="105" t="s">
        <v>858</v>
      </c>
      <c r="H2382" s="54"/>
      <c r="I2382" s="35"/>
      <c r="J2382" s="37">
        <f t="shared" si="140"/>
        <v>225642867.40985948</v>
      </c>
      <c r="K2382" s="317">
        <f t="shared" si="141"/>
        <v>26776303472.542858</v>
      </c>
      <c r="L2382" s="39"/>
      <c r="M2382" s="316"/>
      <c r="N2382" s="316"/>
    </row>
    <row r="2383" spans="1:14" s="7" customFormat="1" ht="18.75">
      <c r="A2383" s="30"/>
      <c r="B2383" s="109"/>
      <c r="C2383" s="62" t="s">
        <v>203</v>
      </c>
      <c r="D2383" s="103" t="s">
        <v>1827</v>
      </c>
      <c r="E2383" s="44">
        <v>44112</v>
      </c>
      <c r="F2383" s="104">
        <v>248345224.85850483</v>
      </c>
      <c r="G2383" s="105" t="s">
        <v>1828</v>
      </c>
      <c r="H2383" s="54"/>
      <c r="I2383" s="35"/>
      <c r="J2383" s="37">
        <f t="shared" si="140"/>
        <v>248345224.85850483</v>
      </c>
      <c r="K2383" s="317">
        <f t="shared" si="141"/>
        <v>27001946339.952717</v>
      </c>
      <c r="L2383" s="39"/>
      <c r="M2383" s="316"/>
      <c r="N2383" s="316"/>
    </row>
    <row r="2384" spans="1:14" s="7" customFormat="1" ht="18.75">
      <c r="A2384" s="30"/>
      <c r="B2384" s="109"/>
      <c r="C2384" s="62" t="s">
        <v>207</v>
      </c>
      <c r="D2384" s="103" t="s">
        <v>1829</v>
      </c>
      <c r="E2384" s="44" t="s">
        <v>209</v>
      </c>
      <c r="F2384" s="104">
        <v>228789951.72918457</v>
      </c>
      <c r="G2384" s="105" t="s">
        <v>1451</v>
      </c>
      <c r="H2384" s="54"/>
      <c r="I2384" s="35"/>
      <c r="J2384" s="37">
        <f t="shared" si="140"/>
        <v>228789951.72918457</v>
      </c>
      <c r="K2384" s="317">
        <f t="shared" si="141"/>
        <v>27250291564.811222</v>
      </c>
      <c r="L2384" s="39"/>
      <c r="M2384" s="316"/>
      <c r="N2384" s="316"/>
    </row>
    <row r="2385" spans="1:15" s="7" customFormat="1" ht="18.75">
      <c r="A2385" s="30"/>
      <c r="B2385" s="109"/>
      <c r="C2385" s="62" t="s">
        <v>212</v>
      </c>
      <c r="D2385" s="103" t="s">
        <v>1830</v>
      </c>
      <c r="E2385" s="44" t="s">
        <v>736</v>
      </c>
      <c r="F2385" s="104">
        <v>270766862.59763616</v>
      </c>
      <c r="G2385" s="105" t="s">
        <v>602</v>
      </c>
      <c r="H2385" s="54"/>
      <c r="I2385" s="35"/>
      <c r="J2385" s="37">
        <f t="shared" si="140"/>
        <v>270766862.59763616</v>
      </c>
      <c r="K2385" s="317">
        <f t="shared" si="141"/>
        <v>27479081516.540405</v>
      </c>
      <c r="L2385" s="39"/>
      <c r="M2385" s="316"/>
      <c r="N2385" s="316"/>
    </row>
    <row r="2386" spans="1:15" s="7" customFormat="1" ht="18.75">
      <c r="A2386" s="30"/>
      <c r="B2386" s="109"/>
      <c r="C2386" s="62" t="s">
        <v>214</v>
      </c>
      <c r="D2386" s="103" t="s">
        <v>1831</v>
      </c>
      <c r="E2386" s="44">
        <v>43962</v>
      </c>
      <c r="F2386" s="104">
        <v>243585185.96501634</v>
      </c>
      <c r="G2386" s="105">
        <v>43963</v>
      </c>
      <c r="H2386" s="54"/>
      <c r="I2386" s="35"/>
      <c r="J2386" s="37">
        <f>F2386-H2386</f>
        <v>243585185.96501634</v>
      </c>
      <c r="K2386" s="317">
        <f t="shared" si="141"/>
        <v>27749848379.138042</v>
      </c>
      <c r="L2386" s="39"/>
      <c r="M2386" s="316"/>
      <c r="N2386" s="316"/>
    </row>
    <row r="2387" spans="1:15" s="7" customFormat="1" ht="18.75">
      <c r="A2387" s="30"/>
      <c r="B2387" s="109"/>
      <c r="C2387" s="62" t="s">
        <v>218</v>
      </c>
      <c r="D2387" s="103" t="s">
        <v>1832</v>
      </c>
      <c r="E2387" s="44">
        <v>44024</v>
      </c>
      <c r="F2387" s="104">
        <v>320131841.06051099</v>
      </c>
      <c r="G2387" s="105" t="s">
        <v>1462</v>
      </c>
      <c r="H2387" s="54"/>
      <c r="I2387" s="35"/>
      <c r="J2387" s="37">
        <f>F2387-H2387</f>
        <v>320131841.06051099</v>
      </c>
      <c r="K2387" s="317">
        <f t="shared" si="141"/>
        <v>27993433565.103058</v>
      </c>
      <c r="L2387" s="39"/>
      <c r="M2387" s="316"/>
      <c r="N2387" s="316"/>
    </row>
    <row r="2388" spans="1:15" s="7" customFormat="1" ht="18.75">
      <c r="A2388" s="30"/>
      <c r="B2388" s="109"/>
      <c r="C2388" s="62" t="s">
        <v>219</v>
      </c>
      <c r="D2388" s="103" t="s">
        <v>1833</v>
      </c>
      <c r="E2388" s="44">
        <v>44409</v>
      </c>
      <c r="F2388" s="104">
        <v>248535841.23913005</v>
      </c>
      <c r="G2388" s="105">
        <v>44410</v>
      </c>
      <c r="H2388" s="54"/>
      <c r="I2388" s="35"/>
      <c r="J2388" s="37">
        <f>F2388-H2388</f>
        <v>248535841.23913005</v>
      </c>
      <c r="K2388" s="317">
        <f t="shared" si="141"/>
        <v>28313565406.16357</v>
      </c>
      <c r="L2388" s="39"/>
      <c r="M2388" s="316"/>
      <c r="N2388" s="316"/>
    </row>
    <row r="2389" spans="1:15" s="7" customFormat="1" ht="18.75">
      <c r="A2389" s="30"/>
      <c r="B2389" s="109"/>
      <c r="C2389" s="62" t="s">
        <v>221</v>
      </c>
      <c r="D2389" s="103" t="s">
        <v>1834</v>
      </c>
      <c r="E2389" s="44">
        <v>44441</v>
      </c>
      <c r="F2389" s="104">
        <v>313256036.97312671</v>
      </c>
      <c r="G2389" s="105" t="s">
        <v>93</v>
      </c>
      <c r="H2389" s="54"/>
      <c r="I2389" s="35"/>
      <c r="J2389" s="37">
        <f>F2389-H2389</f>
        <v>313256036.97312671</v>
      </c>
      <c r="K2389" s="317">
        <f t="shared" si="141"/>
        <v>28562101247.402702</v>
      </c>
      <c r="L2389" s="39"/>
      <c r="M2389" s="316"/>
      <c r="N2389" s="316"/>
    </row>
    <row r="2390" spans="1:15" s="7" customFormat="1" ht="18.75">
      <c r="A2390" s="30"/>
      <c r="B2390" s="109"/>
      <c r="C2390" s="62" t="s">
        <v>222</v>
      </c>
      <c r="D2390" s="103" t="s">
        <v>1835</v>
      </c>
      <c r="E2390" s="44">
        <v>44319</v>
      </c>
      <c r="F2390" s="104">
        <v>265452877.75023654</v>
      </c>
      <c r="G2390" s="105">
        <v>44320</v>
      </c>
      <c r="H2390" s="54"/>
      <c r="I2390" s="35"/>
      <c r="J2390" s="37">
        <f>F2390-H2390</f>
        <v>265452877.75023654</v>
      </c>
      <c r="K2390" s="317">
        <f t="shared" si="141"/>
        <v>28875357284.375828</v>
      </c>
      <c r="L2390" s="39"/>
      <c r="M2390" s="316"/>
      <c r="N2390" s="316"/>
    </row>
    <row r="2391" spans="1:15" s="7" customFormat="1" ht="18.75">
      <c r="A2391" s="30"/>
      <c r="B2391" s="57" t="s">
        <v>1836</v>
      </c>
      <c r="C2391" s="31"/>
      <c r="D2391" s="32"/>
      <c r="E2391" s="44"/>
      <c r="F2391" s="152"/>
      <c r="G2391" s="35"/>
      <c r="H2391" s="36"/>
      <c r="I2391" s="35"/>
      <c r="J2391" s="37"/>
      <c r="K2391" s="320">
        <f t="shared" si="141"/>
        <v>29140810162.126064</v>
      </c>
      <c r="L2391" s="124"/>
      <c r="M2391" s="40"/>
      <c r="N2391" s="40"/>
    </row>
    <row r="2392" spans="1:15" s="7" customFormat="1" ht="18.75">
      <c r="A2392" s="81"/>
      <c r="B2392" s="57"/>
      <c r="C2392" s="41"/>
      <c r="D2392" s="32"/>
      <c r="E2392" s="44"/>
      <c r="F2392" s="86"/>
      <c r="G2392" s="58"/>
      <c r="H2392" s="54"/>
      <c r="I2392" s="162"/>
      <c r="J2392" s="37"/>
      <c r="K2392" s="116"/>
      <c r="L2392" s="60"/>
      <c r="M2392" s="41"/>
      <c r="N2392" s="41"/>
    </row>
    <row r="2393" spans="1:15" s="7" customFormat="1" ht="18.75">
      <c r="A2393" s="81"/>
      <c r="B2393" s="57" t="s">
        <v>119</v>
      </c>
      <c r="C2393" s="41" t="s">
        <v>219</v>
      </c>
      <c r="D2393" s="32" t="s">
        <v>140</v>
      </c>
      <c r="E2393" s="44">
        <v>44531</v>
      </c>
      <c r="F2393" s="86">
        <v>1735389.943370325</v>
      </c>
      <c r="G2393" s="44">
        <v>44532</v>
      </c>
      <c r="H2393" s="159">
        <v>1579055.11</v>
      </c>
      <c r="I2393" s="44">
        <v>44533</v>
      </c>
      <c r="J2393" s="37">
        <f>F2393-H2393</f>
        <v>156334.83337032492</v>
      </c>
      <c r="K2393" s="116"/>
      <c r="L2393" s="60"/>
      <c r="M2393" s="41"/>
      <c r="N2393" s="41"/>
    </row>
    <row r="2394" spans="1:15" s="7" customFormat="1" ht="18.75">
      <c r="A2394" s="81"/>
      <c r="B2394" s="57"/>
      <c r="C2394" s="41" t="s">
        <v>221</v>
      </c>
      <c r="D2394" s="32" t="s">
        <v>120</v>
      </c>
      <c r="E2394" s="44">
        <v>44441</v>
      </c>
      <c r="F2394" s="86">
        <v>7861609.057858876</v>
      </c>
      <c r="G2394" s="44">
        <v>44442</v>
      </c>
      <c r="H2394" s="159">
        <f>7374402.84+643541.05</f>
        <v>8017943.8899999997</v>
      </c>
      <c r="I2394" s="162" t="s">
        <v>1145</v>
      </c>
      <c r="J2394" s="37">
        <f>F2394-H2394</f>
        <v>-156334.83214112371</v>
      </c>
      <c r="K2394" s="110">
        <f>J2393+K2393</f>
        <v>156334.83337032492</v>
      </c>
      <c r="L2394" s="60"/>
      <c r="M2394" s="41"/>
      <c r="N2394" s="41"/>
    </row>
    <row r="2395" spans="1:15" s="7" customFormat="1" ht="18.75">
      <c r="A2395" s="81"/>
      <c r="B2395" s="57"/>
      <c r="C2395" s="41" t="s">
        <v>222</v>
      </c>
      <c r="D2395" s="32" t="s">
        <v>146</v>
      </c>
      <c r="E2395" s="44">
        <v>44319</v>
      </c>
      <c r="F2395" s="86">
        <v>11222169.470789062</v>
      </c>
      <c r="G2395" s="44">
        <v>44320</v>
      </c>
      <c r="H2395" s="159">
        <v>11222169.470000001</v>
      </c>
      <c r="I2395" s="162" t="s">
        <v>1145</v>
      </c>
      <c r="J2395" s="37">
        <f>F2395-H2395</f>
        <v>7.8906118869781494E-4</v>
      </c>
      <c r="K2395" s="110">
        <f>J2394+K2394</f>
        <v>1.2292012106627226E-3</v>
      </c>
      <c r="L2395" s="60"/>
      <c r="M2395" s="41"/>
      <c r="N2395" s="41"/>
    </row>
    <row r="2396" spans="1:15" s="7" customFormat="1" ht="18.75">
      <c r="A2396" s="81"/>
      <c r="B2396" s="57"/>
      <c r="C2396" s="41"/>
      <c r="D2396" s="32"/>
      <c r="E2396" s="44"/>
      <c r="F2396" s="86"/>
      <c r="G2396" s="58"/>
      <c r="H2396" s="159"/>
      <c r="I2396" s="162"/>
      <c r="J2396" s="37"/>
      <c r="K2396" s="110">
        <f>J2395+K2395</f>
        <v>2.0182623993605375E-3</v>
      </c>
      <c r="L2396" s="60"/>
      <c r="M2396" s="41"/>
      <c r="N2396" s="41"/>
    </row>
    <row r="2397" spans="1:15" s="7" customFormat="1" ht="18.75">
      <c r="A2397" s="81"/>
      <c r="B2397" s="57" t="s">
        <v>1837</v>
      </c>
      <c r="C2397" s="41"/>
      <c r="D2397" s="32"/>
      <c r="E2397" s="44"/>
      <c r="F2397" s="86"/>
      <c r="G2397" s="58"/>
      <c r="H2397" s="54"/>
      <c r="I2397" s="162"/>
      <c r="J2397" s="37"/>
      <c r="K2397" s="116">
        <f>J2396+K2396</f>
        <v>2.0182623993605375E-3</v>
      </c>
      <c r="L2397" s="60"/>
      <c r="M2397" s="41"/>
      <c r="N2397" s="41"/>
    </row>
    <row r="2398" spans="1:15" s="7" customFormat="1" ht="18.75">
      <c r="A2398" s="81"/>
      <c r="B2398" s="57"/>
      <c r="C2398" s="41"/>
      <c r="D2398" s="32"/>
      <c r="E2398" s="44"/>
      <c r="F2398" s="86"/>
      <c r="G2398" s="58"/>
      <c r="H2398" s="54"/>
      <c r="I2398" s="162"/>
      <c r="J2398" s="37"/>
      <c r="K2398" s="116"/>
      <c r="L2398" s="60"/>
      <c r="M2398" s="41"/>
      <c r="N2398" s="41"/>
    </row>
    <row r="2399" spans="1:15" s="7" customFormat="1" ht="18.75">
      <c r="A2399" s="56">
        <v>64</v>
      </c>
      <c r="B2399" s="30" t="s">
        <v>121</v>
      </c>
      <c r="C2399" s="31" t="s">
        <v>236</v>
      </c>
      <c r="D2399" s="200" t="s">
        <v>1586</v>
      </c>
      <c r="E2399" s="44"/>
      <c r="F2399" s="163">
        <v>18990043.254000001</v>
      </c>
      <c r="G2399" s="35" t="s">
        <v>640</v>
      </c>
      <c r="H2399" s="47">
        <v>18990043.25</v>
      </c>
      <c r="I2399" s="35">
        <v>43643</v>
      </c>
      <c r="J2399" s="321">
        <f>F2399-H2399</f>
        <v>4.0000006556510925E-3</v>
      </c>
      <c r="K2399" s="321">
        <v>0</v>
      </c>
      <c r="L2399" s="39"/>
      <c r="M2399" s="40"/>
      <c r="N2399" s="40"/>
      <c r="O2399" s="41"/>
    </row>
    <row r="2400" spans="1:15" s="7" customFormat="1" ht="18.75">
      <c r="A2400" s="56"/>
      <c r="B2400" s="30"/>
      <c r="C2400" s="31" t="s">
        <v>238</v>
      </c>
      <c r="D2400" s="200" t="s">
        <v>1587</v>
      </c>
      <c r="E2400" s="44"/>
      <c r="F2400" s="163">
        <v>31778010.747000001</v>
      </c>
      <c r="G2400" s="35" t="s">
        <v>642</v>
      </c>
      <c r="H2400" s="36">
        <v>31778010.747000001</v>
      </c>
      <c r="I2400" s="35">
        <v>43643</v>
      </c>
      <c r="J2400" s="321">
        <f t="shared" ref="J2400:J2427" si="142">F2400-H2400</f>
        <v>0</v>
      </c>
      <c r="K2400" s="321">
        <v>0</v>
      </c>
      <c r="L2400" s="39"/>
      <c r="M2400" s="40"/>
      <c r="N2400" s="40"/>
      <c r="O2400" s="41"/>
    </row>
    <row r="2401" spans="1:15" s="7" customFormat="1" ht="18.75">
      <c r="A2401" s="56"/>
      <c r="B2401" s="30"/>
      <c r="C2401" s="31" t="s">
        <v>517</v>
      </c>
      <c r="D2401" s="200" t="s">
        <v>1628</v>
      </c>
      <c r="E2401" s="44"/>
      <c r="F2401" s="163">
        <v>8614961.134963261</v>
      </c>
      <c r="G2401" s="35" t="s">
        <v>644</v>
      </c>
      <c r="H2401" s="36">
        <v>8614961.1300000008</v>
      </c>
      <c r="I2401" s="35">
        <v>43643</v>
      </c>
      <c r="J2401" s="321">
        <f t="shared" si="142"/>
        <v>4.963260143995285E-3</v>
      </c>
      <c r="K2401" s="321">
        <v>0</v>
      </c>
      <c r="L2401" s="39"/>
      <c r="M2401" s="40"/>
      <c r="N2401" s="40"/>
      <c r="O2401" s="41"/>
    </row>
    <row r="2402" spans="1:15" s="7" customFormat="1" ht="18.75">
      <c r="A2402" s="56"/>
      <c r="B2402" s="30"/>
      <c r="C2402" s="31" t="s">
        <v>243</v>
      </c>
      <c r="D2402" s="200" t="s">
        <v>1629</v>
      </c>
      <c r="E2402" s="44"/>
      <c r="F2402" s="163">
        <v>16335049.756400235</v>
      </c>
      <c r="G2402" s="35" t="s">
        <v>1059</v>
      </c>
      <c r="H2402" s="36">
        <v>16335049.756400235</v>
      </c>
      <c r="I2402" s="35">
        <v>43643</v>
      </c>
      <c r="J2402" s="321">
        <f t="shared" si="142"/>
        <v>0</v>
      </c>
      <c r="K2402" s="321">
        <v>0</v>
      </c>
      <c r="L2402" s="39"/>
      <c r="M2402" s="40"/>
      <c r="N2402" s="40"/>
      <c r="O2402" s="41"/>
    </row>
    <row r="2403" spans="1:15" s="7" customFormat="1" ht="18.75">
      <c r="A2403" s="56"/>
      <c r="B2403" s="30"/>
      <c r="C2403" s="102" t="s">
        <v>246</v>
      </c>
      <c r="D2403" s="166" t="s">
        <v>1631</v>
      </c>
      <c r="E2403" s="44"/>
      <c r="F2403" s="149">
        <v>5152098.9117091205</v>
      </c>
      <c r="G2403" s="198" t="s">
        <v>697</v>
      </c>
      <c r="H2403" s="36">
        <v>5152098.91</v>
      </c>
      <c r="I2403" s="35" t="s">
        <v>1258</v>
      </c>
      <c r="J2403" s="321">
        <f t="shared" si="142"/>
        <v>1.7091203480958939E-3</v>
      </c>
      <c r="K2403" s="321">
        <v>0</v>
      </c>
      <c r="L2403" s="39"/>
      <c r="M2403" s="40"/>
      <c r="N2403" s="40"/>
      <c r="O2403" s="41"/>
    </row>
    <row r="2404" spans="1:15" s="7" customFormat="1" ht="18.75">
      <c r="A2404" s="56"/>
      <c r="B2404" s="30"/>
      <c r="C2404" s="102" t="s">
        <v>522</v>
      </c>
      <c r="D2404" s="166" t="s">
        <v>1632</v>
      </c>
      <c r="E2404" s="44"/>
      <c r="F2404" s="149">
        <v>43033224.053400211</v>
      </c>
      <c r="G2404" s="198" t="s">
        <v>698</v>
      </c>
      <c r="H2404" s="36">
        <v>43033224.049999997</v>
      </c>
      <c r="I2404" s="35" t="s">
        <v>1258</v>
      </c>
      <c r="J2404" s="321">
        <f t="shared" si="142"/>
        <v>3.4002140164375305E-3</v>
      </c>
      <c r="K2404" s="321">
        <v>0</v>
      </c>
      <c r="L2404" s="258"/>
      <c r="M2404" s="40"/>
      <c r="N2404" s="40"/>
      <c r="O2404" s="41"/>
    </row>
    <row r="2405" spans="1:15" s="7" customFormat="1" ht="18.75">
      <c r="A2405" s="56"/>
      <c r="B2405" s="30"/>
      <c r="C2405" s="111" t="s">
        <v>250</v>
      </c>
      <c r="D2405" s="103" t="s">
        <v>542</v>
      </c>
      <c r="E2405" s="44"/>
      <c r="F2405" s="104">
        <v>12245497.9</v>
      </c>
      <c r="G2405" s="105" t="s">
        <v>700</v>
      </c>
      <c r="H2405" s="48">
        <v>12245497.9</v>
      </c>
      <c r="I2405" s="35" t="s">
        <v>1258</v>
      </c>
      <c r="J2405" s="321">
        <f t="shared" si="142"/>
        <v>0</v>
      </c>
      <c r="K2405" s="321">
        <v>0</v>
      </c>
      <c r="L2405" s="39"/>
      <c r="M2405" s="40"/>
      <c r="N2405" s="40"/>
      <c r="O2405" s="41"/>
    </row>
    <row r="2406" spans="1:15" s="7" customFormat="1" ht="18.75">
      <c r="A2406" s="56"/>
      <c r="B2406" s="30"/>
      <c r="C2406" s="62" t="s">
        <v>139</v>
      </c>
      <c r="D2406" s="103" t="s">
        <v>543</v>
      </c>
      <c r="E2406" s="44"/>
      <c r="F2406" s="104">
        <v>14736562.609999999</v>
      </c>
      <c r="G2406" s="105"/>
      <c r="H2406" s="36">
        <v>14736562.609999999</v>
      </c>
      <c r="I2406" s="35" t="s">
        <v>1258</v>
      </c>
      <c r="J2406" s="321">
        <f t="shared" si="142"/>
        <v>0</v>
      </c>
      <c r="K2406" s="321">
        <v>0</v>
      </c>
      <c r="L2406" s="39"/>
      <c r="M2406" s="40"/>
      <c r="N2406" s="40"/>
      <c r="O2406" s="41"/>
    </row>
    <row r="2407" spans="1:15" s="7" customFormat="1" ht="18.75">
      <c r="A2407" s="56"/>
      <c r="B2407" s="30"/>
      <c r="C2407" s="62" t="s">
        <v>142</v>
      </c>
      <c r="D2407" s="103" t="s">
        <v>544</v>
      </c>
      <c r="E2407" s="44"/>
      <c r="F2407" s="104">
        <v>24404091.601675905</v>
      </c>
      <c r="G2407" s="105"/>
      <c r="H2407" s="48">
        <v>24404091.600000001</v>
      </c>
      <c r="I2407" s="35" t="s">
        <v>318</v>
      </c>
      <c r="J2407" s="321">
        <f t="shared" si="142"/>
        <v>1.6759037971496582E-3</v>
      </c>
      <c r="K2407" s="321">
        <v>0</v>
      </c>
      <c r="L2407" s="39"/>
      <c r="M2407" s="40"/>
      <c r="N2407" s="40"/>
      <c r="O2407" s="41"/>
    </row>
    <row r="2408" spans="1:15" s="7" customFormat="1" ht="18.75">
      <c r="A2408" s="56"/>
      <c r="B2408" s="30"/>
      <c r="C2408" s="62" t="s">
        <v>145</v>
      </c>
      <c r="D2408" s="103" t="s">
        <v>545</v>
      </c>
      <c r="E2408" s="44"/>
      <c r="F2408" s="104">
        <v>29578260.059650891</v>
      </c>
      <c r="G2408" s="105"/>
      <c r="H2408" s="177">
        <v>29578260.059650891</v>
      </c>
      <c r="I2408" s="35" t="s">
        <v>318</v>
      </c>
      <c r="J2408" s="321">
        <f t="shared" si="142"/>
        <v>0</v>
      </c>
      <c r="K2408" s="321">
        <v>0</v>
      </c>
      <c r="L2408" s="39"/>
      <c r="M2408" s="40"/>
      <c r="N2408" s="40"/>
      <c r="O2408" s="41"/>
    </row>
    <row r="2409" spans="1:15" s="7" customFormat="1" ht="18.75">
      <c r="A2409" s="56"/>
      <c r="B2409" s="30"/>
      <c r="C2409" s="62" t="s">
        <v>148</v>
      </c>
      <c r="D2409" s="103" t="s">
        <v>38</v>
      </c>
      <c r="E2409" s="44"/>
      <c r="F2409" s="104">
        <v>34081070.143398285</v>
      </c>
      <c r="G2409" s="105" t="s">
        <v>433</v>
      </c>
      <c r="H2409" s="36">
        <v>34081070.140000001</v>
      </c>
      <c r="I2409" s="35" t="s">
        <v>318</v>
      </c>
      <c r="J2409" s="321">
        <f t="shared" si="142"/>
        <v>3.3982843160629272E-3</v>
      </c>
      <c r="K2409" s="321">
        <v>0</v>
      </c>
      <c r="L2409" s="39"/>
      <c r="M2409" s="40"/>
      <c r="N2409" s="40"/>
      <c r="O2409" s="41"/>
    </row>
    <row r="2410" spans="1:15" s="7" customFormat="1" ht="18.75">
      <c r="A2410" s="56"/>
      <c r="B2410" s="30"/>
      <c r="C2410" s="62" t="s">
        <v>151</v>
      </c>
      <c r="D2410" s="103" t="s">
        <v>548</v>
      </c>
      <c r="E2410" s="44"/>
      <c r="F2410" s="104">
        <v>49460412.392999999</v>
      </c>
      <c r="G2410" s="105" t="s">
        <v>152</v>
      </c>
      <c r="H2410" s="36">
        <v>49460412.392999999</v>
      </c>
      <c r="I2410" s="35" t="s">
        <v>1009</v>
      </c>
      <c r="J2410" s="321">
        <f t="shared" si="142"/>
        <v>0</v>
      </c>
      <c r="K2410" s="321">
        <v>0</v>
      </c>
      <c r="L2410" s="39"/>
      <c r="M2410" s="40"/>
      <c r="N2410" s="40"/>
      <c r="O2410" s="41"/>
    </row>
    <row r="2411" spans="1:15" s="7" customFormat="1" ht="18.75">
      <c r="A2411" s="56"/>
      <c r="B2411" s="30"/>
      <c r="C2411" s="62" t="s">
        <v>154</v>
      </c>
      <c r="D2411" s="103" t="s">
        <v>550</v>
      </c>
      <c r="E2411" s="44"/>
      <c r="F2411" s="104">
        <v>37278350.283037499</v>
      </c>
      <c r="G2411" s="105" t="s">
        <v>156</v>
      </c>
      <c r="H2411" s="36">
        <v>37278350.283037499</v>
      </c>
      <c r="I2411" s="35" t="s">
        <v>1229</v>
      </c>
      <c r="J2411" s="321">
        <f t="shared" si="142"/>
        <v>0</v>
      </c>
      <c r="K2411" s="321">
        <v>0</v>
      </c>
      <c r="L2411" s="39"/>
      <c r="M2411" s="40"/>
      <c r="N2411" s="40"/>
      <c r="O2411" s="41"/>
    </row>
    <row r="2412" spans="1:15" s="7" customFormat="1" ht="18.75">
      <c r="A2412" s="56"/>
      <c r="B2412" s="30"/>
      <c r="C2412" s="62" t="s">
        <v>158</v>
      </c>
      <c r="D2412" s="103" t="s">
        <v>113</v>
      </c>
      <c r="E2412" s="44"/>
      <c r="F2412" s="104">
        <v>48649972.634424008</v>
      </c>
      <c r="G2412" s="105" t="s">
        <v>160</v>
      </c>
      <c r="H2412" s="36">
        <v>48649972.634424008</v>
      </c>
      <c r="I2412" s="35" t="s">
        <v>1229</v>
      </c>
      <c r="J2412" s="321">
        <f t="shared" si="142"/>
        <v>0</v>
      </c>
      <c r="K2412" s="321">
        <v>0</v>
      </c>
      <c r="L2412" s="39"/>
      <c r="M2412" s="40"/>
      <c r="N2412" s="40"/>
      <c r="O2412" s="41"/>
    </row>
    <row r="2413" spans="1:15" s="7" customFormat="1" ht="18.75">
      <c r="A2413" s="56"/>
      <c r="B2413" s="30"/>
      <c r="C2413" s="62" t="s">
        <v>162</v>
      </c>
      <c r="D2413" s="103" t="s">
        <v>229</v>
      </c>
      <c r="E2413" s="44"/>
      <c r="F2413" s="104">
        <v>27910414.470928501</v>
      </c>
      <c r="G2413" s="105" t="s">
        <v>164</v>
      </c>
      <c r="H2413" s="36">
        <v>27910414.470928501</v>
      </c>
      <c r="I2413" s="35" t="s">
        <v>1229</v>
      </c>
      <c r="J2413" s="321">
        <f t="shared" si="142"/>
        <v>0</v>
      </c>
      <c r="K2413" s="321">
        <v>0</v>
      </c>
      <c r="L2413" s="39"/>
      <c r="M2413" s="40"/>
      <c r="N2413" s="40"/>
      <c r="O2413" s="41"/>
    </row>
    <row r="2414" spans="1:15" s="7" customFormat="1" ht="18.75">
      <c r="A2414" s="56"/>
      <c r="B2414" s="30"/>
      <c r="C2414" s="62" t="s">
        <v>166</v>
      </c>
      <c r="D2414" s="103" t="s">
        <v>232</v>
      </c>
      <c r="E2414" s="44"/>
      <c r="F2414" s="104">
        <v>53060176.77619049</v>
      </c>
      <c r="G2414" s="105" t="s">
        <v>168</v>
      </c>
      <c r="H2414" s="36">
        <v>53060176.77619049</v>
      </c>
      <c r="I2414" s="35" t="s">
        <v>1229</v>
      </c>
      <c r="J2414" s="321">
        <f t="shared" si="142"/>
        <v>0</v>
      </c>
      <c r="K2414" s="321">
        <v>0</v>
      </c>
      <c r="L2414" s="39"/>
      <c r="M2414" s="40"/>
      <c r="N2414" s="40"/>
      <c r="O2414" s="41"/>
    </row>
    <row r="2415" spans="1:15" s="7" customFormat="1" ht="18.75">
      <c r="A2415" s="56"/>
      <c r="B2415" s="30"/>
      <c r="C2415" s="62" t="s">
        <v>170</v>
      </c>
      <c r="D2415" s="103" t="s">
        <v>232</v>
      </c>
      <c r="E2415" s="44"/>
      <c r="F2415" s="104">
        <v>63553260.648864001</v>
      </c>
      <c r="G2415" s="105" t="s">
        <v>172</v>
      </c>
      <c r="H2415" s="36">
        <v>63553260.648864001</v>
      </c>
      <c r="I2415" s="35" t="s">
        <v>1229</v>
      </c>
      <c r="J2415" s="321">
        <f t="shared" si="142"/>
        <v>0</v>
      </c>
      <c r="K2415" s="321">
        <v>0</v>
      </c>
      <c r="L2415" s="39"/>
      <c r="M2415" s="40"/>
      <c r="N2415" s="40"/>
      <c r="O2415" s="41"/>
    </row>
    <row r="2416" spans="1:15" s="7" customFormat="1" ht="18.75">
      <c r="A2416" s="56"/>
      <c r="B2416" s="30"/>
      <c r="C2416" s="62" t="s">
        <v>174</v>
      </c>
      <c r="D2416" s="103" t="s">
        <v>237</v>
      </c>
      <c r="E2416" s="44"/>
      <c r="F2416" s="104">
        <v>39157459.019227497</v>
      </c>
      <c r="G2416" s="105" t="s">
        <v>176</v>
      </c>
      <c r="H2416" s="36">
        <v>39157459.019227497</v>
      </c>
      <c r="I2416" s="35" t="s">
        <v>704</v>
      </c>
      <c r="J2416" s="321">
        <f t="shared" si="142"/>
        <v>0</v>
      </c>
      <c r="K2416" s="321">
        <v>0</v>
      </c>
      <c r="L2416" s="39"/>
      <c r="M2416" s="40"/>
      <c r="N2416" s="40"/>
      <c r="O2416" s="41"/>
    </row>
    <row r="2417" spans="1:15" s="7" customFormat="1" ht="18.75">
      <c r="A2417" s="56"/>
      <c r="B2417" s="30"/>
      <c r="C2417" s="62" t="s">
        <v>178</v>
      </c>
      <c r="D2417" s="103" t="s">
        <v>33</v>
      </c>
      <c r="E2417" s="44"/>
      <c r="F2417" s="104">
        <v>44515330.703298002</v>
      </c>
      <c r="G2417" s="105" t="s">
        <v>179</v>
      </c>
      <c r="H2417" s="36">
        <v>44515330.703298002</v>
      </c>
      <c r="I2417" s="35" t="s">
        <v>1264</v>
      </c>
      <c r="J2417" s="321">
        <f t="shared" si="142"/>
        <v>0</v>
      </c>
      <c r="K2417" s="321">
        <v>0</v>
      </c>
      <c r="L2417" s="39"/>
      <c r="M2417" s="40"/>
      <c r="N2417" s="40"/>
      <c r="O2417" s="41"/>
    </row>
    <row r="2418" spans="1:15" s="7" customFormat="1" ht="18.75">
      <c r="A2418" s="56"/>
      <c r="B2418" s="30"/>
      <c r="C2418" s="62" t="s">
        <v>181</v>
      </c>
      <c r="D2418" s="103" t="s">
        <v>241</v>
      </c>
      <c r="E2418" s="44"/>
      <c r="F2418" s="104">
        <v>58501546.92295558</v>
      </c>
      <c r="G2418" s="105" t="s">
        <v>183</v>
      </c>
      <c r="H2418" s="36">
        <v>58501546.920000002</v>
      </c>
      <c r="I2418" s="35" t="s">
        <v>1264</v>
      </c>
      <c r="J2418" s="321">
        <f t="shared" si="142"/>
        <v>2.9555782675743103E-3</v>
      </c>
      <c r="K2418" s="321">
        <v>0</v>
      </c>
      <c r="L2418" s="39"/>
      <c r="M2418" s="40"/>
      <c r="N2418" s="40"/>
      <c r="O2418" s="41"/>
    </row>
    <row r="2419" spans="1:15" s="7" customFormat="1" ht="18.75">
      <c r="A2419" s="56"/>
      <c r="B2419" s="30"/>
      <c r="C2419" s="62" t="s">
        <v>185</v>
      </c>
      <c r="D2419" s="103" t="s">
        <v>244</v>
      </c>
      <c r="E2419" s="44"/>
      <c r="F2419" s="104">
        <v>78550697.561342999</v>
      </c>
      <c r="G2419" s="105" t="s">
        <v>187</v>
      </c>
      <c r="H2419" s="36">
        <v>78550697.561342999</v>
      </c>
      <c r="I2419" s="35" t="s">
        <v>1265</v>
      </c>
      <c r="J2419" s="164">
        <f t="shared" si="142"/>
        <v>0</v>
      </c>
      <c r="K2419" s="164">
        <v>0</v>
      </c>
      <c r="L2419" s="39"/>
      <c r="M2419" s="40"/>
      <c r="N2419" s="40"/>
      <c r="O2419" s="41"/>
    </row>
    <row r="2420" spans="1:15" s="7" customFormat="1" ht="18.75">
      <c r="A2420" s="56"/>
      <c r="B2420" s="30"/>
      <c r="C2420" s="62" t="s">
        <v>189</v>
      </c>
      <c r="D2420" s="103" t="s">
        <v>57</v>
      </c>
      <c r="E2420" s="44"/>
      <c r="F2420" s="104">
        <v>81678686.795590505</v>
      </c>
      <c r="G2420" s="105" t="s">
        <v>377</v>
      </c>
      <c r="H2420" s="36">
        <v>75980247.709999993</v>
      </c>
      <c r="I2420" s="35" t="s">
        <v>1265</v>
      </c>
      <c r="J2420" s="164">
        <f t="shared" si="142"/>
        <v>5698439.0855905116</v>
      </c>
      <c r="K2420" s="164">
        <f>J2419+K2419</f>
        <v>0</v>
      </c>
      <c r="L2420" s="39"/>
      <c r="M2420" s="40"/>
      <c r="N2420" s="40"/>
      <c r="O2420" s="41"/>
    </row>
    <row r="2421" spans="1:15" s="7" customFormat="1" ht="18.75">
      <c r="A2421" s="56"/>
      <c r="B2421" s="30"/>
      <c r="C2421" s="62" t="s">
        <v>191</v>
      </c>
      <c r="D2421" s="103" t="s">
        <v>249</v>
      </c>
      <c r="E2421" s="44">
        <v>43986</v>
      </c>
      <c r="F2421" s="104">
        <v>77557767.403866768</v>
      </c>
      <c r="G2421" s="105" t="s">
        <v>193</v>
      </c>
      <c r="H2421" s="36">
        <v>77557766.719999999</v>
      </c>
      <c r="I2421" s="44">
        <v>44084</v>
      </c>
      <c r="J2421" s="164">
        <f t="shared" si="142"/>
        <v>0.68386676907539368</v>
      </c>
      <c r="K2421" s="164">
        <f t="shared" ref="K2421:K2433" si="143">J2420+K2420</f>
        <v>5698439.0855905116</v>
      </c>
      <c r="L2421" s="39"/>
      <c r="M2421" s="40"/>
      <c r="N2421" s="40"/>
      <c r="O2421" s="41"/>
    </row>
    <row r="2422" spans="1:15" s="7" customFormat="1" ht="18.75">
      <c r="A2422" s="56"/>
      <c r="B2422" s="30"/>
      <c r="C2422" s="62" t="s">
        <v>195</v>
      </c>
      <c r="D2422" s="103" t="s">
        <v>251</v>
      </c>
      <c r="E2422" s="44" t="s">
        <v>197</v>
      </c>
      <c r="F2422" s="104">
        <v>56292683.14875</v>
      </c>
      <c r="G2422" s="105" t="s">
        <v>198</v>
      </c>
      <c r="H2422" s="36">
        <v>56292683.149999999</v>
      </c>
      <c r="I2422" s="44">
        <v>44022</v>
      </c>
      <c r="J2422" s="164">
        <f t="shared" si="142"/>
        <v>-1.2499988079071045E-3</v>
      </c>
      <c r="K2422" s="164">
        <f t="shared" si="143"/>
        <v>5698439.7694572806</v>
      </c>
      <c r="M2422" s="40"/>
      <c r="N2422" s="40"/>
      <c r="O2422" s="41"/>
    </row>
    <row r="2423" spans="1:15" s="7" customFormat="1" ht="18.75">
      <c r="A2423" s="56"/>
      <c r="B2423" s="30"/>
      <c r="C2423" s="62" t="s">
        <v>199</v>
      </c>
      <c r="D2423" s="103" t="s">
        <v>253</v>
      </c>
      <c r="E2423" s="44">
        <v>44049</v>
      </c>
      <c r="F2423" s="104">
        <v>69270764.369730011</v>
      </c>
      <c r="G2423" s="105">
        <v>43897</v>
      </c>
      <c r="H2423" s="39">
        <v>69270764.369730011</v>
      </c>
      <c r="I2423" s="44">
        <v>44022</v>
      </c>
      <c r="J2423" s="164">
        <f t="shared" si="142"/>
        <v>0</v>
      </c>
      <c r="K2423" s="164">
        <f t="shared" si="143"/>
        <v>5698439.7682072818</v>
      </c>
      <c r="L2423" s="39"/>
      <c r="M2423" s="40"/>
      <c r="N2423" s="40"/>
      <c r="O2423" s="41"/>
    </row>
    <row r="2424" spans="1:15" s="7" customFormat="1" ht="15">
      <c r="A2424" s="56"/>
      <c r="B2424" s="30"/>
      <c r="C2424" s="62" t="s">
        <v>201</v>
      </c>
      <c r="D2424" s="103" t="s">
        <v>255</v>
      </c>
      <c r="E2424" s="322" t="s">
        <v>449</v>
      </c>
      <c r="F2424" s="104">
        <v>29109130.445850004</v>
      </c>
      <c r="G2424" s="105">
        <v>43929</v>
      </c>
      <c r="H2424" s="36">
        <v>29109130.445850004</v>
      </c>
      <c r="I2424" s="35" t="s">
        <v>297</v>
      </c>
      <c r="J2424" s="164">
        <f t="shared" si="142"/>
        <v>0</v>
      </c>
      <c r="K2424" s="164">
        <f t="shared" si="143"/>
        <v>5698439.7682072818</v>
      </c>
      <c r="L2424" s="39"/>
      <c r="M2424" s="40"/>
      <c r="N2424" s="40"/>
      <c r="O2424" s="41"/>
    </row>
    <row r="2425" spans="1:15" s="7" customFormat="1" ht="15">
      <c r="A2425" s="56"/>
      <c r="B2425" s="30"/>
      <c r="C2425" s="62" t="s">
        <v>203</v>
      </c>
      <c r="D2425" s="103" t="s">
        <v>258</v>
      </c>
      <c r="E2425" s="322">
        <v>43990</v>
      </c>
      <c r="F2425" s="104">
        <v>40212990.970359996</v>
      </c>
      <c r="G2425" s="105" t="s">
        <v>290</v>
      </c>
      <c r="H2425" s="36">
        <v>40212990.970359996</v>
      </c>
      <c r="I2425" s="35" t="s">
        <v>297</v>
      </c>
      <c r="J2425" s="164">
        <f t="shared" si="142"/>
        <v>0</v>
      </c>
      <c r="K2425" s="164">
        <f t="shared" si="143"/>
        <v>5698439.7682072818</v>
      </c>
      <c r="L2425" s="39"/>
      <c r="M2425" s="40"/>
      <c r="N2425" s="40"/>
      <c r="O2425" s="41"/>
    </row>
    <row r="2426" spans="1:15" s="7" customFormat="1" ht="15">
      <c r="A2426" s="56"/>
      <c r="B2426" s="30"/>
      <c r="C2426" s="62" t="s">
        <v>207</v>
      </c>
      <c r="D2426" s="103" t="s">
        <v>260</v>
      </c>
      <c r="E2426" s="322" t="s">
        <v>292</v>
      </c>
      <c r="F2426" s="104">
        <v>49194071.828949995</v>
      </c>
      <c r="G2426" s="105" t="s">
        <v>293</v>
      </c>
      <c r="H2426" s="36">
        <v>49194071.828949995</v>
      </c>
      <c r="I2426" s="35" t="s">
        <v>297</v>
      </c>
      <c r="J2426" s="164">
        <f t="shared" si="142"/>
        <v>0</v>
      </c>
      <c r="K2426" s="164">
        <f t="shared" si="143"/>
        <v>5698439.7682072818</v>
      </c>
      <c r="L2426" s="39"/>
      <c r="M2426" s="40"/>
      <c r="N2426" s="40"/>
      <c r="O2426" s="41"/>
    </row>
    <row r="2427" spans="1:15" s="7" customFormat="1" ht="18.75">
      <c r="A2427" s="56"/>
      <c r="B2427" s="30"/>
      <c r="C2427" s="62" t="s">
        <v>212</v>
      </c>
      <c r="D2427" s="103" t="s">
        <v>263</v>
      </c>
      <c r="E2427" s="44">
        <v>44084</v>
      </c>
      <c r="F2427" s="104">
        <v>53916041.701721244</v>
      </c>
      <c r="G2427" s="105" t="s">
        <v>213</v>
      </c>
      <c r="H2427" s="36"/>
      <c r="I2427" s="35"/>
      <c r="J2427" s="164">
        <f t="shared" si="142"/>
        <v>53916041.701721244</v>
      </c>
      <c r="K2427" s="164">
        <f t="shared" si="143"/>
        <v>5698439.7682072818</v>
      </c>
      <c r="L2427" s="39"/>
      <c r="M2427" s="40"/>
      <c r="N2427" s="40"/>
      <c r="O2427" s="41"/>
    </row>
    <row r="2428" spans="1:15" s="7" customFormat="1" ht="18.75">
      <c r="A2428" s="56"/>
      <c r="B2428" s="30"/>
      <c r="C2428" s="62" t="s">
        <v>214</v>
      </c>
      <c r="D2428" s="103" t="s">
        <v>265</v>
      </c>
      <c r="E2428" s="44">
        <v>43962</v>
      </c>
      <c r="F2428" s="104">
        <v>45678718.928719997</v>
      </c>
      <c r="G2428" s="105" t="s">
        <v>216</v>
      </c>
      <c r="H2428" s="36"/>
      <c r="I2428" s="35"/>
      <c r="J2428" s="164">
        <f>F2428-H2428</f>
        <v>45678718.928719997</v>
      </c>
      <c r="K2428" s="164">
        <f t="shared" si="143"/>
        <v>59614481.469928525</v>
      </c>
      <c r="L2428" s="39"/>
      <c r="M2428" s="40"/>
      <c r="N2428" s="40"/>
      <c r="O2428" s="41"/>
    </row>
    <row r="2429" spans="1:15" s="7" customFormat="1" ht="18.75">
      <c r="A2429" s="56"/>
      <c r="B2429" s="30"/>
      <c r="C2429" s="62" t="s">
        <v>218</v>
      </c>
      <c r="D2429" s="103" t="s">
        <v>267</v>
      </c>
      <c r="E2429" s="44" t="s">
        <v>703</v>
      </c>
      <c r="F2429" s="104">
        <v>99273258.709858984</v>
      </c>
      <c r="G2429" s="105">
        <v>44531</v>
      </c>
      <c r="H2429" s="36"/>
      <c r="I2429" s="35"/>
      <c r="J2429" s="164">
        <f>F2429-H2429</f>
        <v>99273258.709858984</v>
      </c>
      <c r="K2429" s="164">
        <f t="shared" si="143"/>
        <v>105293200.39864853</v>
      </c>
      <c r="L2429" s="39"/>
      <c r="M2429" s="40"/>
      <c r="N2429" s="40"/>
      <c r="O2429" s="41"/>
    </row>
    <row r="2430" spans="1:15" s="7" customFormat="1" ht="18.75">
      <c r="A2430" s="56"/>
      <c r="B2430" s="30"/>
      <c r="C2430" s="62" t="s">
        <v>219</v>
      </c>
      <c r="D2430" s="103" t="s">
        <v>268</v>
      </c>
      <c r="E2430" s="44">
        <v>44409</v>
      </c>
      <c r="F2430" s="104">
        <v>46754567.015064746</v>
      </c>
      <c r="G2430" s="105" t="s">
        <v>220</v>
      </c>
      <c r="H2430" s="36"/>
      <c r="I2430" s="35"/>
      <c r="J2430" s="164">
        <f>F2430-H2430</f>
        <v>46754567.015064746</v>
      </c>
      <c r="K2430" s="164">
        <f t="shared" si="143"/>
        <v>204566459.10850751</v>
      </c>
      <c r="L2430" s="39"/>
      <c r="M2430" s="40"/>
      <c r="N2430" s="40"/>
      <c r="O2430" s="41"/>
    </row>
    <row r="2431" spans="1:15" s="7" customFormat="1" ht="18.75">
      <c r="A2431" s="56"/>
      <c r="B2431" s="30"/>
      <c r="C2431" s="62" t="s">
        <v>221</v>
      </c>
      <c r="D2431" s="103" t="s">
        <v>122</v>
      </c>
      <c r="E2431" s="44">
        <v>44441</v>
      </c>
      <c r="F2431" s="104">
        <v>86716445.586309001</v>
      </c>
      <c r="G2431" s="105">
        <v>44289</v>
      </c>
      <c r="H2431" s="36"/>
      <c r="I2431" s="35"/>
      <c r="J2431" s="164">
        <f>F2431-H2431</f>
        <v>86716445.586309001</v>
      </c>
      <c r="K2431" s="164">
        <f t="shared" si="143"/>
        <v>251321026.12357226</v>
      </c>
      <c r="L2431" s="39"/>
      <c r="M2431" s="40"/>
      <c r="N2431" s="40"/>
      <c r="O2431" s="41"/>
    </row>
    <row r="2432" spans="1:15" s="7" customFormat="1" ht="18.75">
      <c r="A2432" s="56"/>
      <c r="B2432" s="30"/>
      <c r="C2432" s="62" t="s">
        <v>222</v>
      </c>
      <c r="D2432" s="103" t="s">
        <v>271</v>
      </c>
      <c r="E2432" s="44">
        <v>44319</v>
      </c>
      <c r="F2432" s="104">
        <v>155878471.77331275</v>
      </c>
      <c r="G2432" s="105" t="s">
        <v>224</v>
      </c>
      <c r="H2432" s="36"/>
      <c r="I2432" s="35"/>
      <c r="J2432" s="164">
        <f>F2432-H2432</f>
        <v>155878471.77331275</v>
      </c>
      <c r="K2432" s="164">
        <f t="shared" si="143"/>
        <v>338037471.70988125</v>
      </c>
      <c r="L2432" s="39"/>
      <c r="M2432" s="40"/>
      <c r="N2432" s="40"/>
      <c r="O2432" s="41"/>
    </row>
    <row r="2433" spans="1:15" s="7" customFormat="1" ht="15">
      <c r="A2433" s="30"/>
      <c r="B2433" s="30" t="s">
        <v>1838</v>
      </c>
      <c r="C2433" s="31"/>
      <c r="D2433" s="32"/>
      <c r="E2433" s="33"/>
      <c r="F2433" s="34"/>
      <c r="G2433" s="35"/>
      <c r="H2433" s="36"/>
      <c r="I2433" s="35"/>
      <c r="J2433" s="164"/>
      <c r="K2433" s="323">
        <f t="shared" si="143"/>
        <v>493915943.48319399</v>
      </c>
      <c r="L2433" s="60"/>
      <c r="M2433" s="40"/>
      <c r="N2433" s="40"/>
      <c r="O2433" s="110"/>
    </row>
    <row r="2434" spans="1:15" s="7" customFormat="1" ht="15">
      <c r="A2434" s="30"/>
      <c r="B2434" s="30"/>
      <c r="C2434" s="31"/>
      <c r="D2434" s="32"/>
      <c r="E2434" s="33"/>
      <c r="F2434" s="34"/>
      <c r="G2434" s="35"/>
      <c r="H2434" s="36"/>
      <c r="I2434" s="35"/>
      <c r="J2434" s="164"/>
      <c r="K2434" s="323"/>
      <c r="L2434" s="60"/>
      <c r="M2434" s="40"/>
      <c r="N2434" s="40"/>
      <c r="O2434" s="110"/>
    </row>
    <row r="2435" spans="1:15" s="324" customFormat="1" ht="18.75">
      <c r="A2435" s="30"/>
      <c r="B2435" s="30" t="s">
        <v>123</v>
      </c>
      <c r="C2435" s="62" t="s">
        <v>212</v>
      </c>
      <c r="D2435" s="32" t="s">
        <v>1589</v>
      </c>
      <c r="E2435" s="44">
        <v>43842</v>
      </c>
      <c r="F2435" s="34">
        <v>20967105.789999999</v>
      </c>
      <c r="G2435" s="35">
        <v>43831</v>
      </c>
      <c r="H2435" s="36"/>
      <c r="I2435" s="35"/>
      <c r="J2435" s="164">
        <f t="shared" ref="J2435:J2440" si="144">F2435-H2435</f>
        <v>20967105.789999999</v>
      </c>
      <c r="K2435" s="323"/>
      <c r="L2435" s="60"/>
      <c r="M2435" s="40"/>
      <c r="N2435" s="40"/>
      <c r="O2435" s="110"/>
    </row>
    <row r="2436" spans="1:15" s="324" customFormat="1" ht="18.75">
      <c r="A2436" s="30"/>
      <c r="B2436" s="30"/>
      <c r="C2436" s="62" t="s">
        <v>214</v>
      </c>
      <c r="D2436" s="32" t="s">
        <v>1839</v>
      </c>
      <c r="E2436" s="44">
        <v>43842</v>
      </c>
      <c r="F2436" s="34">
        <v>85665466.530000001</v>
      </c>
      <c r="G2436" s="35">
        <v>43831</v>
      </c>
      <c r="H2436" s="36"/>
      <c r="I2436" s="35"/>
      <c r="J2436" s="164">
        <f t="shared" si="144"/>
        <v>85665466.530000001</v>
      </c>
      <c r="K2436" s="164">
        <f t="shared" ref="K2436:K2441" si="145">J2435+K2435</f>
        <v>20967105.789999999</v>
      </c>
      <c r="L2436" s="60"/>
      <c r="M2436" s="40"/>
      <c r="N2436" s="40"/>
      <c r="O2436" s="110"/>
    </row>
    <row r="2437" spans="1:15" s="324" customFormat="1" ht="15">
      <c r="A2437" s="30"/>
      <c r="B2437" s="30"/>
      <c r="C2437" s="31" t="s">
        <v>218</v>
      </c>
      <c r="D2437" s="32" t="s">
        <v>1840</v>
      </c>
      <c r="E2437" s="33">
        <v>44024</v>
      </c>
      <c r="F2437" s="34">
        <v>338411100.32999998</v>
      </c>
      <c r="G2437" s="35">
        <v>44378</v>
      </c>
      <c r="H2437" s="36"/>
      <c r="I2437" s="35"/>
      <c r="J2437" s="164">
        <f t="shared" si="144"/>
        <v>338411100.32999998</v>
      </c>
      <c r="K2437" s="164">
        <f t="shared" si="145"/>
        <v>106632572.31999999</v>
      </c>
      <c r="L2437" s="60"/>
      <c r="M2437" s="40"/>
      <c r="N2437" s="40"/>
      <c r="O2437" s="110"/>
    </row>
    <row r="2438" spans="1:15" s="324" customFormat="1" ht="15">
      <c r="A2438" s="30"/>
      <c r="B2438" s="30"/>
      <c r="C2438" s="31" t="s">
        <v>219</v>
      </c>
      <c r="D2438" s="32" t="s">
        <v>1841</v>
      </c>
      <c r="E2438" s="33">
        <v>44409</v>
      </c>
      <c r="F2438" s="34">
        <v>214459781.14014301</v>
      </c>
      <c r="G2438" s="35">
        <v>44410</v>
      </c>
      <c r="H2438" s="36"/>
      <c r="I2438" s="35"/>
      <c r="J2438" s="164">
        <f t="shared" si="144"/>
        <v>214459781.14014301</v>
      </c>
      <c r="K2438" s="164">
        <f t="shared" si="145"/>
        <v>445043672.64999998</v>
      </c>
      <c r="L2438" s="60"/>
      <c r="M2438" s="40"/>
      <c r="N2438" s="40"/>
      <c r="O2438" s="110"/>
    </row>
    <row r="2439" spans="1:15" s="324" customFormat="1" ht="15">
      <c r="A2439" s="30"/>
      <c r="B2439" s="30"/>
      <c r="C2439" s="31" t="s">
        <v>221</v>
      </c>
      <c r="D2439" s="32" t="s">
        <v>124</v>
      </c>
      <c r="E2439" s="33" t="s">
        <v>81</v>
      </c>
      <c r="F2439" s="34">
        <v>563003668.07780695</v>
      </c>
      <c r="G2439" s="35" t="s">
        <v>125</v>
      </c>
      <c r="H2439" s="36"/>
      <c r="I2439" s="35"/>
      <c r="J2439" s="164">
        <f t="shared" si="144"/>
        <v>563003668.07780695</v>
      </c>
      <c r="K2439" s="164">
        <f t="shared" si="145"/>
        <v>659503453.79014301</v>
      </c>
      <c r="L2439" s="60"/>
      <c r="M2439" s="40"/>
      <c r="N2439" s="40"/>
      <c r="O2439" s="110"/>
    </row>
    <row r="2440" spans="1:15" s="324" customFormat="1" ht="15">
      <c r="A2440" s="30"/>
      <c r="B2440" s="30"/>
      <c r="C2440" s="31" t="s">
        <v>222</v>
      </c>
      <c r="D2440" s="32" t="s">
        <v>155</v>
      </c>
      <c r="E2440" s="33">
        <v>44472</v>
      </c>
      <c r="F2440" s="34">
        <v>442405393.66638744</v>
      </c>
      <c r="G2440" s="35" t="s">
        <v>391</v>
      </c>
      <c r="H2440" s="36"/>
      <c r="I2440" s="35"/>
      <c r="J2440" s="164">
        <f t="shared" si="144"/>
        <v>442405393.66638744</v>
      </c>
      <c r="K2440" s="164">
        <f t="shared" si="145"/>
        <v>1222507121.86795</v>
      </c>
      <c r="L2440" s="60"/>
      <c r="M2440" s="40"/>
      <c r="N2440" s="40"/>
      <c r="O2440" s="110"/>
    </row>
    <row r="2441" spans="1:15" s="324" customFormat="1" ht="15">
      <c r="A2441" s="30"/>
      <c r="B2441" s="30" t="s">
        <v>1842</v>
      </c>
      <c r="C2441" s="31"/>
      <c r="D2441" s="32"/>
      <c r="E2441" s="33"/>
      <c r="F2441" s="34"/>
      <c r="G2441" s="35"/>
      <c r="H2441" s="36"/>
      <c r="I2441" s="35"/>
      <c r="J2441" s="164"/>
      <c r="K2441" s="323">
        <f t="shared" si="145"/>
        <v>1664912515.5343375</v>
      </c>
      <c r="L2441" s="60"/>
      <c r="M2441" s="40"/>
      <c r="N2441" s="40"/>
      <c r="O2441" s="110"/>
    </row>
    <row r="2442" spans="1:15" s="324" customFormat="1" ht="15">
      <c r="A2442" s="30"/>
      <c r="B2442" s="30"/>
      <c r="C2442" s="31"/>
      <c r="D2442" s="32"/>
      <c r="E2442" s="33"/>
      <c r="F2442" s="34"/>
      <c r="G2442" s="35"/>
      <c r="H2442" s="36"/>
      <c r="I2442" s="35"/>
      <c r="J2442" s="164"/>
      <c r="K2442" s="323"/>
      <c r="L2442" s="60"/>
      <c r="M2442" s="40"/>
      <c r="N2442" s="40"/>
      <c r="O2442" s="110"/>
    </row>
    <row r="2443" spans="1:15" s="324" customFormat="1" ht="15">
      <c r="A2443" s="30"/>
      <c r="B2443" s="30"/>
      <c r="C2443" s="31"/>
      <c r="D2443" s="32"/>
      <c r="E2443" s="33"/>
      <c r="F2443" s="34"/>
      <c r="G2443" s="35"/>
      <c r="H2443" s="36"/>
      <c r="I2443" s="35"/>
      <c r="J2443" s="164"/>
      <c r="K2443" s="323"/>
      <c r="L2443" s="60"/>
      <c r="M2443" s="40"/>
      <c r="N2443" s="40"/>
      <c r="O2443" s="110"/>
    </row>
    <row r="2444" spans="1:15" s="324" customFormat="1" ht="15">
      <c r="A2444" s="30"/>
      <c r="B2444" s="30"/>
      <c r="C2444" s="31"/>
      <c r="D2444" s="32"/>
      <c r="E2444" s="33"/>
      <c r="F2444" s="34"/>
      <c r="G2444" s="35"/>
      <c r="H2444" s="36"/>
      <c r="I2444" s="35"/>
      <c r="J2444" s="164"/>
      <c r="K2444" s="323"/>
      <c r="L2444" s="60"/>
      <c r="M2444" s="40"/>
      <c r="N2444" s="40"/>
      <c r="O2444" s="110"/>
    </row>
    <row r="2445" spans="1:15" s="324" customFormat="1" ht="15">
      <c r="A2445" s="30"/>
      <c r="B2445" s="30"/>
      <c r="C2445" s="31"/>
      <c r="D2445" s="32"/>
      <c r="E2445" s="33"/>
      <c r="F2445" s="34"/>
      <c r="G2445" s="35"/>
      <c r="H2445" s="36"/>
      <c r="I2445" s="35"/>
      <c r="J2445" s="164"/>
      <c r="K2445" s="323"/>
      <c r="L2445" s="60"/>
      <c r="M2445" s="40"/>
      <c r="N2445" s="40"/>
      <c r="O2445" s="110"/>
    </row>
    <row r="2446" spans="1:15" s="324" customFormat="1" ht="15">
      <c r="A2446" s="30"/>
      <c r="B2446" s="30"/>
      <c r="C2446" s="31"/>
      <c r="D2446" s="32"/>
      <c r="E2446" s="33"/>
      <c r="F2446" s="34"/>
      <c r="G2446" s="35"/>
      <c r="H2446" s="36"/>
      <c r="I2446" s="35"/>
      <c r="J2446" s="164"/>
      <c r="K2446" s="323"/>
      <c r="L2446" s="60"/>
      <c r="M2446" s="40"/>
      <c r="N2446" s="40"/>
      <c r="O2446" s="110"/>
    </row>
    <row r="2447" spans="1:15" s="324" customFormat="1" ht="15">
      <c r="A2447" s="30"/>
      <c r="B2447" s="30"/>
      <c r="C2447" s="31"/>
      <c r="D2447" s="32"/>
      <c r="E2447" s="33"/>
      <c r="F2447" s="34"/>
      <c r="G2447" s="35"/>
      <c r="H2447" s="36"/>
      <c r="I2447" s="35"/>
      <c r="J2447" s="164"/>
      <c r="K2447" s="323"/>
      <c r="L2447" s="60"/>
      <c r="M2447" s="40"/>
      <c r="N2447" s="40"/>
      <c r="O2447" s="110"/>
    </row>
    <row r="2448" spans="1:15" s="324" customFormat="1" ht="15">
      <c r="A2448" s="30"/>
      <c r="B2448" s="30"/>
      <c r="C2448" s="31"/>
      <c r="D2448" s="32"/>
      <c r="E2448" s="33"/>
      <c r="F2448" s="34"/>
      <c r="G2448" s="35"/>
      <c r="H2448" s="36"/>
      <c r="I2448" s="35"/>
      <c r="J2448" s="164"/>
      <c r="K2448" s="323"/>
      <c r="L2448" s="60"/>
      <c r="M2448" s="40"/>
      <c r="N2448" s="40"/>
      <c r="O2448" s="110"/>
    </row>
    <row r="2449" spans="1:17" s="324" customFormat="1" ht="15">
      <c r="A2449" s="30"/>
      <c r="B2449" s="30"/>
      <c r="C2449" s="31"/>
      <c r="D2449" s="32"/>
      <c r="E2449" s="33"/>
      <c r="F2449" s="34"/>
      <c r="G2449" s="35"/>
      <c r="H2449" s="36"/>
      <c r="I2449" s="35"/>
      <c r="J2449" s="164"/>
      <c r="K2449" s="323"/>
      <c r="L2449" s="60"/>
      <c r="M2449" s="40"/>
      <c r="N2449" s="40"/>
      <c r="O2449" s="110"/>
    </row>
    <row r="2450" spans="1:17" s="324" customFormat="1" ht="15">
      <c r="A2450" s="30"/>
      <c r="B2450" s="30"/>
      <c r="C2450" s="31"/>
      <c r="D2450" s="32"/>
      <c r="E2450" s="33"/>
      <c r="F2450" s="34"/>
      <c r="G2450" s="35"/>
      <c r="H2450" s="36"/>
      <c r="I2450" s="35"/>
      <c r="J2450" s="164"/>
      <c r="K2450" s="323"/>
      <c r="L2450" s="60"/>
      <c r="M2450" s="40"/>
      <c r="N2450" s="40"/>
      <c r="O2450" s="110"/>
    </row>
    <row r="2451" spans="1:17" s="324" customFormat="1" ht="15">
      <c r="A2451" s="30"/>
      <c r="B2451" s="30"/>
      <c r="C2451" s="31"/>
      <c r="D2451" s="32"/>
      <c r="E2451" s="33"/>
      <c r="F2451" s="34"/>
      <c r="G2451" s="35"/>
      <c r="H2451" s="36"/>
      <c r="I2451" s="35"/>
      <c r="J2451" s="164"/>
      <c r="K2451" s="323"/>
      <c r="L2451" s="60"/>
      <c r="M2451" s="40"/>
      <c r="N2451" s="40"/>
      <c r="O2451" s="110"/>
    </row>
    <row r="2452" spans="1:17" s="324" customFormat="1" ht="15">
      <c r="A2452" s="30"/>
      <c r="B2452" s="30"/>
      <c r="C2452" s="31"/>
      <c r="D2452" s="32"/>
      <c r="E2452" s="33"/>
      <c r="F2452" s="34"/>
      <c r="G2452" s="35"/>
      <c r="H2452" s="36"/>
      <c r="I2452" s="35"/>
      <c r="J2452" s="164"/>
      <c r="K2452" s="323"/>
      <c r="L2452" s="60"/>
      <c r="M2452" s="40"/>
      <c r="N2452" s="40"/>
      <c r="O2452" s="110"/>
    </row>
    <row r="2453" spans="1:17" s="324" customFormat="1" ht="15">
      <c r="A2453" s="30"/>
      <c r="B2453" s="30" t="s">
        <v>1843</v>
      </c>
      <c r="C2453" s="31"/>
      <c r="D2453" s="32"/>
      <c r="E2453" s="33"/>
      <c r="F2453" s="34"/>
      <c r="G2453" s="35"/>
      <c r="H2453" s="36"/>
      <c r="I2453" s="35"/>
      <c r="J2453" s="164"/>
      <c r="K2453" s="325">
        <f>K2433+K2391+K2329+K2282+K2253+K2219+K2138+K2104+K2059+K2030+K2009+K1973+K1939+K1921+K1907+K1883+K1835+K1794+K1747+K1719+K1676+K1636+K1595+K1578+K1572+K1507+K1456+K1407+K1369+K1328+K1280+K1269+K1227+K1187+K1159+K1126+K1095+K1063+K1028+K1000+K964+K926+K895+K841+K786+K696+K653+K628+K598+K594+K542+K494+K453+K433+K387+K332+K311+K260+K192+K189+K146+K113+K72+K32+K2160+K1732+K1687+K2170+K851+K2441+K1414+K2397+K2014+K1916+K2063</f>
        <v>80180838842.533951</v>
      </c>
      <c r="L2453" s="60"/>
      <c r="M2453" s="40"/>
      <c r="N2453" s="40"/>
      <c r="O2453" s="110"/>
    </row>
    <row r="2454" spans="1:17" s="324" customFormat="1" ht="15">
      <c r="A2454" s="30"/>
      <c r="B2454" s="30"/>
      <c r="C2454" s="31"/>
      <c r="D2454" s="32"/>
      <c r="E2454" s="33"/>
      <c r="F2454" s="34"/>
      <c r="G2454" s="35"/>
      <c r="H2454" s="36"/>
      <c r="I2454" s="35"/>
      <c r="J2454" s="164"/>
      <c r="K2454" s="323"/>
      <c r="L2454" s="60"/>
      <c r="M2454" s="40"/>
      <c r="N2454" s="40"/>
      <c r="O2454" s="110"/>
    </row>
    <row r="2455" spans="1:17" s="324" customFormat="1" ht="15">
      <c r="A2455" s="30"/>
      <c r="B2455" s="30"/>
      <c r="C2455" s="31"/>
      <c r="D2455" s="32"/>
      <c r="E2455" s="33"/>
      <c r="F2455" s="34"/>
      <c r="G2455" s="35"/>
      <c r="H2455" s="36"/>
      <c r="I2455" s="35"/>
      <c r="J2455" s="164"/>
      <c r="K2455" s="323"/>
      <c r="L2455" s="60"/>
      <c r="M2455" s="40"/>
      <c r="N2455" s="40"/>
      <c r="O2455" s="110"/>
    </row>
    <row r="2456" spans="1:17" s="324" customFormat="1" ht="15">
      <c r="A2456" s="30"/>
      <c r="B2456" s="30"/>
      <c r="C2456" s="31"/>
      <c r="D2456" s="32"/>
      <c r="E2456" s="33"/>
      <c r="F2456" s="34"/>
      <c r="G2456" s="35"/>
      <c r="H2456" s="36"/>
      <c r="I2456" s="35"/>
      <c r="J2456" s="164"/>
      <c r="K2456" s="323"/>
      <c r="L2456" s="60"/>
      <c r="M2456" s="40"/>
      <c r="N2456" s="40"/>
      <c r="O2456" s="110"/>
    </row>
    <row r="2457" spans="1:17" s="324" customFormat="1" ht="18">
      <c r="A2457" s="30"/>
      <c r="B2457" s="634" t="s">
        <v>1844</v>
      </c>
      <c r="C2457" s="635"/>
      <c r="D2457" s="635"/>
      <c r="E2457" s="635"/>
      <c r="F2457" s="635"/>
      <c r="G2457" s="635"/>
      <c r="H2457" s="635"/>
      <c r="I2457" s="635"/>
      <c r="J2457" s="635"/>
      <c r="K2457" s="635"/>
      <c r="L2457" s="635"/>
      <c r="M2457" s="635"/>
      <c r="N2457" s="635"/>
      <c r="O2457" s="636"/>
    </row>
    <row r="2458" spans="1:17" s="243" customFormat="1" ht="15.75">
      <c r="A2458" s="81">
        <v>51</v>
      </c>
      <c r="B2458" s="326" t="s">
        <v>18</v>
      </c>
      <c r="C2458" s="260" t="s">
        <v>1845</v>
      </c>
      <c r="D2458" s="327"/>
      <c r="E2458" s="328"/>
      <c r="F2458" s="329">
        <v>14291811848.799999</v>
      </c>
      <c r="G2458" s="205" t="s">
        <v>1846</v>
      </c>
      <c r="H2458" s="208">
        <f>3091311812+1703733463.15+2440036924.42+940151924.24</f>
        <v>8175234123.8099995</v>
      </c>
      <c r="I2458" s="330"/>
      <c r="J2458" s="331">
        <f>F2458-H2458</f>
        <v>6116577724.9899998</v>
      </c>
      <c r="K2458" s="332">
        <v>0</v>
      </c>
      <c r="L2458" s="39"/>
      <c r="M2458" s="333"/>
      <c r="N2458" s="333"/>
      <c r="O2458" s="316"/>
      <c r="P2458" s="334"/>
    </row>
    <row r="2459" spans="1:17" s="243" customFormat="1" ht="15.75">
      <c r="A2459" s="81"/>
      <c r="B2459" s="326"/>
      <c r="C2459" s="260"/>
      <c r="D2459" s="327"/>
      <c r="E2459" s="328"/>
      <c r="F2459" s="329"/>
      <c r="G2459" s="205"/>
      <c r="H2459" s="208"/>
      <c r="I2459" s="330"/>
      <c r="J2459" s="331"/>
      <c r="K2459" s="332"/>
      <c r="L2459" s="39"/>
      <c r="M2459" s="333"/>
      <c r="N2459" s="333"/>
      <c r="O2459" s="316"/>
      <c r="P2459" s="334"/>
    </row>
    <row r="2460" spans="1:17" s="243" customFormat="1" ht="15.75">
      <c r="A2460" s="81"/>
      <c r="B2460" s="335" t="s">
        <v>1847</v>
      </c>
      <c r="C2460" s="313"/>
      <c r="D2460" s="327"/>
      <c r="E2460" s="328"/>
      <c r="F2460" s="329"/>
      <c r="G2460" s="70"/>
      <c r="H2460" s="87"/>
      <c r="I2460" s="336"/>
      <c r="J2460" s="332"/>
      <c r="K2460" s="337">
        <f>K2458+J2458</f>
        <v>6116577724.9899998</v>
      </c>
      <c r="L2460" s="39"/>
      <c r="M2460" s="338"/>
      <c r="N2460" s="338"/>
      <c r="O2460" s="316"/>
      <c r="P2460" s="334"/>
    </row>
    <row r="2461" spans="1:17" s="243" customFormat="1" ht="15.75">
      <c r="A2461" s="30"/>
      <c r="B2461" s="30"/>
      <c r="C2461" s="7"/>
      <c r="D2461" s="51"/>
      <c r="E2461" s="52"/>
      <c r="F2461" s="53"/>
      <c r="G2461" s="7"/>
      <c r="H2461" s="54"/>
      <c r="I2461" s="7"/>
      <c r="J2461" s="7"/>
      <c r="K2461" s="7"/>
      <c r="L2461" s="55"/>
      <c r="M2461" s="7"/>
      <c r="N2461" s="7"/>
      <c r="O2461" s="316"/>
      <c r="P2461" s="339"/>
    </row>
    <row r="2462" spans="1:17" s="243" customFormat="1" ht="15.75">
      <c r="A2462" s="81">
        <v>58</v>
      </c>
      <c r="B2462" s="82" t="s">
        <v>11</v>
      </c>
      <c r="C2462" s="340" t="s">
        <v>1273</v>
      </c>
      <c r="D2462" s="341" t="s">
        <v>208</v>
      </c>
      <c r="E2462" s="68"/>
      <c r="F2462" s="342">
        <v>71257849.769999996</v>
      </c>
      <c r="G2462" s="125" t="s">
        <v>1846</v>
      </c>
      <c r="H2462" s="54">
        <v>0</v>
      </c>
      <c r="I2462" s="343"/>
      <c r="J2462" s="37">
        <f t="shared" ref="J2462:J2475" si="146">F2462-H2462</f>
        <v>71257849.769999996</v>
      </c>
      <c r="K2462" s="41">
        <v>0</v>
      </c>
      <c r="L2462" s="344"/>
      <c r="M2462" s="345"/>
      <c r="N2462" s="345"/>
      <c r="O2462" s="316"/>
      <c r="P2462" s="339"/>
      <c r="Q2462" s="346"/>
    </row>
    <row r="2463" spans="1:17" s="243" customFormat="1" ht="15.75">
      <c r="A2463" s="81"/>
      <c r="B2463" s="326"/>
      <c r="C2463" s="31" t="s">
        <v>1848</v>
      </c>
      <c r="D2463" s="32" t="s">
        <v>52</v>
      </c>
      <c r="E2463" s="33"/>
      <c r="F2463" s="86">
        <v>86250990.459999993</v>
      </c>
      <c r="G2463" s="35" t="s">
        <v>1849</v>
      </c>
      <c r="H2463" s="54">
        <v>0</v>
      </c>
      <c r="I2463" s="343"/>
      <c r="J2463" s="37">
        <f t="shared" si="146"/>
        <v>86250990.459999993</v>
      </c>
      <c r="K2463" s="347">
        <f t="shared" ref="K2463:K2476" si="147">K2462+J2462</f>
        <v>71257849.769999996</v>
      </c>
      <c r="L2463" s="344"/>
      <c r="M2463" s="345"/>
      <c r="N2463" s="345"/>
      <c r="O2463" s="316"/>
      <c r="P2463" s="334"/>
      <c r="Q2463" s="346"/>
    </row>
    <row r="2464" spans="1:17" s="243" customFormat="1" ht="15.75">
      <c r="A2464" s="81"/>
      <c r="B2464" s="326"/>
      <c r="C2464" s="7" t="s">
        <v>1850</v>
      </c>
      <c r="D2464" s="200" t="s">
        <v>215</v>
      </c>
      <c r="E2464" s="52"/>
      <c r="F2464" s="219">
        <v>86716024.650000006</v>
      </c>
      <c r="G2464" s="125" t="s">
        <v>1851</v>
      </c>
      <c r="H2464" s="208">
        <v>72585775.650000006</v>
      </c>
      <c r="I2464" s="343" t="s">
        <v>1852</v>
      </c>
      <c r="J2464" s="37">
        <f t="shared" si="146"/>
        <v>14130249</v>
      </c>
      <c r="K2464" s="347">
        <f t="shared" si="147"/>
        <v>157508840.22999999</v>
      </c>
      <c r="L2464" s="344" t="s">
        <v>1853</v>
      </c>
      <c r="M2464" s="345"/>
      <c r="N2464" s="345"/>
      <c r="O2464" s="316"/>
      <c r="P2464" s="334"/>
    </row>
    <row r="2465" spans="1:16" s="243" customFormat="1" ht="15.75">
      <c r="A2465" s="81"/>
      <c r="B2465" s="326"/>
      <c r="C2465" s="7" t="s">
        <v>1854</v>
      </c>
      <c r="D2465" s="200" t="s">
        <v>65</v>
      </c>
      <c r="E2465" s="52"/>
      <c r="F2465" s="219">
        <v>60839695.189999998</v>
      </c>
      <c r="G2465" s="76" t="s">
        <v>1855</v>
      </c>
      <c r="H2465" s="208">
        <v>517389547.45999998</v>
      </c>
      <c r="I2465" s="343" t="s">
        <v>358</v>
      </c>
      <c r="J2465" s="37">
        <f t="shared" si="146"/>
        <v>-456549852.26999998</v>
      </c>
      <c r="K2465" s="347">
        <f t="shared" si="147"/>
        <v>171639089.22999999</v>
      </c>
      <c r="L2465" s="344" t="s">
        <v>1853</v>
      </c>
      <c r="M2465" s="345"/>
      <c r="N2465" s="345"/>
      <c r="O2465" s="316"/>
      <c r="P2465" s="334"/>
    </row>
    <row r="2466" spans="1:16" s="243" customFormat="1" ht="15.75">
      <c r="A2466" s="81"/>
      <c r="B2466" s="326"/>
      <c r="C2466" s="7" t="s">
        <v>1276</v>
      </c>
      <c r="D2466" s="200" t="s">
        <v>71</v>
      </c>
      <c r="E2466" s="52"/>
      <c r="F2466" s="219">
        <v>51950518.93</v>
      </c>
      <c r="G2466" s="76" t="s">
        <v>1277</v>
      </c>
      <c r="H2466" s="54">
        <v>0</v>
      </c>
      <c r="I2466" s="343"/>
      <c r="J2466" s="37">
        <f t="shared" si="146"/>
        <v>51950518.93</v>
      </c>
      <c r="K2466" s="347">
        <f t="shared" si="147"/>
        <v>-284910763.03999996</v>
      </c>
      <c r="L2466" s="344"/>
      <c r="M2466" s="345"/>
      <c r="N2466" s="345"/>
      <c r="O2466" s="316"/>
      <c r="P2466" s="334"/>
    </row>
    <row r="2467" spans="1:16" s="243" customFormat="1" ht="15.75">
      <c r="A2467" s="81"/>
      <c r="B2467" s="326"/>
      <c r="C2467" s="7" t="s">
        <v>1282</v>
      </c>
      <c r="D2467" s="200" t="s">
        <v>223</v>
      </c>
      <c r="E2467" s="52"/>
      <c r="F2467" s="219">
        <v>48383430.670000002</v>
      </c>
      <c r="G2467" s="76" t="s">
        <v>1283</v>
      </c>
      <c r="H2467" s="54">
        <v>0</v>
      </c>
      <c r="I2467" s="343"/>
      <c r="J2467" s="37">
        <f t="shared" si="146"/>
        <v>48383430.670000002</v>
      </c>
      <c r="K2467" s="347">
        <f t="shared" si="147"/>
        <v>-232960244.10999995</v>
      </c>
      <c r="L2467" s="344"/>
      <c r="M2467" s="345"/>
      <c r="N2467" s="345"/>
      <c r="O2467" s="316"/>
      <c r="P2467" s="334"/>
    </row>
    <row r="2468" spans="1:16" s="243" customFormat="1" ht="15.75">
      <c r="A2468" s="81"/>
      <c r="B2468" s="326"/>
      <c r="C2468" s="7" t="s">
        <v>1285</v>
      </c>
      <c r="D2468" s="200" t="s">
        <v>367</v>
      </c>
      <c r="E2468" s="52"/>
      <c r="F2468" s="219">
        <v>42924554.740000002</v>
      </c>
      <c r="G2468" s="35">
        <v>41876</v>
      </c>
      <c r="H2468" s="54">
        <v>0</v>
      </c>
      <c r="I2468" s="343"/>
      <c r="J2468" s="37">
        <f t="shared" si="146"/>
        <v>42924554.740000002</v>
      </c>
      <c r="K2468" s="347">
        <f t="shared" si="147"/>
        <v>-184576813.43999994</v>
      </c>
      <c r="L2468" s="344"/>
      <c r="M2468" s="345"/>
      <c r="N2468" s="345"/>
      <c r="O2468" s="316"/>
      <c r="P2468" s="334"/>
    </row>
    <row r="2469" spans="1:16" s="243" customFormat="1" ht="15.75">
      <c r="A2469" s="81"/>
      <c r="B2469" s="326"/>
      <c r="C2469" s="7" t="s">
        <v>1287</v>
      </c>
      <c r="D2469" s="32" t="s">
        <v>368</v>
      </c>
      <c r="E2469" s="33"/>
      <c r="F2469" s="86">
        <v>78149301.769999996</v>
      </c>
      <c r="G2469" s="227">
        <v>41923</v>
      </c>
      <c r="H2469" s="54">
        <v>0</v>
      </c>
      <c r="I2469" s="343"/>
      <c r="J2469" s="37">
        <f t="shared" si="146"/>
        <v>78149301.769999996</v>
      </c>
      <c r="K2469" s="347">
        <f t="shared" si="147"/>
        <v>-141652258.69999993</v>
      </c>
      <c r="L2469" s="344"/>
      <c r="M2469" s="345"/>
      <c r="N2469" s="345"/>
      <c r="O2469" s="316"/>
      <c r="P2469" s="334"/>
    </row>
    <row r="2470" spans="1:16" s="243" customFormat="1" ht="15.75">
      <c r="A2470" s="81"/>
      <c r="B2470" s="326"/>
      <c r="C2470" s="7" t="s">
        <v>1557</v>
      </c>
      <c r="D2470" s="32" t="s">
        <v>370</v>
      </c>
      <c r="E2470" s="33"/>
      <c r="F2470" s="86">
        <v>104110475.72</v>
      </c>
      <c r="G2470" s="76" t="s">
        <v>1856</v>
      </c>
      <c r="H2470" s="208">
        <v>0</v>
      </c>
      <c r="I2470" s="343"/>
      <c r="J2470" s="37">
        <f t="shared" si="146"/>
        <v>104110475.72</v>
      </c>
      <c r="K2470" s="347">
        <f t="shared" si="147"/>
        <v>-63502956.929999933</v>
      </c>
      <c r="L2470" s="344"/>
      <c r="M2470" s="345"/>
      <c r="N2470" s="345"/>
      <c r="O2470" s="316"/>
      <c r="P2470" s="334"/>
    </row>
    <row r="2471" spans="1:16" s="243" customFormat="1" ht="15.75">
      <c r="A2471" s="81"/>
      <c r="B2471" s="326"/>
      <c r="C2471" s="7" t="s">
        <v>1559</v>
      </c>
      <c r="D2471" s="32" t="s">
        <v>371</v>
      </c>
      <c r="E2471" s="33"/>
      <c r="F2471" s="86">
        <v>66861014.93</v>
      </c>
      <c r="G2471" s="76" t="s">
        <v>1857</v>
      </c>
      <c r="H2471" s="54">
        <v>0</v>
      </c>
      <c r="I2471" s="343"/>
      <c r="J2471" s="37">
        <f t="shared" si="146"/>
        <v>66861014.93</v>
      </c>
      <c r="K2471" s="347">
        <f t="shared" si="147"/>
        <v>40607518.790000066</v>
      </c>
      <c r="L2471" s="344"/>
      <c r="M2471" s="345"/>
      <c r="N2471" s="345"/>
      <c r="O2471" s="316"/>
      <c r="P2471" s="334"/>
    </row>
    <row r="2472" spans="1:16" s="243" customFormat="1" ht="15.75">
      <c r="A2472" s="81"/>
      <c r="B2472" s="326"/>
      <c r="C2472" s="41" t="s">
        <v>1858</v>
      </c>
      <c r="D2472" s="32" t="s">
        <v>372</v>
      </c>
      <c r="E2472" s="33"/>
      <c r="F2472" s="348">
        <v>95536887.25</v>
      </c>
      <c r="G2472" s="76" t="s">
        <v>1859</v>
      </c>
      <c r="H2472" s="208">
        <v>0</v>
      </c>
      <c r="I2472" s="343"/>
      <c r="J2472" s="37">
        <f t="shared" si="146"/>
        <v>95536887.25</v>
      </c>
      <c r="K2472" s="347">
        <f t="shared" si="147"/>
        <v>107468533.72000006</v>
      </c>
      <c r="L2472" s="344"/>
      <c r="M2472" s="345"/>
      <c r="N2472" s="345"/>
      <c r="O2472" s="316"/>
      <c r="P2472" s="334"/>
    </row>
    <row r="2473" spans="1:16" s="243" customFormat="1" ht="15.75">
      <c r="A2473" s="81"/>
      <c r="B2473" s="326"/>
      <c r="C2473" s="41" t="s">
        <v>1860</v>
      </c>
      <c r="D2473" s="32" t="s">
        <v>373</v>
      </c>
      <c r="E2473" s="33"/>
      <c r="F2473" s="348">
        <v>36328448.289999999</v>
      </c>
      <c r="G2473" s="76" t="s">
        <v>1861</v>
      </c>
      <c r="H2473" s="91">
        <v>0</v>
      </c>
      <c r="I2473" s="343"/>
      <c r="J2473" s="37">
        <f t="shared" si="146"/>
        <v>36328448.289999999</v>
      </c>
      <c r="K2473" s="347">
        <f t="shared" si="147"/>
        <v>203005420.97000006</v>
      </c>
      <c r="L2473" s="344"/>
      <c r="M2473" s="345"/>
      <c r="N2473" s="345"/>
      <c r="O2473" s="316"/>
      <c r="P2473" s="334"/>
    </row>
    <row r="2474" spans="1:16" s="243" customFormat="1" ht="15.75">
      <c r="A2474" s="81"/>
      <c r="B2474" s="326"/>
      <c r="C2474" s="41" t="s">
        <v>1862</v>
      </c>
      <c r="D2474" s="32" t="s">
        <v>92</v>
      </c>
      <c r="E2474" s="33"/>
      <c r="F2474" s="348">
        <v>25191902.559999999</v>
      </c>
      <c r="G2474" s="76" t="s">
        <v>1863</v>
      </c>
      <c r="H2474" s="91">
        <v>0</v>
      </c>
      <c r="I2474" s="343"/>
      <c r="J2474" s="37">
        <f t="shared" si="146"/>
        <v>25191902.559999999</v>
      </c>
      <c r="K2474" s="347">
        <f t="shared" si="147"/>
        <v>239333869.26000005</v>
      </c>
      <c r="L2474" s="344"/>
      <c r="M2474" s="345"/>
      <c r="N2474" s="345"/>
      <c r="O2474" s="316"/>
      <c r="P2474" s="334"/>
    </row>
    <row r="2475" spans="1:16" s="243" customFormat="1" ht="15.75">
      <c r="A2475" s="81"/>
      <c r="B2475" s="326"/>
      <c r="C2475" s="41" t="s">
        <v>1864</v>
      </c>
      <c r="D2475" s="32" t="s">
        <v>63</v>
      </c>
      <c r="E2475" s="33"/>
      <c r="F2475" s="348">
        <v>3268816.52</v>
      </c>
      <c r="G2475" s="76" t="s">
        <v>1865</v>
      </c>
      <c r="H2475" s="91">
        <v>0</v>
      </c>
      <c r="I2475" s="343"/>
      <c r="J2475" s="37">
        <f t="shared" si="146"/>
        <v>3268816.52</v>
      </c>
      <c r="K2475" s="347">
        <f t="shared" si="147"/>
        <v>264525771.82000005</v>
      </c>
      <c r="L2475" s="344"/>
      <c r="M2475" s="345"/>
      <c r="N2475" s="345"/>
      <c r="O2475" s="316"/>
      <c r="P2475" s="334"/>
    </row>
    <row r="2476" spans="1:16" s="243" customFormat="1" ht="15.75">
      <c r="A2476" s="56"/>
      <c r="B2476" s="57" t="s">
        <v>1866</v>
      </c>
      <c r="C2476" s="31"/>
      <c r="D2476" s="32"/>
      <c r="E2476" s="33"/>
      <c r="F2476" s="86"/>
      <c r="G2476" s="58"/>
      <c r="H2476" s="87"/>
      <c r="I2476" s="35"/>
      <c r="J2476" s="110">
        <f>SUM(J2466:J2475)</f>
        <v>552705351.38</v>
      </c>
      <c r="K2476" s="349">
        <f t="shared" si="147"/>
        <v>267794588.34000006</v>
      </c>
      <c r="L2476" s="124">
        <f>J2476-K2476</f>
        <v>284910763.03999996</v>
      </c>
      <c r="M2476" s="40"/>
      <c r="N2476" s="40"/>
      <c r="O2476" s="316"/>
      <c r="P2476" s="334"/>
    </row>
    <row r="2477" spans="1:16" s="243" customFormat="1" ht="15.75">
      <c r="A2477" s="30"/>
      <c r="B2477" s="30"/>
      <c r="C2477" s="7"/>
      <c r="D2477" s="51"/>
      <c r="E2477" s="52"/>
      <c r="F2477" s="53"/>
      <c r="G2477" s="7"/>
      <c r="H2477" s="54"/>
      <c r="I2477" s="7"/>
      <c r="J2477" s="7"/>
      <c r="K2477" s="7"/>
      <c r="L2477" s="55"/>
      <c r="M2477" s="7"/>
      <c r="N2477" s="7"/>
      <c r="O2477" s="316"/>
      <c r="P2477" s="334"/>
    </row>
    <row r="2478" spans="1:16" s="243" customFormat="1" ht="15.75">
      <c r="A2478" s="30"/>
      <c r="B2478" s="30"/>
      <c r="C2478" s="7"/>
      <c r="D2478" s="51"/>
      <c r="E2478" s="52"/>
      <c r="F2478" s="53"/>
      <c r="G2478" s="7"/>
      <c r="H2478" s="54"/>
      <c r="I2478" s="7"/>
      <c r="J2478" s="7"/>
      <c r="K2478" s="7"/>
      <c r="L2478" s="55"/>
      <c r="M2478" s="7"/>
      <c r="N2478" s="7"/>
      <c r="O2478" s="350"/>
      <c r="P2478" s="334"/>
    </row>
    <row r="2479" spans="1:16" s="243" customFormat="1" ht="15.75">
      <c r="A2479" s="81">
        <v>52</v>
      </c>
      <c r="B2479" s="82" t="s">
        <v>12</v>
      </c>
      <c r="C2479" s="313" t="s">
        <v>1270</v>
      </c>
      <c r="D2479" s="327" t="s">
        <v>1867</v>
      </c>
      <c r="E2479" s="328"/>
      <c r="F2479" s="329">
        <v>1157434372.1600001</v>
      </c>
      <c r="G2479" s="70"/>
      <c r="H2479" s="208">
        <v>1000000000</v>
      </c>
      <c r="I2479" s="336"/>
      <c r="J2479" s="331">
        <f t="shared" ref="J2479:J2535" si="148">F2479-H2479</f>
        <v>157434372.16000009</v>
      </c>
      <c r="K2479" s="347"/>
      <c r="L2479" s="39"/>
      <c r="M2479" s="338"/>
      <c r="N2479" s="338"/>
      <c r="O2479" s="350"/>
      <c r="P2479" s="334"/>
    </row>
    <row r="2480" spans="1:16" s="243" customFormat="1" ht="15.75">
      <c r="A2480" s="81"/>
      <c r="B2480" s="335"/>
      <c r="C2480" s="313" t="s">
        <v>1273</v>
      </c>
      <c r="D2480" s="327" t="s">
        <v>1868</v>
      </c>
      <c r="E2480" s="328"/>
      <c r="F2480" s="329">
        <v>1086045548.1700001</v>
      </c>
      <c r="G2480" s="70"/>
      <c r="H2480" s="208">
        <v>500000000</v>
      </c>
      <c r="I2480" s="336"/>
      <c r="J2480" s="331">
        <f t="shared" si="148"/>
        <v>586045548.17000008</v>
      </c>
      <c r="K2480" s="350">
        <f t="shared" ref="K2480:K2538" si="149">K2479+J2479</f>
        <v>157434372.16000009</v>
      </c>
      <c r="L2480" s="39"/>
      <c r="M2480" s="338"/>
      <c r="N2480" s="338"/>
      <c r="O2480" s="350"/>
      <c r="P2480" s="334"/>
    </row>
    <row r="2481" spans="1:16" s="243" customFormat="1" ht="15.75">
      <c r="A2481" s="81"/>
      <c r="B2481" s="335"/>
      <c r="C2481" s="313" t="s">
        <v>1848</v>
      </c>
      <c r="D2481" s="327" t="s">
        <v>1869</v>
      </c>
      <c r="E2481" s="328"/>
      <c r="F2481" s="329">
        <v>1040199071.01</v>
      </c>
      <c r="G2481" s="70"/>
      <c r="H2481" s="208">
        <v>629815166.02999997</v>
      </c>
      <c r="I2481" s="336"/>
      <c r="J2481" s="331">
        <f t="shared" si="148"/>
        <v>410383904.98000002</v>
      </c>
      <c r="K2481" s="350">
        <f t="shared" si="149"/>
        <v>743479920.33000016</v>
      </c>
      <c r="L2481" s="39"/>
      <c r="M2481" s="338"/>
      <c r="N2481" s="338"/>
      <c r="O2481" s="350"/>
      <c r="P2481" s="334"/>
    </row>
    <row r="2482" spans="1:16" s="243" customFormat="1" ht="15.75">
      <c r="A2482" s="81"/>
      <c r="B2482" s="335"/>
      <c r="C2482" s="313" t="s">
        <v>1870</v>
      </c>
      <c r="D2482" s="327" t="s">
        <v>1871</v>
      </c>
      <c r="E2482" s="328"/>
      <c r="F2482" s="329">
        <v>1071895449.87</v>
      </c>
      <c r="G2482" s="70"/>
      <c r="H2482" s="208">
        <v>500000000</v>
      </c>
      <c r="I2482" s="336"/>
      <c r="J2482" s="331">
        <f t="shared" si="148"/>
        <v>571895449.87</v>
      </c>
      <c r="K2482" s="350">
        <f t="shared" si="149"/>
        <v>1153863825.3100002</v>
      </c>
      <c r="L2482" s="39"/>
      <c r="M2482" s="338"/>
      <c r="N2482" s="338"/>
      <c r="O2482" s="350"/>
      <c r="P2482" s="334"/>
    </row>
    <row r="2483" spans="1:16" s="243" customFormat="1" ht="15.75">
      <c r="A2483" s="81"/>
      <c r="B2483" s="335"/>
      <c r="C2483" s="313" t="s">
        <v>1872</v>
      </c>
      <c r="D2483" s="327" t="s">
        <v>1873</v>
      </c>
      <c r="E2483" s="328"/>
      <c r="F2483" s="329">
        <v>1039923236.66</v>
      </c>
      <c r="G2483" s="70"/>
      <c r="H2483" s="208">
        <v>500000000</v>
      </c>
      <c r="I2483" s="336"/>
      <c r="J2483" s="331">
        <f t="shared" si="148"/>
        <v>539923236.65999997</v>
      </c>
      <c r="K2483" s="350">
        <f t="shared" si="149"/>
        <v>1725759275.1800003</v>
      </c>
      <c r="L2483" s="39"/>
      <c r="M2483" s="338"/>
      <c r="N2483" s="338"/>
      <c r="O2483" s="350"/>
      <c r="P2483" s="334"/>
    </row>
    <row r="2484" spans="1:16" s="243" customFormat="1" ht="30.75">
      <c r="A2484" s="158"/>
      <c r="B2484" s="158"/>
      <c r="C2484" s="332" t="s">
        <v>1276</v>
      </c>
      <c r="D2484" s="327" t="s">
        <v>1874</v>
      </c>
      <c r="E2484" s="328"/>
      <c r="F2484" s="329">
        <v>974779075.11000001</v>
      </c>
      <c r="G2484" s="205" t="s">
        <v>1277</v>
      </c>
      <c r="H2484" s="208">
        <v>600000000</v>
      </c>
      <c r="I2484" s="336" t="s">
        <v>1875</v>
      </c>
      <c r="J2484" s="331">
        <f t="shared" si="148"/>
        <v>374779075.11000001</v>
      </c>
      <c r="K2484" s="350">
        <f t="shared" si="149"/>
        <v>2265682511.8400002</v>
      </c>
      <c r="L2484" s="39" t="s">
        <v>1876</v>
      </c>
      <c r="M2484" s="333"/>
      <c r="N2484" s="333"/>
      <c r="O2484" s="350"/>
      <c r="P2484" s="334"/>
    </row>
    <row r="2485" spans="1:16" s="243" customFormat="1" ht="15.75">
      <c r="A2485" s="158"/>
      <c r="B2485" s="158"/>
      <c r="C2485" s="351" t="s">
        <v>1877</v>
      </c>
      <c r="D2485" s="327" t="s">
        <v>1878</v>
      </c>
      <c r="E2485" s="328"/>
      <c r="F2485" s="329">
        <v>999425406.67999995</v>
      </c>
      <c r="G2485" s="205"/>
      <c r="H2485" s="208">
        <v>200000000</v>
      </c>
      <c r="I2485" s="336"/>
      <c r="J2485" s="331">
        <f t="shared" si="148"/>
        <v>799425406.67999995</v>
      </c>
      <c r="K2485" s="350">
        <f t="shared" si="149"/>
        <v>2640461586.9500003</v>
      </c>
      <c r="L2485" s="39"/>
      <c r="M2485" s="333"/>
      <c r="N2485" s="333"/>
      <c r="O2485" s="350"/>
      <c r="P2485" s="334"/>
    </row>
    <row r="2486" spans="1:16" s="7" customFormat="1" ht="15">
      <c r="A2486" s="81"/>
      <c r="B2486" s="335"/>
      <c r="C2486" s="332" t="s">
        <v>1282</v>
      </c>
      <c r="D2486" s="327" t="s">
        <v>1879</v>
      </c>
      <c r="E2486" s="328"/>
      <c r="F2486" s="329">
        <v>784324848.98000002</v>
      </c>
      <c r="G2486" s="205" t="s">
        <v>1283</v>
      </c>
      <c r="H2486" s="208">
        <v>200000000</v>
      </c>
      <c r="I2486" s="336"/>
      <c r="J2486" s="331">
        <f t="shared" si="148"/>
        <v>584324848.98000002</v>
      </c>
      <c r="K2486" s="350">
        <f t="shared" si="149"/>
        <v>3439886993.6300001</v>
      </c>
      <c r="L2486" s="39"/>
      <c r="M2486" s="333"/>
      <c r="N2486" s="333"/>
      <c r="O2486" s="350"/>
    </row>
    <row r="2487" spans="1:16" s="7" customFormat="1" ht="15">
      <c r="A2487" s="81"/>
      <c r="B2487" s="335"/>
      <c r="C2487" s="332" t="s">
        <v>1285</v>
      </c>
      <c r="D2487" s="327" t="s">
        <v>1880</v>
      </c>
      <c r="E2487" s="328"/>
      <c r="F2487" s="329">
        <v>798283703.44000006</v>
      </c>
      <c r="G2487" s="336">
        <v>41891</v>
      </c>
      <c r="H2487" s="208">
        <v>300000000</v>
      </c>
      <c r="I2487" s="336"/>
      <c r="J2487" s="331">
        <f t="shared" si="148"/>
        <v>498283703.44000006</v>
      </c>
      <c r="K2487" s="350">
        <f t="shared" si="149"/>
        <v>4024211842.6100001</v>
      </c>
      <c r="L2487" s="39"/>
      <c r="M2487" s="333"/>
      <c r="N2487" s="333"/>
      <c r="O2487" s="350"/>
    </row>
    <row r="2488" spans="1:16" s="7" customFormat="1" ht="15">
      <c r="A2488" s="81"/>
      <c r="B2488" s="335"/>
      <c r="C2488" s="332" t="s">
        <v>1287</v>
      </c>
      <c r="D2488" s="327" t="s">
        <v>1881</v>
      </c>
      <c r="E2488" s="328"/>
      <c r="F2488" s="329">
        <v>809759193.12</v>
      </c>
      <c r="G2488" s="352">
        <v>41923</v>
      </c>
      <c r="H2488" s="208">
        <v>999425406.67999995</v>
      </c>
      <c r="I2488" s="336"/>
      <c r="J2488" s="331">
        <f t="shared" si="148"/>
        <v>-189666213.55999994</v>
      </c>
      <c r="K2488" s="350">
        <f t="shared" si="149"/>
        <v>4522495546.0500002</v>
      </c>
      <c r="L2488" s="39"/>
      <c r="M2488" s="333"/>
      <c r="N2488" s="333"/>
      <c r="O2488" s="350"/>
    </row>
    <row r="2489" spans="1:16" s="7" customFormat="1" ht="15">
      <c r="A2489" s="81"/>
      <c r="B2489" s="335"/>
      <c r="C2489" s="332" t="s">
        <v>1557</v>
      </c>
      <c r="D2489" s="327" t="s">
        <v>1882</v>
      </c>
      <c r="E2489" s="328"/>
      <c r="F2489" s="329">
        <v>653504671.49000001</v>
      </c>
      <c r="G2489" s="205" t="s">
        <v>1856</v>
      </c>
      <c r="H2489" s="208">
        <v>0</v>
      </c>
      <c r="I2489" s="336"/>
      <c r="J2489" s="331">
        <f t="shared" si="148"/>
        <v>653504671.49000001</v>
      </c>
      <c r="K2489" s="350">
        <f t="shared" si="149"/>
        <v>4332829332.4899998</v>
      </c>
      <c r="L2489" s="39"/>
      <c r="M2489" s="333"/>
      <c r="N2489" s="333"/>
      <c r="O2489" s="350"/>
    </row>
    <row r="2490" spans="1:16" s="7" customFormat="1" ht="36" customHeight="1">
      <c r="A2490" s="81"/>
      <c r="B2490" s="335"/>
      <c r="C2490" s="332" t="s">
        <v>1559</v>
      </c>
      <c r="D2490" s="327" t="s">
        <v>399</v>
      </c>
      <c r="E2490" s="328"/>
      <c r="F2490" s="329">
        <v>812593154.85000002</v>
      </c>
      <c r="G2490" s="205" t="s">
        <v>1857</v>
      </c>
      <c r="H2490" s="208">
        <v>0</v>
      </c>
      <c r="I2490" s="336"/>
      <c r="J2490" s="331">
        <f t="shared" si="148"/>
        <v>812593154.85000002</v>
      </c>
      <c r="K2490" s="350">
        <f t="shared" si="149"/>
        <v>4986334003.9799995</v>
      </c>
      <c r="L2490" s="39"/>
      <c r="M2490" s="333"/>
      <c r="N2490" s="333"/>
      <c r="O2490" s="350"/>
    </row>
    <row r="2491" spans="1:16" s="7" customFormat="1" ht="15">
      <c r="A2491" s="81"/>
      <c r="B2491" s="335"/>
      <c r="C2491" s="332" t="s">
        <v>1858</v>
      </c>
      <c r="D2491" s="327" t="s">
        <v>402</v>
      </c>
      <c r="E2491" s="328"/>
      <c r="F2491" s="353">
        <v>892893360.20000005</v>
      </c>
      <c r="G2491" s="205" t="s">
        <v>1859</v>
      </c>
      <c r="H2491" s="208">
        <v>0</v>
      </c>
      <c r="I2491" s="336"/>
      <c r="J2491" s="331">
        <f t="shared" si="148"/>
        <v>892893360.20000005</v>
      </c>
      <c r="K2491" s="350">
        <f t="shared" si="149"/>
        <v>5798927158.8299999</v>
      </c>
      <c r="L2491" s="39"/>
      <c r="M2491" s="333"/>
      <c r="N2491" s="333"/>
      <c r="O2491" s="350"/>
    </row>
    <row r="2492" spans="1:16" s="7" customFormat="1" ht="15">
      <c r="A2492" s="81"/>
      <c r="B2492" s="335"/>
      <c r="C2492" s="332" t="s">
        <v>1860</v>
      </c>
      <c r="D2492" s="327" t="s">
        <v>407</v>
      </c>
      <c r="E2492" s="328"/>
      <c r="F2492" s="353">
        <v>880138033.26999998</v>
      </c>
      <c r="G2492" s="205" t="s">
        <v>1883</v>
      </c>
      <c r="H2492" s="208"/>
      <c r="I2492" s="336"/>
      <c r="J2492" s="331">
        <f t="shared" si="148"/>
        <v>880138033.26999998</v>
      </c>
      <c r="K2492" s="350">
        <f t="shared" si="149"/>
        <v>6691820519.0299997</v>
      </c>
      <c r="L2492" s="39" t="s">
        <v>1884</v>
      </c>
      <c r="M2492" s="333"/>
      <c r="N2492" s="333"/>
      <c r="O2492" s="350"/>
    </row>
    <row r="2493" spans="1:16" s="7" customFormat="1" ht="15">
      <c r="A2493" s="81"/>
      <c r="B2493" s="335"/>
      <c r="C2493" s="332" t="s">
        <v>1885</v>
      </c>
      <c r="D2493" s="327" t="s">
        <v>410</v>
      </c>
      <c r="E2493" s="328"/>
      <c r="F2493" s="353">
        <v>802031795.46000004</v>
      </c>
      <c r="G2493" s="205"/>
      <c r="H2493" s="208">
        <v>550000000</v>
      </c>
      <c r="I2493" s="336"/>
      <c r="J2493" s="331">
        <f t="shared" si="148"/>
        <v>252031795.46000004</v>
      </c>
      <c r="K2493" s="350">
        <f t="shared" si="149"/>
        <v>7571958552.2999992</v>
      </c>
      <c r="L2493" s="39"/>
      <c r="M2493" s="333"/>
      <c r="N2493" s="333"/>
      <c r="O2493" s="350"/>
    </row>
    <row r="2494" spans="1:16" s="7" customFormat="1" ht="15">
      <c r="A2494" s="81"/>
      <c r="B2494" s="335"/>
      <c r="C2494" s="332" t="s">
        <v>1886</v>
      </c>
      <c r="D2494" s="327" t="s">
        <v>412</v>
      </c>
      <c r="E2494" s="328"/>
      <c r="F2494" s="353">
        <v>757936942.87</v>
      </c>
      <c r="G2494" s="205"/>
      <c r="H2494" s="208">
        <v>600000000</v>
      </c>
      <c r="I2494" s="336"/>
      <c r="J2494" s="331">
        <f t="shared" si="148"/>
        <v>157936942.87</v>
      </c>
      <c r="K2494" s="350">
        <f t="shared" si="149"/>
        <v>7823990347.7599993</v>
      </c>
      <c r="L2494" s="39"/>
      <c r="M2494" s="333"/>
      <c r="N2494" s="333"/>
      <c r="O2494" s="350"/>
    </row>
    <row r="2495" spans="1:16" s="7" customFormat="1" ht="15">
      <c r="A2495" s="81"/>
      <c r="B2495" s="335"/>
      <c r="C2495" s="332" t="s">
        <v>1887</v>
      </c>
      <c r="D2495" s="327" t="s">
        <v>415</v>
      </c>
      <c r="E2495" s="328"/>
      <c r="F2495" s="353">
        <v>822705298.70000005</v>
      </c>
      <c r="G2495" s="205"/>
      <c r="H2495" s="208">
        <v>550000000</v>
      </c>
      <c r="I2495" s="336"/>
      <c r="J2495" s="331">
        <f t="shared" si="148"/>
        <v>272705298.70000005</v>
      </c>
      <c r="K2495" s="350">
        <f t="shared" si="149"/>
        <v>7981927290.6299992</v>
      </c>
      <c r="L2495" s="39"/>
      <c r="M2495" s="333"/>
      <c r="N2495" s="333"/>
      <c r="O2495" s="350"/>
    </row>
    <row r="2496" spans="1:16" s="7" customFormat="1" ht="30">
      <c r="A2496" s="81"/>
      <c r="B2496" s="335"/>
      <c r="C2496" s="332" t="s">
        <v>1888</v>
      </c>
      <c r="D2496" s="327" t="s">
        <v>417</v>
      </c>
      <c r="E2496" s="328"/>
      <c r="F2496" s="329">
        <v>744671805.82000005</v>
      </c>
      <c r="G2496" s="205" t="s">
        <v>1889</v>
      </c>
      <c r="H2496" s="208">
        <v>261400287.06999999</v>
      </c>
      <c r="I2496" s="336" t="s">
        <v>1890</v>
      </c>
      <c r="J2496" s="331">
        <f t="shared" si="148"/>
        <v>483271518.75000006</v>
      </c>
      <c r="K2496" s="350">
        <f t="shared" si="149"/>
        <v>8254632589.329999</v>
      </c>
      <c r="L2496" s="39" t="s">
        <v>1891</v>
      </c>
      <c r="M2496" s="333"/>
      <c r="N2496" s="333"/>
      <c r="O2496" s="350"/>
    </row>
    <row r="2497" spans="1:15" s="7" customFormat="1" ht="23.25" customHeight="1">
      <c r="A2497" s="81"/>
      <c r="B2497" s="335"/>
      <c r="C2497" s="332" t="s">
        <v>1892</v>
      </c>
      <c r="D2497" s="327" t="s">
        <v>419</v>
      </c>
      <c r="E2497" s="328"/>
      <c r="F2497" s="329">
        <v>638034354.38999999</v>
      </c>
      <c r="G2497" s="205" t="s">
        <v>1893</v>
      </c>
      <c r="H2497" s="208">
        <v>500000000</v>
      </c>
      <c r="I2497" s="336" t="s">
        <v>1894</v>
      </c>
      <c r="J2497" s="331">
        <f t="shared" si="148"/>
        <v>138034354.38999999</v>
      </c>
      <c r="K2497" s="350">
        <f t="shared" si="149"/>
        <v>8737904108.0799999</v>
      </c>
      <c r="L2497" s="39"/>
      <c r="M2497" s="333"/>
      <c r="N2497" s="333"/>
      <c r="O2497" s="350"/>
    </row>
    <row r="2498" spans="1:15" s="7" customFormat="1" ht="15">
      <c r="A2498" s="81"/>
      <c r="B2498" s="335"/>
      <c r="C2498" s="332" t="s">
        <v>1864</v>
      </c>
      <c r="D2498" s="327" t="s">
        <v>421</v>
      </c>
      <c r="E2498" s="328"/>
      <c r="F2498" s="329">
        <v>1087841609.0999999</v>
      </c>
      <c r="G2498" s="205" t="s">
        <v>1895</v>
      </c>
      <c r="H2498" s="208">
        <v>500000000</v>
      </c>
      <c r="I2498" s="336" t="s">
        <v>1896</v>
      </c>
      <c r="J2498" s="331">
        <f t="shared" si="148"/>
        <v>587841609.0999999</v>
      </c>
      <c r="K2498" s="350">
        <f t="shared" si="149"/>
        <v>8875938462.4699993</v>
      </c>
      <c r="L2498" s="39"/>
      <c r="M2498" s="333"/>
      <c r="N2498" s="333"/>
      <c r="O2498" s="350"/>
    </row>
    <row r="2499" spans="1:15" s="7" customFormat="1" ht="15">
      <c r="A2499" s="81"/>
      <c r="B2499" s="335"/>
      <c r="C2499" s="332" t="s">
        <v>1897</v>
      </c>
      <c r="D2499" s="327" t="s">
        <v>423</v>
      </c>
      <c r="E2499" s="328"/>
      <c r="F2499" s="329">
        <v>1639196905.6300001</v>
      </c>
      <c r="G2499" s="205" t="s">
        <v>1898</v>
      </c>
      <c r="H2499" s="208">
        <v>600000000</v>
      </c>
      <c r="I2499" s="336" t="s">
        <v>1899</v>
      </c>
      <c r="J2499" s="331">
        <f t="shared" si="148"/>
        <v>1039196905.6300001</v>
      </c>
      <c r="K2499" s="350">
        <f t="shared" si="149"/>
        <v>9463780071.5699997</v>
      </c>
      <c r="L2499" s="39"/>
      <c r="M2499" s="333"/>
      <c r="N2499" s="333"/>
      <c r="O2499" s="350"/>
    </row>
    <row r="2500" spans="1:15" s="7" customFormat="1" ht="27" customHeight="1">
      <c r="A2500" s="81"/>
      <c r="B2500" s="335"/>
      <c r="C2500" s="332" t="s">
        <v>1171</v>
      </c>
      <c r="D2500" s="327" t="s">
        <v>426</v>
      </c>
      <c r="E2500" s="328"/>
      <c r="F2500" s="329">
        <v>1736617876.47</v>
      </c>
      <c r="G2500" s="205" t="s">
        <v>1900</v>
      </c>
      <c r="H2500" s="208">
        <v>650000000</v>
      </c>
      <c r="I2500" s="336" t="s">
        <v>1901</v>
      </c>
      <c r="J2500" s="331">
        <f t="shared" si="148"/>
        <v>1086617876.47</v>
      </c>
      <c r="K2500" s="350">
        <f t="shared" si="149"/>
        <v>10502976977.200001</v>
      </c>
      <c r="L2500" s="39"/>
      <c r="M2500" s="333"/>
      <c r="N2500" s="333"/>
      <c r="O2500" s="350"/>
    </row>
    <row r="2501" spans="1:15" s="7" customFormat="1" ht="15">
      <c r="A2501" s="81"/>
      <c r="B2501" s="335"/>
      <c r="C2501" s="332" t="s">
        <v>461</v>
      </c>
      <c r="D2501" s="327" t="s">
        <v>1902</v>
      </c>
      <c r="E2501" s="328"/>
      <c r="F2501" s="329">
        <v>1832983679.04</v>
      </c>
      <c r="G2501" s="205" t="s">
        <v>1903</v>
      </c>
      <c r="H2501" s="208">
        <v>800000000</v>
      </c>
      <c r="I2501" s="336" t="s">
        <v>1904</v>
      </c>
      <c r="J2501" s="331">
        <f t="shared" si="148"/>
        <v>1032983679.04</v>
      </c>
      <c r="K2501" s="350">
        <f t="shared" si="149"/>
        <v>11589594853.67</v>
      </c>
      <c r="L2501" s="39"/>
      <c r="M2501" s="333"/>
      <c r="N2501" s="333"/>
      <c r="O2501" s="350"/>
    </row>
    <row r="2502" spans="1:15" s="7" customFormat="1" ht="15">
      <c r="A2502" s="81"/>
      <c r="B2502" s="335"/>
      <c r="C2502" s="332" t="s">
        <v>465</v>
      </c>
      <c r="D2502" s="327" t="s">
        <v>1905</v>
      </c>
      <c r="E2502" s="328"/>
      <c r="F2502" s="329">
        <v>1426347613.54</v>
      </c>
      <c r="G2502" s="205" t="s">
        <v>1906</v>
      </c>
      <c r="H2502" s="208">
        <v>800000000</v>
      </c>
      <c r="I2502" s="336" t="s">
        <v>1907</v>
      </c>
      <c r="J2502" s="331">
        <f t="shared" si="148"/>
        <v>626347613.53999996</v>
      </c>
      <c r="K2502" s="350">
        <f t="shared" si="149"/>
        <v>12622578532.709999</v>
      </c>
      <c r="L2502" s="39"/>
      <c r="M2502" s="333"/>
      <c r="N2502" s="333"/>
      <c r="O2502" s="350"/>
    </row>
    <row r="2503" spans="1:15" s="7" customFormat="1" ht="15">
      <c r="A2503" s="81"/>
      <c r="B2503" s="335"/>
      <c r="C2503" s="332" t="s">
        <v>467</v>
      </c>
      <c r="D2503" s="327" t="s">
        <v>427</v>
      </c>
      <c r="E2503" s="328"/>
      <c r="F2503" s="329">
        <v>1920144090.5</v>
      </c>
      <c r="G2503" s="205" t="s">
        <v>470</v>
      </c>
      <c r="H2503" s="208">
        <v>700000000</v>
      </c>
      <c r="I2503" s="336" t="s">
        <v>1908</v>
      </c>
      <c r="J2503" s="331">
        <f t="shared" si="148"/>
        <v>1220144090.5</v>
      </c>
      <c r="K2503" s="350">
        <f t="shared" si="149"/>
        <v>13248926146.25</v>
      </c>
      <c r="L2503" s="39"/>
      <c r="M2503" s="333"/>
      <c r="N2503" s="333"/>
      <c r="O2503" s="350"/>
    </row>
    <row r="2504" spans="1:15" s="7" customFormat="1" ht="15">
      <c r="A2504" s="81"/>
      <c r="B2504" s="335"/>
      <c r="C2504" s="332" t="s">
        <v>469</v>
      </c>
      <c r="D2504" s="327" t="s">
        <v>428</v>
      </c>
      <c r="E2504" s="328"/>
      <c r="F2504" s="329">
        <v>1931026738.5899999</v>
      </c>
      <c r="G2504" s="205" t="s">
        <v>1775</v>
      </c>
      <c r="H2504" s="208"/>
      <c r="I2504" s="336" t="s">
        <v>1909</v>
      </c>
      <c r="J2504" s="331">
        <f t="shared" si="148"/>
        <v>1931026738.5899999</v>
      </c>
      <c r="K2504" s="350">
        <f t="shared" si="149"/>
        <v>14469070236.75</v>
      </c>
      <c r="L2504" s="39"/>
      <c r="M2504" s="333"/>
      <c r="N2504" s="333"/>
      <c r="O2504" s="350"/>
    </row>
    <row r="2505" spans="1:15" s="7" customFormat="1" ht="15">
      <c r="A2505" s="81"/>
      <c r="B2505" s="335"/>
      <c r="C2505" s="332" t="s">
        <v>471</v>
      </c>
      <c r="D2505" s="327" t="s">
        <v>429</v>
      </c>
      <c r="E2505" s="328"/>
      <c r="F2505" s="329">
        <v>4774230829.79</v>
      </c>
      <c r="G2505" s="205" t="s">
        <v>1777</v>
      </c>
      <c r="H2505" s="208">
        <v>1800000000</v>
      </c>
      <c r="I2505" s="336" t="s">
        <v>1910</v>
      </c>
      <c r="J2505" s="331">
        <f t="shared" si="148"/>
        <v>2974230829.79</v>
      </c>
      <c r="K2505" s="350">
        <f t="shared" si="149"/>
        <v>16400096975.34</v>
      </c>
      <c r="L2505" s="39"/>
      <c r="M2505" s="333"/>
      <c r="N2505" s="333"/>
      <c r="O2505" s="350"/>
    </row>
    <row r="2506" spans="1:15" s="7" customFormat="1" ht="15">
      <c r="A2506" s="81"/>
      <c r="B2506" s="335"/>
      <c r="C2506" s="332" t="s">
        <v>473</v>
      </c>
      <c r="D2506" s="327" t="s">
        <v>430</v>
      </c>
      <c r="E2506" s="328"/>
      <c r="F2506" s="329">
        <v>3964601823.3400002</v>
      </c>
      <c r="G2506" s="205" t="s">
        <v>1911</v>
      </c>
      <c r="H2506" s="208">
        <v>800000000</v>
      </c>
      <c r="I2506" s="336" t="s">
        <v>1912</v>
      </c>
      <c r="J2506" s="331">
        <f t="shared" si="148"/>
        <v>3164601823.3400002</v>
      </c>
      <c r="K2506" s="350">
        <f t="shared" si="149"/>
        <v>19374327805.130001</v>
      </c>
      <c r="L2506" s="39"/>
      <c r="M2506" s="333"/>
      <c r="N2506" s="333"/>
      <c r="O2506" s="350"/>
    </row>
    <row r="2507" spans="1:15" s="7" customFormat="1" ht="15">
      <c r="A2507" s="81"/>
      <c r="B2507" s="335"/>
      <c r="C2507" s="332" t="s">
        <v>1403</v>
      </c>
      <c r="D2507" s="327" t="s">
        <v>432</v>
      </c>
      <c r="E2507" s="328"/>
      <c r="F2507" s="329">
        <v>3314466265.166595</v>
      </c>
      <c r="G2507" s="205" t="s">
        <v>1913</v>
      </c>
      <c r="H2507" s="208">
        <v>1137000000</v>
      </c>
      <c r="I2507" s="336" t="s">
        <v>1914</v>
      </c>
      <c r="J2507" s="331">
        <f t="shared" si="148"/>
        <v>2177466265.166595</v>
      </c>
      <c r="K2507" s="350">
        <f t="shared" si="149"/>
        <v>22538929628.470001</v>
      </c>
      <c r="L2507" s="39" t="s">
        <v>1915</v>
      </c>
      <c r="M2507" s="333"/>
      <c r="N2507" s="333"/>
      <c r="O2507" s="350"/>
    </row>
    <row r="2508" spans="1:15" s="7" customFormat="1" ht="15">
      <c r="A2508" s="81"/>
      <c r="B2508" s="335"/>
      <c r="C2508" s="332" t="s">
        <v>401</v>
      </c>
      <c r="D2508" s="327" t="s">
        <v>434</v>
      </c>
      <c r="E2508" s="328"/>
      <c r="F2508" s="329">
        <v>2465826752.5599999</v>
      </c>
      <c r="G2508" s="205" t="s">
        <v>1405</v>
      </c>
      <c r="H2508" s="208">
        <v>2000000000</v>
      </c>
      <c r="I2508" s="336" t="s">
        <v>356</v>
      </c>
      <c r="J2508" s="331">
        <f t="shared" si="148"/>
        <v>465826752.55999994</v>
      </c>
      <c r="K2508" s="350">
        <f t="shared" si="149"/>
        <v>24716395893.636597</v>
      </c>
      <c r="L2508" s="39" t="s">
        <v>1853</v>
      </c>
      <c r="M2508" s="333"/>
      <c r="N2508" s="333"/>
      <c r="O2508" s="350"/>
    </row>
    <row r="2509" spans="1:15" s="7" customFormat="1" ht="15">
      <c r="A2509" s="81"/>
      <c r="B2509" s="335"/>
      <c r="C2509" s="332" t="s">
        <v>404</v>
      </c>
      <c r="D2509" s="327" t="s">
        <v>435</v>
      </c>
      <c r="E2509" s="328"/>
      <c r="F2509" s="329">
        <v>2025276966.3199999</v>
      </c>
      <c r="G2509" s="205" t="s">
        <v>1406</v>
      </c>
      <c r="H2509" s="208">
        <v>1706920674.0799999</v>
      </c>
      <c r="I2509" s="336" t="s">
        <v>358</v>
      </c>
      <c r="J2509" s="331">
        <f t="shared" si="148"/>
        <v>318356292.24000001</v>
      </c>
      <c r="K2509" s="350">
        <f t="shared" si="149"/>
        <v>25182222646.196598</v>
      </c>
      <c r="L2509" s="39" t="s">
        <v>1853</v>
      </c>
      <c r="M2509" s="333"/>
      <c r="N2509" s="333"/>
      <c r="O2509" s="350"/>
    </row>
    <row r="2510" spans="1:15" s="7" customFormat="1" ht="15">
      <c r="A2510" s="81"/>
      <c r="B2510" s="335"/>
      <c r="C2510" s="74" t="s">
        <v>406</v>
      </c>
      <c r="D2510" s="32" t="s">
        <v>436</v>
      </c>
      <c r="E2510" s="33"/>
      <c r="F2510" s="86">
        <v>2242907154.5900002</v>
      </c>
      <c r="G2510" s="76" t="s">
        <v>408</v>
      </c>
      <c r="H2510" s="208">
        <v>1874276029.0599999</v>
      </c>
      <c r="I2510" s="336"/>
      <c r="J2510" s="331">
        <f t="shared" si="148"/>
        <v>368631125.53000021</v>
      </c>
      <c r="K2510" s="350">
        <f t="shared" si="149"/>
        <v>25500578938.4366</v>
      </c>
      <c r="L2510" s="39"/>
      <c r="M2510" s="333"/>
      <c r="N2510" s="333"/>
      <c r="O2510" s="350"/>
    </row>
    <row r="2511" spans="1:15" s="7" customFormat="1" ht="15">
      <c r="A2511" s="81"/>
      <c r="B2511" s="335"/>
      <c r="C2511" s="74" t="s">
        <v>409</v>
      </c>
      <c r="D2511" s="32" t="s">
        <v>437</v>
      </c>
      <c r="E2511" s="33"/>
      <c r="F2511" s="86">
        <v>2406580683.29</v>
      </c>
      <c r="G2511" s="76" t="s">
        <v>1916</v>
      </c>
      <c r="H2511" s="208">
        <v>1246925535</v>
      </c>
      <c r="I2511" s="336"/>
      <c r="J2511" s="331">
        <f t="shared" si="148"/>
        <v>1159655148.29</v>
      </c>
      <c r="K2511" s="350">
        <f t="shared" si="149"/>
        <v>25869210063.966599</v>
      </c>
      <c r="L2511" s="39"/>
      <c r="M2511" s="333"/>
      <c r="N2511" s="333"/>
      <c r="O2511" s="350"/>
    </row>
    <row r="2512" spans="1:15" s="7" customFormat="1" ht="15">
      <c r="A2512" s="81"/>
      <c r="B2512" s="335"/>
      <c r="C2512" s="74" t="s">
        <v>411</v>
      </c>
      <c r="D2512" s="32" t="s">
        <v>438</v>
      </c>
      <c r="E2512" s="33"/>
      <c r="F2512" s="86">
        <v>2985767719</v>
      </c>
      <c r="G2512" s="76" t="s">
        <v>1409</v>
      </c>
      <c r="H2512" s="208">
        <v>814327590.65999997</v>
      </c>
      <c r="I2512" s="336"/>
      <c r="J2512" s="331">
        <f t="shared" si="148"/>
        <v>2171440128.3400002</v>
      </c>
      <c r="K2512" s="350">
        <f t="shared" si="149"/>
        <v>27028865212.256599</v>
      </c>
      <c r="L2512" s="39"/>
      <c r="M2512" s="333"/>
      <c r="N2512" s="333"/>
      <c r="O2512" s="350"/>
    </row>
    <row r="2513" spans="1:15" s="7" customFormat="1" ht="15">
      <c r="A2513" s="81"/>
      <c r="B2513" s="335"/>
      <c r="C2513" s="74" t="s">
        <v>414</v>
      </c>
      <c r="D2513" s="32" t="s">
        <v>439</v>
      </c>
      <c r="E2513" s="33"/>
      <c r="F2513" s="86">
        <v>3456929279.2600002</v>
      </c>
      <c r="G2513" s="76" t="s">
        <v>1342</v>
      </c>
      <c r="H2513" s="208">
        <v>551960525.82000005</v>
      </c>
      <c r="I2513" s="336"/>
      <c r="J2513" s="331">
        <f t="shared" si="148"/>
        <v>2904968753.4400001</v>
      </c>
      <c r="K2513" s="350">
        <f t="shared" si="149"/>
        <v>29200305340.5966</v>
      </c>
      <c r="L2513" s="39"/>
      <c r="M2513" s="333"/>
      <c r="N2513" s="333"/>
      <c r="O2513" s="350"/>
    </row>
    <row r="2514" spans="1:15" s="7" customFormat="1" ht="15">
      <c r="A2514" s="81"/>
      <c r="B2514" s="335"/>
      <c r="C2514" s="41" t="s">
        <v>1412</v>
      </c>
      <c r="D2514" s="32" t="s">
        <v>440</v>
      </c>
      <c r="E2514" s="33"/>
      <c r="F2514" s="86">
        <v>3947527396.46</v>
      </c>
      <c r="G2514" s="75">
        <v>42563</v>
      </c>
      <c r="H2514" s="128">
        <v>2500000000</v>
      </c>
      <c r="I2514" s="336"/>
      <c r="J2514" s="331">
        <f t="shared" si="148"/>
        <v>1447527396.46</v>
      </c>
      <c r="K2514" s="350">
        <f t="shared" si="149"/>
        <v>32105274094.036598</v>
      </c>
      <c r="L2514" s="39"/>
      <c r="M2514" s="333"/>
      <c r="N2514" s="333"/>
      <c r="O2514" s="350"/>
    </row>
    <row r="2515" spans="1:15" s="7" customFormat="1" ht="15">
      <c r="A2515" s="81"/>
      <c r="B2515" s="335"/>
      <c r="C2515" s="41" t="s">
        <v>609</v>
      </c>
      <c r="D2515" s="32" t="s">
        <v>441</v>
      </c>
      <c r="E2515" s="33"/>
      <c r="F2515" s="86">
        <v>2723685202.4763155</v>
      </c>
      <c r="G2515" s="75"/>
      <c r="H2515" s="208">
        <v>1800000000</v>
      </c>
      <c r="I2515" s="336"/>
      <c r="J2515" s="331">
        <f t="shared" si="148"/>
        <v>923685202.4763155</v>
      </c>
      <c r="K2515" s="350">
        <f t="shared" si="149"/>
        <v>33552801490.496597</v>
      </c>
      <c r="L2515" s="39"/>
      <c r="M2515" s="333"/>
      <c r="N2515" s="333"/>
      <c r="O2515" s="350"/>
    </row>
    <row r="2516" spans="1:15" s="7" customFormat="1" ht="15">
      <c r="A2516" s="81"/>
      <c r="B2516" s="335"/>
      <c r="C2516" s="41" t="s">
        <v>611</v>
      </c>
      <c r="D2516" s="32" t="s">
        <v>442</v>
      </c>
      <c r="E2516" s="33"/>
      <c r="F2516" s="86">
        <v>2333728046.21</v>
      </c>
      <c r="G2516" s="75"/>
      <c r="H2516" s="208">
        <v>2097681365.4000001</v>
      </c>
      <c r="I2516" s="336"/>
      <c r="J2516" s="331">
        <f t="shared" si="148"/>
        <v>236046680.80999994</v>
      </c>
      <c r="K2516" s="350">
        <f t="shared" si="149"/>
        <v>34476486692.972916</v>
      </c>
      <c r="L2516" s="39"/>
      <c r="M2516" s="333"/>
      <c r="N2516" s="333"/>
      <c r="O2516" s="350"/>
    </row>
    <row r="2517" spans="1:15" s="7" customFormat="1" ht="15">
      <c r="A2517" s="81"/>
      <c r="B2517" s="335"/>
      <c r="C2517" s="29" t="s">
        <v>614</v>
      </c>
      <c r="D2517" s="32" t="s">
        <v>443</v>
      </c>
      <c r="E2517" s="33"/>
      <c r="F2517" s="303">
        <v>2285650024.3499999</v>
      </c>
      <c r="G2517" s="75"/>
      <c r="H2517" s="208">
        <v>1678074600</v>
      </c>
      <c r="I2517" s="336"/>
      <c r="J2517" s="331">
        <f t="shared" si="148"/>
        <v>607575424.3499999</v>
      </c>
      <c r="K2517" s="350">
        <f t="shared" si="149"/>
        <v>34712533373.782913</v>
      </c>
      <c r="L2517" s="233" t="s">
        <v>1917</v>
      </c>
      <c r="M2517" s="333"/>
      <c r="N2517" s="333"/>
      <c r="O2517" s="350"/>
    </row>
    <row r="2518" spans="1:15" s="7" customFormat="1" ht="15">
      <c r="A2518" s="81"/>
      <c r="B2518" s="109"/>
      <c r="C2518" s="29" t="s">
        <v>489</v>
      </c>
      <c r="D2518" s="32" t="s">
        <v>444</v>
      </c>
      <c r="E2518" s="33"/>
      <c r="F2518" s="303">
        <v>2210477743.8400002</v>
      </c>
      <c r="G2518" s="76" t="s">
        <v>1918</v>
      </c>
      <c r="H2518" s="208">
        <v>1628361702</v>
      </c>
      <c r="I2518" s="336"/>
      <c r="J2518" s="331">
        <f t="shared" si="148"/>
        <v>582116041.84000015</v>
      </c>
      <c r="K2518" s="350">
        <f t="shared" si="149"/>
        <v>35320108798.132912</v>
      </c>
      <c r="L2518" s="233" t="s">
        <v>1917</v>
      </c>
      <c r="M2518" s="333"/>
      <c r="N2518" s="333"/>
      <c r="O2518" s="350"/>
    </row>
    <row r="2519" spans="1:15" s="7" customFormat="1" ht="15">
      <c r="A2519" s="81"/>
      <c r="B2519" s="109"/>
      <c r="C2519" s="41" t="s">
        <v>490</v>
      </c>
      <c r="D2519" s="32" t="s">
        <v>445</v>
      </c>
      <c r="E2519" s="33"/>
      <c r="F2519" s="303">
        <v>2719610642.6599998</v>
      </c>
      <c r="G2519" s="76" t="s">
        <v>1038</v>
      </c>
      <c r="H2519" s="208">
        <v>2155437458.9699998</v>
      </c>
      <c r="I2519" s="336"/>
      <c r="J2519" s="331">
        <f t="shared" si="148"/>
        <v>564173183.69000006</v>
      </c>
      <c r="K2519" s="350">
        <f t="shared" si="149"/>
        <v>35902224839.972916</v>
      </c>
      <c r="L2519" s="233" t="s">
        <v>1917</v>
      </c>
      <c r="M2519" s="333"/>
      <c r="N2519" s="333"/>
      <c r="O2519" s="350"/>
    </row>
    <row r="2520" spans="1:15" s="7" customFormat="1" ht="15">
      <c r="A2520" s="81"/>
      <c r="B2520" s="109"/>
      <c r="C2520" s="29" t="s">
        <v>560</v>
      </c>
      <c r="D2520" s="32" t="s">
        <v>1919</v>
      </c>
      <c r="E2520" s="33"/>
      <c r="F2520" s="303">
        <v>2379521512.0300002</v>
      </c>
      <c r="G2520" s="96">
        <v>42861</v>
      </c>
      <c r="H2520" s="208">
        <v>1873373052.51</v>
      </c>
      <c r="I2520" s="336"/>
      <c r="J2520" s="331">
        <f t="shared" si="148"/>
        <v>506148459.52000022</v>
      </c>
      <c r="K2520" s="350">
        <f t="shared" si="149"/>
        <v>36466398023.662918</v>
      </c>
      <c r="L2520" s="233" t="s">
        <v>1917</v>
      </c>
      <c r="M2520" s="333"/>
      <c r="N2520" s="333"/>
      <c r="O2520" s="350"/>
    </row>
    <row r="2521" spans="1:15" s="7" customFormat="1" ht="15">
      <c r="A2521" s="81"/>
      <c r="B2521" s="109"/>
      <c r="C2521" s="29" t="s">
        <v>562</v>
      </c>
      <c r="D2521" s="32" t="s">
        <v>1920</v>
      </c>
      <c r="E2521" s="33"/>
      <c r="F2521" s="303">
        <v>3029294952.1500001</v>
      </c>
      <c r="G2521" s="98">
        <v>42931</v>
      </c>
      <c r="H2521" s="208"/>
      <c r="I2521" s="336"/>
      <c r="J2521" s="331">
        <f t="shared" si="148"/>
        <v>3029294952.1500001</v>
      </c>
      <c r="K2521" s="350">
        <f t="shared" si="149"/>
        <v>36972546483.182915</v>
      </c>
      <c r="L2521" s="233" t="s">
        <v>1917</v>
      </c>
      <c r="M2521" s="333"/>
      <c r="N2521" s="333"/>
      <c r="O2521" s="350"/>
    </row>
    <row r="2522" spans="1:15" s="7" customFormat="1" ht="15">
      <c r="A2522" s="81"/>
      <c r="B2522" s="109"/>
      <c r="C2522" s="29" t="s">
        <v>494</v>
      </c>
      <c r="D2522" s="32" t="s">
        <v>1921</v>
      </c>
      <c r="E2522" s="33"/>
      <c r="F2522" s="303">
        <v>3620725370.3800001</v>
      </c>
      <c r="G2522" s="98">
        <v>42963</v>
      </c>
      <c r="H2522" s="208"/>
      <c r="J2522" s="331">
        <f t="shared" si="148"/>
        <v>3620725370.3800001</v>
      </c>
      <c r="K2522" s="350">
        <f t="shared" si="149"/>
        <v>40001841435.332916</v>
      </c>
      <c r="L2522" s="233" t="s">
        <v>1917</v>
      </c>
      <c r="M2522" s="333"/>
      <c r="N2522" s="333"/>
      <c r="O2522" s="350"/>
    </row>
    <row r="2523" spans="1:15" s="7" customFormat="1" ht="15">
      <c r="A2523" s="81"/>
      <c r="B2523" s="109"/>
      <c r="C2523" s="29" t="s">
        <v>497</v>
      </c>
      <c r="D2523" s="32" t="s">
        <v>1922</v>
      </c>
      <c r="E2523" s="33"/>
      <c r="F2523" s="303">
        <v>3535421568</v>
      </c>
      <c r="G2523" s="98">
        <v>42994</v>
      </c>
      <c r="H2523" s="208">
        <v>2948304944.4499998</v>
      </c>
      <c r="I2523" s="336">
        <v>43081</v>
      </c>
      <c r="J2523" s="331">
        <f t="shared" si="148"/>
        <v>587116623.55000019</v>
      </c>
      <c r="K2523" s="350">
        <f t="shared" si="149"/>
        <v>43622566805.712914</v>
      </c>
      <c r="L2523" s="233" t="s">
        <v>1917</v>
      </c>
      <c r="M2523" s="333"/>
      <c r="N2523" s="333"/>
      <c r="O2523" s="332"/>
    </row>
    <row r="2524" spans="1:15" s="7" customFormat="1" ht="15">
      <c r="A2524" s="81"/>
      <c r="B2524" s="109"/>
      <c r="C2524" s="29" t="s">
        <v>498</v>
      </c>
      <c r="D2524" s="32" t="s">
        <v>1923</v>
      </c>
      <c r="E2524" s="33"/>
      <c r="F2524" s="303">
        <v>4246397820</v>
      </c>
      <c r="G2524" s="98" t="s">
        <v>493</v>
      </c>
      <c r="H2524" s="208">
        <v>3016283106.4400001</v>
      </c>
      <c r="I2524" s="336">
        <v>43081</v>
      </c>
      <c r="J2524" s="331">
        <f t="shared" si="148"/>
        <v>1230114713.5599999</v>
      </c>
      <c r="K2524" s="350">
        <f t="shared" si="149"/>
        <v>44209683429.262917</v>
      </c>
      <c r="L2524" s="233" t="s">
        <v>1917</v>
      </c>
      <c r="M2524" s="333"/>
      <c r="N2524" s="333"/>
      <c r="O2524" s="332"/>
    </row>
    <row r="2525" spans="1:15" s="7" customFormat="1" ht="15">
      <c r="A2525" s="81"/>
      <c r="B2525" s="109"/>
      <c r="C2525" s="29" t="s">
        <v>564</v>
      </c>
      <c r="D2525" s="32" t="s">
        <v>1924</v>
      </c>
      <c r="E2525" s="33"/>
      <c r="F2525" s="303">
        <v>2688944930.52</v>
      </c>
      <c r="G2525" s="98">
        <v>43044</v>
      </c>
      <c r="H2525" s="208">
        <v>2368538803.4499998</v>
      </c>
      <c r="I2525" s="336"/>
      <c r="J2525" s="331">
        <f t="shared" si="148"/>
        <v>320406127.07000017</v>
      </c>
      <c r="K2525" s="350">
        <f t="shared" si="149"/>
        <v>45439798142.822914</v>
      </c>
      <c r="L2525" s="233" t="s">
        <v>1917</v>
      </c>
      <c r="M2525" s="333"/>
      <c r="N2525" s="333"/>
      <c r="O2525" s="332"/>
    </row>
    <row r="2526" spans="1:15" s="7" customFormat="1" ht="15">
      <c r="A2526" s="81"/>
      <c r="B2526" s="109"/>
      <c r="C2526" s="29" t="s">
        <v>500</v>
      </c>
      <c r="D2526" s="32" t="s">
        <v>1925</v>
      </c>
      <c r="E2526" s="33"/>
      <c r="F2526" s="303">
        <v>2957189829.9899998</v>
      </c>
      <c r="G2526" s="98">
        <v>43044</v>
      </c>
      <c r="H2526" s="208">
        <v>1035940018.08</v>
      </c>
      <c r="I2526" s="336"/>
      <c r="J2526" s="331">
        <f t="shared" si="148"/>
        <v>1921249811.9099998</v>
      </c>
      <c r="K2526" s="350">
        <f t="shared" si="149"/>
        <v>45760204269.892914</v>
      </c>
      <c r="L2526" s="233" t="s">
        <v>1917</v>
      </c>
      <c r="M2526" s="333"/>
      <c r="N2526" s="333"/>
      <c r="O2526" s="332"/>
    </row>
    <row r="2527" spans="1:15" s="7" customFormat="1" ht="15">
      <c r="A2527" s="81"/>
      <c r="B2527" s="109"/>
      <c r="C2527" s="29" t="s">
        <v>501</v>
      </c>
      <c r="D2527" s="32" t="s">
        <v>1926</v>
      </c>
      <c r="E2527" s="33"/>
      <c r="F2527" s="303">
        <v>3337450832.0999999</v>
      </c>
      <c r="G2527" s="98" t="s">
        <v>502</v>
      </c>
      <c r="H2527" s="208">
        <v>7523961507.29</v>
      </c>
      <c r="I2527" s="336"/>
      <c r="J2527" s="331">
        <f t="shared" si="148"/>
        <v>-4186510675.1900001</v>
      </c>
      <c r="K2527" s="350">
        <f t="shared" si="149"/>
        <v>47681454081.802917</v>
      </c>
      <c r="L2527" s="233" t="s">
        <v>1917</v>
      </c>
      <c r="M2527" s="333"/>
      <c r="N2527" s="333"/>
      <c r="O2527" s="332"/>
    </row>
    <row r="2528" spans="1:15" s="7" customFormat="1" ht="15">
      <c r="A2528" s="81"/>
      <c r="B2528" s="109"/>
      <c r="C2528" s="29" t="s">
        <v>504</v>
      </c>
      <c r="D2528" s="32" t="s">
        <v>1927</v>
      </c>
      <c r="E2528" s="33"/>
      <c r="F2528" s="303">
        <v>5062387312.6199999</v>
      </c>
      <c r="G2528" s="98">
        <v>43375</v>
      </c>
      <c r="H2528" s="208">
        <v>9691689659.5599995</v>
      </c>
      <c r="I2528" s="336"/>
      <c r="J2528" s="331">
        <f t="shared" si="148"/>
        <v>-4629302346.9399996</v>
      </c>
      <c r="K2528" s="350">
        <f t="shared" si="149"/>
        <v>43494943406.612915</v>
      </c>
      <c r="L2528" s="233" t="s">
        <v>1917</v>
      </c>
      <c r="M2528" s="333"/>
      <c r="N2528" s="333"/>
      <c r="O2528" s="332"/>
    </row>
    <row r="2529" spans="1:15" s="7" customFormat="1" ht="15">
      <c r="A2529" s="81"/>
      <c r="B2529" s="109"/>
      <c r="C2529" s="29" t="s">
        <v>506</v>
      </c>
      <c r="D2529" s="32" t="s">
        <v>1928</v>
      </c>
      <c r="E2529" s="33"/>
      <c r="F2529" s="303">
        <v>3383130348.23</v>
      </c>
      <c r="G2529" s="98" t="s">
        <v>1302</v>
      </c>
      <c r="H2529" s="208">
        <v>3780111352.0100002</v>
      </c>
      <c r="I2529" s="336"/>
      <c r="J2529" s="331">
        <f t="shared" si="148"/>
        <v>-396981003.78000021</v>
      </c>
      <c r="K2529" s="350">
        <f t="shared" si="149"/>
        <v>38865641059.672913</v>
      </c>
      <c r="L2529" s="233" t="s">
        <v>1917</v>
      </c>
      <c r="M2529" s="333"/>
      <c r="N2529" s="333"/>
      <c r="O2529" s="332"/>
    </row>
    <row r="2530" spans="1:15" s="7" customFormat="1" ht="15">
      <c r="A2530" s="81"/>
      <c r="B2530" s="109"/>
      <c r="C2530" s="29" t="s">
        <v>508</v>
      </c>
      <c r="D2530" s="32" t="s">
        <v>1929</v>
      </c>
      <c r="E2530" s="33"/>
      <c r="F2530" s="303">
        <v>4105167974.77</v>
      </c>
      <c r="G2530" s="75" t="s">
        <v>509</v>
      </c>
      <c r="H2530" s="208">
        <v>3458069766.9099998</v>
      </c>
      <c r="I2530" s="336"/>
      <c r="J2530" s="331">
        <f t="shared" si="148"/>
        <v>647098207.86000013</v>
      </c>
      <c r="K2530" s="350">
        <f t="shared" si="149"/>
        <v>38468660055.892914</v>
      </c>
      <c r="L2530" s="233" t="s">
        <v>1917</v>
      </c>
      <c r="M2530" s="333"/>
      <c r="N2530" s="333"/>
      <c r="O2530" s="332"/>
    </row>
    <row r="2531" spans="1:15" s="7" customFormat="1" ht="15">
      <c r="A2531" s="81"/>
      <c r="B2531" s="109"/>
      <c r="C2531" s="29" t="s">
        <v>355</v>
      </c>
      <c r="D2531" s="32" t="s">
        <v>1930</v>
      </c>
      <c r="E2531" s="33"/>
      <c r="F2531" s="303">
        <v>4600751666.9735985</v>
      </c>
      <c r="G2531" s="75" t="s">
        <v>1931</v>
      </c>
      <c r="I2531" s="336"/>
      <c r="J2531" s="331">
        <f t="shared" si="148"/>
        <v>4600751666.9735985</v>
      </c>
      <c r="K2531" s="350">
        <f t="shared" si="149"/>
        <v>39115758263.752914</v>
      </c>
      <c r="L2531" s="55"/>
      <c r="M2531" s="333"/>
      <c r="N2531" s="333"/>
      <c r="O2531" s="332"/>
    </row>
    <row r="2532" spans="1:15" s="7" customFormat="1" ht="15">
      <c r="A2532" s="81"/>
      <c r="B2532" s="109"/>
      <c r="C2532" s="31" t="s">
        <v>234</v>
      </c>
      <c r="D2532" s="32" t="s">
        <v>1932</v>
      </c>
      <c r="E2532" s="33"/>
      <c r="F2532" s="303">
        <v>4504762423.1599617</v>
      </c>
      <c r="G2532" s="75" t="s">
        <v>513</v>
      </c>
      <c r="H2532" s="208">
        <v>3237816610.73</v>
      </c>
      <c r="I2532" s="336"/>
      <c r="J2532" s="331">
        <f t="shared" si="148"/>
        <v>1266945812.4299617</v>
      </c>
      <c r="K2532" s="350">
        <f t="shared" si="149"/>
        <v>43716509930.726517</v>
      </c>
      <c r="L2532" s="233" t="s">
        <v>1917</v>
      </c>
      <c r="M2532" s="333"/>
      <c r="N2532" s="333"/>
      <c r="O2532" s="332"/>
    </row>
    <row r="2533" spans="1:15" s="7" customFormat="1" ht="15">
      <c r="A2533" s="81"/>
      <c r="B2533" s="109"/>
      <c r="C2533" s="42" t="s">
        <v>1748</v>
      </c>
      <c r="D2533" s="32" t="s">
        <v>1933</v>
      </c>
      <c r="E2533" s="33"/>
      <c r="F2533" s="303">
        <v>4297088629.879962</v>
      </c>
      <c r="G2533" s="75" t="s">
        <v>640</v>
      </c>
      <c r="H2533" s="208">
        <v>3111144881.9299998</v>
      </c>
      <c r="I2533" s="350"/>
      <c r="J2533" s="331">
        <f t="shared" si="148"/>
        <v>1185943747.9499621</v>
      </c>
      <c r="K2533" s="350">
        <f t="shared" si="149"/>
        <v>44983455743.156479</v>
      </c>
      <c r="L2533" s="233" t="s">
        <v>1917</v>
      </c>
      <c r="M2533" s="333"/>
      <c r="N2533" s="333"/>
      <c r="O2533" s="332"/>
    </row>
    <row r="2534" spans="1:15" s="7" customFormat="1" ht="15">
      <c r="A2534" s="81"/>
      <c r="B2534" s="109"/>
      <c r="C2534" s="42"/>
      <c r="D2534" s="32"/>
      <c r="E2534" s="33"/>
      <c r="F2534" s="303"/>
      <c r="G2534" s="75"/>
      <c r="H2534" s="208">
        <f>88319715.8+85703247.5+44750091.04+1449402.46</f>
        <v>220222456.80000001</v>
      </c>
      <c r="I2534" s="350"/>
      <c r="J2534" s="331">
        <f>F2534-H2534</f>
        <v>-220222456.80000001</v>
      </c>
      <c r="K2534" s="350">
        <f t="shared" si="149"/>
        <v>46169399491.106438</v>
      </c>
      <c r="L2534" s="354" t="s">
        <v>1934</v>
      </c>
      <c r="M2534" s="333"/>
      <c r="N2534" s="333"/>
      <c r="O2534" s="332"/>
    </row>
    <row r="2535" spans="1:15" s="7" customFormat="1" ht="15">
      <c r="A2535" s="81"/>
      <c r="B2535" s="109"/>
      <c r="C2535" s="31" t="s">
        <v>1935</v>
      </c>
      <c r="D2535" s="32"/>
      <c r="E2535" s="33"/>
      <c r="F2535" s="303"/>
      <c r="G2535" s="75"/>
      <c r="H2535" s="208">
        <v>1259357518.7</v>
      </c>
      <c r="I2535" s="355" t="s">
        <v>979</v>
      </c>
      <c r="J2535" s="331">
        <f t="shared" si="148"/>
        <v>-1259357518.7</v>
      </c>
      <c r="K2535" s="350">
        <f t="shared" si="149"/>
        <v>45949177034.306435</v>
      </c>
      <c r="L2535" s="356" t="s">
        <v>1935</v>
      </c>
      <c r="M2535" s="333"/>
      <c r="N2535" s="333"/>
      <c r="O2535" s="332"/>
    </row>
    <row r="2536" spans="1:15" s="7" customFormat="1" ht="15">
      <c r="A2536" s="81"/>
      <c r="B2536" s="109"/>
      <c r="C2536" s="31"/>
      <c r="D2536" s="32"/>
      <c r="E2536" s="33"/>
      <c r="F2536" s="303"/>
      <c r="G2536" s="75"/>
      <c r="H2536" s="208">
        <v>200000000</v>
      </c>
      <c r="I2536" s="350" t="s">
        <v>1936</v>
      </c>
      <c r="J2536" s="331">
        <f>F2536-H2536</f>
        <v>-200000000</v>
      </c>
      <c r="K2536" s="350">
        <f t="shared" si="149"/>
        <v>44689819515.606438</v>
      </c>
      <c r="L2536" s="39" t="s">
        <v>1937</v>
      </c>
      <c r="M2536" s="333"/>
      <c r="N2536" s="333"/>
      <c r="O2536" s="332"/>
    </row>
    <row r="2537" spans="1:15" s="7" customFormat="1" ht="15">
      <c r="A2537" s="81"/>
      <c r="B2537" s="109"/>
      <c r="C2537" s="31"/>
      <c r="D2537" s="32"/>
      <c r="E2537" s="33"/>
      <c r="F2537" s="303"/>
      <c r="G2537" s="75"/>
      <c r="H2537" s="208">
        <v>174059825.59</v>
      </c>
      <c r="I2537" s="350" t="s">
        <v>1266</v>
      </c>
      <c r="J2537" s="331">
        <f>F2537-H2537</f>
        <v>-174059825.59</v>
      </c>
      <c r="K2537" s="350">
        <f t="shared" si="149"/>
        <v>44489819515.606438</v>
      </c>
      <c r="L2537" s="39" t="s">
        <v>1937</v>
      </c>
      <c r="M2537" s="333"/>
      <c r="N2537" s="333"/>
      <c r="O2537" s="332"/>
    </row>
    <row r="2538" spans="1:15" s="7" customFormat="1" ht="15">
      <c r="A2538" s="81"/>
      <c r="B2538" s="335" t="s">
        <v>1938</v>
      </c>
      <c r="C2538" s="313"/>
      <c r="D2538" s="327"/>
      <c r="E2538" s="328"/>
      <c r="F2538" s="329"/>
      <c r="G2538" s="70"/>
      <c r="H2538" s="87"/>
      <c r="I2538" s="336"/>
      <c r="J2538" s="331"/>
      <c r="K2538" s="85">
        <f t="shared" si="149"/>
        <v>44315759690.016441</v>
      </c>
      <c r="L2538" s="39"/>
      <c r="M2538" s="338"/>
      <c r="N2538" s="338">
        <v>44489819515.606415</v>
      </c>
      <c r="O2538" s="332"/>
    </row>
    <row r="2539" spans="1:15" s="7" customFormat="1" ht="15">
      <c r="A2539" s="81"/>
      <c r="B2539" s="335"/>
      <c r="C2539" s="313"/>
      <c r="D2539" s="327"/>
      <c r="E2539" s="328"/>
      <c r="F2539" s="329"/>
      <c r="G2539" s="70"/>
      <c r="H2539" s="87"/>
      <c r="I2539" s="336"/>
      <c r="J2539" s="331"/>
      <c r="K2539" s="85"/>
      <c r="L2539" s="39"/>
      <c r="M2539" s="338"/>
      <c r="N2539" s="338"/>
      <c r="O2539" s="332"/>
    </row>
    <row r="2540" spans="1:15" s="7" customFormat="1" ht="15">
      <c r="A2540" s="357">
        <v>53</v>
      </c>
      <c r="B2540" s="210" t="s">
        <v>13</v>
      </c>
      <c r="C2540" s="332" t="s">
        <v>1939</v>
      </c>
      <c r="D2540" s="327" t="s">
        <v>255</v>
      </c>
      <c r="E2540" s="52"/>
      <c r="F2540" s="358">
        <v>262344018.03749999</v>
      </c>
      <c r="G2540" s="56"/>
      <c r="H2540" s="359">
        <v>237358873.46000001</v>
      </c>
      <c r="I2540" s="360"/>
      <c r="J2540" s="331">
        <f t="shared" ref="J2540:J2586" si="150">F2540-H2540</f>
        <v>24985144.577499986</v>
      </c>
      <c r="K2540" s="361"/>
      <c r="L2540" s="362"/>
      <c r="M2540" s="333"/>
      <c r="N2540" s="333"/>
      <c r="O2540" s="316"/>
    </row>
    <row r="2541" spans="1:15" s="7" customFormat="1" ht="15">
      <c r="A2541" s="357"/>
      <c r="B2541" s="210"/>
      <c r="C2541" s="332" t="s">
        <v>1940</v>
      </c>
      <c r="D2541" s="327" t="s">
        <v>258</v>
      </c>
      <c r="E2541" s="52"/>
      <c r="F2541" s="358">
        <v>220897593.67199999</v>
      </c>
      <c r="G2541" s="56"/>
      <c r="H2541" s="359">
        <v>199859727.61000001</v>
      </c>
      <c r="I2541" s="360"/>
      <c r="J2541" s="331">
        <f t="shared" si="150"/>
        <v>21037866.061999977</v>
      </c>
      <c r="K2541" s="331">
        <f>J2540+K2540</f>
        <v>24985144.577499986</v>
      </c>
      <c r="L2541" s="362"/>
      <c r="M2541" s="333"/>
      <c r="N2541" s="333"/>
      <c r="O2541" s="316"/>
    </row>
    <row r="2542" spans="1:15" s="7" customFormat="1" ht="15">
      <c r="A2542" s="357"/>
      <c r="B2542" s="210"/>
      <c r="C2542" s="332" t="s">
        <v>1941</v>
      </c>
      <c r="D2542" s="327"/>
      <c r="E2542" s="52"/>
      <c r="F2542" s="358"/>
      <c r="G2542" s="56"/>
      <c r="H2542" s="359">
        <v>23011505.32</v>
      </c>
      <c r="I2542" s="360"/>
      <c r="J2542" s="331">
        <f t="shared" si="150"/>
        <v>-23011505.32</v>
      </c>
      <c r="K2542" s="331">
        <f t="shared" ref="K2542:K2587" si="151">J2541+K2541</f>
        <v>46023010.639499962</v>
      </c>
      <c r="L2542" s="362"/>
      <c r="M2542" s="333"/>
      <c r="N2542" s="333"/>
      <c r="O2542" s="316"/>
    </row>
    <row r="2543" spans="1:15" s="7" customFormat="1" ht="15">
      <c r="A2543" s="357"/>
      <c r="B2543" s="210"/>
      <c r="C2543" s="332" t="s">
        <v>1941</v>
      </c>
      <c r="D2543" s="327"/>
      <c r="E2543" s="52"/>
      <c r="F2543" s="358"/>
      <c r="G2543" s="56"/>
      <c r="H2543" s="359">
        <v>54607862.290000007</v>
      </c>
      <c r="I2543" s="360"/>
      <c r="J2543" s="331">
        <f t="shared" si="150"/>
        <v>-54607862.290000007</v>
      </c>
      <c r="K2543" s="331">
        <f t="shared" si="151"/>
        <v>23011505.319499962</v>
      </c>
      <c r="L2543" s="362"/>
      <c r="M2543" s="333"/>
      <c r="N2543" s="333"/>
      <c r="O2543" s="316"/>
    </row>
    <row r="2544" spans="1:15" s="7" customFormat="1" ht="15">
      <c r="A2544" s="357"/>
      <c r="B2544" s="210"/>
      <c r="C2544" s="332" t="s">
        <v>1942</v>
      </c>
      <c r="D2544" s="327" t="s">
        <v>260</v>
      </c>
      <c r="E2544" s="52"/>
      <c r="F2544" s="358">
        <v>223199909.898</v>
      </c>
      <c r="G2544" s="56"/>
      <c r="H2544" s="359">
        <v>201942775.62</v>
      </c>
      <c r="I2544" s="360"/>
      <c r="J2544" s="331">
        <f t="shared" si="150"/>
        <v>21257134.277999997</v>
      </c>
      <c r="K2544" s="331">
        <f t="shared" si="151"/>
        <v>-31596356.970500045</v>
      </c>
      <c r="L2544" s="362"/>
      <c r="M2544" s="333"/>
      <c r="N2544" s="333"/>
      <c r="O2544" s="316"/>
    </row>
    <row r="2545" spans="1:15" s="7" customFormat="1" ht="15">
      <c r="A2545" s="357"/>
      <c r="B2545" s="210"/>
      <c r="C2545" s="332" t="s">
        <v>1870</v>
      </c>
      <c r="D2545" s="327" t="s">
        <v>263</v>
      </c>
      <c r="E2545" s="52"/>
      <c r="F2545" s="358">
        <v>239733849.36900002</v>
      </c>
      <c r="G2545" s="56"/>
      <c r="H2545" s="359">
        <v>216902054.19</v>
      </c>
      <c r="I2545" s="360"/>
      <c r="J2545" s="331">
        <f t="shared" si="150"/>
        <v>22831795.17900002</v>
      </c>
      <c r="K2545" s="331">
        <f t="shared" si="151"/>
        <v>-10339222.692500047</v>
      </c>
      <c r="L2545" s="362"/>
      <c r="M2545" s="333"/>
      <c r="N2545" s="333"/>
      <c r="O2545" s="316"/>
    </row>
    <row r="2546" spans="1:15" s="7" customFormat="1" ht="15">
      <c r="A2546" s="357"/>
      <c r="B2546" s="210"/>
      <c r="C2546" s="332" t="s">
        <v>1943</v>
      </c>
      <c r="D2546" s="327" t="s">
        <v>265</v>
      </c>
      <c r="E2546" s="52"/>
      <c r="F2546" s="358">
        <v>273915529.13550001</v>
      </c>
      <c r="G2546" s="56"/>
      <c r="H2546" s="359">
        <v>247828335.88999999</v>
      </c>
      <c r="I2546" s="360"/>
      <c r="J2546" s="331">
        <f t="shared" si="150"/>
        <v>26087193.245500028</v>
      </c>
      <c r="K2546" s="331">
        <f t="shared" si="151"/>
        <v>12492572.486499973</v>
      </c>
      <c r="L2546" s="362"/>
      <c r="M2546" s="333"/>
      <c r="N2546" s="333"/>
      <c r="O2546" s="316"/>
    </row>
    <row r="2547" spans="1:15" s="7" customFormat="1" ht="15">
      <c r="A2547" s="357"/>
      <c r="B2547" s="210"/>
      <c r="C2547" s="332" t="s">
        <v>1944</v>
      </c>
      <c r="D2547" s="327" t="s">
        <v>267</v>
      </c>
      <c r="E2547" s="52"/>
      <c r="F2547" s="358">
        <v>257678184.80249998</v>
      </c>
      <c r="G2547" s="56"/>
      <c r="H2547" s="359"/>
      <c r="I2547" s="360"/>
      <c r="J2547" s="331">
        <f t="shared" si="150"/>
        <v>257678184.80249998</v>
      </c>
      <c r="K2547" s="331">
        <f t="shared" si="151"/>
        <v>38579765.732000001</v>
      </c>
      <c r="L2547" s="362"/>
      <c r="M2547" s="333"/>
      <c r="N2547" s="333"/>
      <c r="O2547" s="316"/>
    </row>
    <row r="2548" spans="1:15" s="7" customFormat="1" ht="15">
      <c r="A2548" s="357"/>
      <c r="B2548" s="210"/>
      <c r="C2548" s="332" t="s">
        <v>1279</v>
      </c>
      <c r="D2548" s="327" t="s">
        <v>268</v>
      </c>
      <c r="E2548" s="52"/>
      <c r="F2548" s="358">
        <v>271109230.44691497</v>
      </c>
      <c r="G2548" s="56"/>
      <c r="H2548" s="359">
        <v>271109230.44999999</v>
      </c>
      <c r="I2548" s="360"/>
      <c r="J2548" s="331">
        <f t="shared" si="150"/>
        <v>-3.085017204284668E-3</v>
      </c>
      <c r="K2548" s="331">
        <f t="shared" si="151"/>
        <v>296257950.5345</v>
      </c>
      <c r="L2548" s="362"/>
      <c r="M2548" s="333"/>
      <c r="N2548" s="333"/>
      <c r="O2548" s="316"/>
    </row>
    <row r="2549" spans="1:15" s="7" customFormat="1" ht="15">
      <c r="A2549" s="357"/>
      <c r="B2549" s="210"/>
      <c r="C2549" s="332" t="s">
        <v>1945</v>
      </c>
      <c r="D2549" s="327" t="s">
        <v>122</v>
      </c>
      <c r="E2549" s="52"/>
      <c r="F2549" s="358">
        <v>198562298.77023751</v>
      </c>
      <c r="G2549" s="56"/>
      <c r="H2549" s="363"/>
      <c r="I2549" s="360"/>
      <c r="J2549" s="331">
        <f t="shared" si="150"/>
        <v>198562298.77023751</v>
      </c>
      <c r="K2549" s="331">
        <f t="shared" si="151"/>
        <v>296257950.53141499</v>
      </c>
      <c r="L2549" s="362"/>
      <c r="M2549" s="333"/>
      <c r="N2549" s="333"/>
      <c r="O2549" s="316"/>
    </row>
    <row r="2550" spans="1:15" s="7" customFormat="1" ht="15">
      <c r="A2550" s="357"/>
      <c r="B2550" s="210"/>
      <c r="C2550" s="332" t="s">
        <v>1946</v>
      </c>
      <c r="D2550" s="327" t="s">
        <v>271</v>
      </c>
      <c r="E2550" s="52"/>
      <c r="F2550" s="358">
        <v>266933945.19960001</v>
      </c>
      <c r="G2550" s="56"/>
      <c r="H2550" s="363"/>
      <c r="I2550" s="360"/>
      <c r="J2550" s="331">
        <f t="shared" si="150"/>
        <v>266933945.19960001</v>
      </c>
      <c r="K2550" s="331">
        <f t="shared" si="151"/>
        <v>494820249.30165249</v>
      </c>
      <c r="L2550" s="362"/>
      <c r="M2550" s="333"/>
      <c r="N2550" s="333"/>
      <c r="O2550" s="316"/>
    </row>
    <row r="2551" spans="1:15" s="7" customFormat="1" ht="15">
      <c r="A2551" s="357"/>
      <c r="B2551" s="210"/>
      <c r="C2551" s="332" t="s">
        <v>1947</v>
      </c>
      <c r="D2551" s="327" t="s">
        <v>273</v>
      </c>
      <c r="E2551" s="52"/>
      <c r="F2551" s="358">
        <v>282079254.71249998</v>
      </c>
      <c r="G2551" s="56"/>
      <c r="H2551" s="363"/>
      <c r="I2551" s="360"/>
      <c r="J2551" s="331">
        <f t="shared" si="150"/>
        <v>282079254.71249998</v>
      </c>
      <c r="K2551" s="331">
        <f t="shared" si="151"/>
        <v>761754194.50125253</v>
      </c>
      <c r="L2551" s="362"/>
      <c r="M2551" s="333"/>
      <c r="N2551" s="333"/>
      <c r="O2551" s="316"/>
    </row>
    <row r="2552" spans="1:15" s="7" customFormat="1" ht="15">
      <c r="A2552" s="357"/>
      <c r="B2552" s="210"/>
      <c r="C2552" s="332" t="s">
        <v>1557</v>
      </c>
      <c r="D2552" s="327" t="s">
        <v>275</v>
      </c>
      <c r="E2552" s="52"/>
      <c r="F2552" s="364">
        <v>237419417.34999999</v>
      </c>
      <c r="G2552" s="205" t="s">
        <v>1856</v>
      </c>
      <c r="H2552" s="54"/>
      <c r="I2552" s="365"/>
      <c r="J2552" s="331">
        <f t="shared" si="150"/>
        <v>237419417.34999999</v>
      </c>
      <c r="K2552" s="331">
        <f t="shared" si="151"/>
        <v>1043833449.2137525</v>
      </c>
      <c r="L2552" s="39"/>
      <c r="M2552" s="333"/>
      <c r="N2552" s="333"/>
      <c r="O2552" s="316"/>
    </row>
    <row r="2553" spans="1:15" s="7" customFormat="1" ht="15">
      <c r="A2553" s="357"/>
      <c r="B2553" s="210"/>
      <c r="C2553" s="332" t="s">
        <v>1559</v>
      </c>
      <c r="D2553" s="327" t="s">
        <v>277</v>
      </c>
      <c r="E2553" s="52"/>
      <c r="F2553" s="364">
        <v>256284270.65000001</v>
      </c>
      <c r="G2553" s="205" t="s">
        <v>1857</v>
      </c>
      <c r="H2553" s="54"/>
      <c r="I2553" s="365"/>
      <c r="J2553" s="331">
        <f t="shared" si="150"/>
        <v>256284270.65000001</v>
      </c>
      <c r="K2553" s="331">
        <f t="shared" si="151"/>
        <v>1281252866.5637524</v>
      </c>
      <c r="L2553" s="39"/>
      <c r="M2553" s="333"/>
      <c r="N2553" s="333"/>
      <c r="O2553" s="316"/>
    </row>
    <row r="2554" spans="1:15" s="7" customFormat="1" ht="15">
      <c r="A2554" s="357"/>
      <c r="B2554" s="210"/>
      <c r="C2554" s="332" t="s">
        <v>1858</v>
      </c>
      <c r="D2554" s="327" t="s">
        <v>279</v>
      </c>
      <c r="E2554" s="52"/>
      <c r="F2554" s="366">
        <v>181759316.47999999</v>
      </c>
      <c r="G2554" s="205" t="s">
        <v>1948</v>
      </c>
      <c r="H2554" s="54"/>
      <c r="I2554" s="365"/>
      <c r="J2554" s="331">
        <f t="shared" si="150"/>
        <v>181759316.47999999</v>
      </c>
      <c r="K2554" s="331">
        <f t="shared" si="151"/>
        <v>1537537137.2137525</v>
      </c>
      <c r="L2554" s="367"/>
      <c r="M2554" s="333"/>
      <c r="N2554" s="333"/>
      <c r="O2554" s="316"/>
    </row>
    <row r="2555" spans="1:15" s="7" customFormat="1" ht="15">
      <c r="A2555" s="357"/>
      <c r="B2555" s="210"/>
      <c r="C2555" s="332" t="s">
        <v>1860</v>
      </c>
      <c r="D2555" s="327" t="s">
        <v>281</v>
      </c>
      <c r="E2555" s="52"/>
      <c r="F2555" s="366">
        <v>302983799.45999998</v>
      </c>
      <c r="G2555" s="205" t="s">
        <v>1861</v>
      </c>
      <c r="H2555" s="91"/>
      <c r="I2555" s="365"/>
      <c r="J2555" s="331">
        <f t="shared" si="150"/>
        <v>302983799.45999998</v>
      </c>
      <c r="K2555" s="331">
        <f t="shared" si="151"/>
        <v>1719296453.6937525</v>
      </c>
      <c r="L2555" s="367"/>
      <c r="M2555" s="333"/>
      <c r="N2555" s="333"/>
      <c r="O2555" s="316"/>
    </row>
    <row r="2556" spans="1:15" s="7" customFormat="1" ht="15">
      <c r="A2556" s="357"/>
      <c r="B2556" s="210"/>
      <c r="C2556" s="332" t="s">
        <v>1949</v>
      </c>
      <c r="D2556" s="327"/>
      <c r="E2556" s="52"/>
      <c r="F2556" s="366"/>
      <c r="G2556" s="205"/>
      <c r="H2556" s="159">
        <v>12492572.289999999</v>
      </c>
      <c r="I2556" s="365"/>
      <c r="J2556" s="331">
        <f t="shared" si="150"/>
        <v>-12492572.289999999</v>
      </c>
      <c r="K2556" s="331">
        <f t="shared" si="151"/>
        <v>2022280253.1537526</v>
      </c>
      <c r="L2556" s="367"/>
      <c r="M2556" s="333"/>
      <c r="N2556" s="333"/>
      <c r="O2556" s="316"/>
    </row>
    <row r="2557" spans="1:15" s="7" customFormat="1" ht="15">
      <c r="A2557" s="357"/>
      <c r="B2557" s="210"/>
      <c r="C2557" s="332" t="s">
        <v>1950</v>
      </c>
      <c r="D2557" s="327"/>
      <c r="E2557" s="52"/>
      <c r="F2557" s="366"/>
      <c r="G2557" s="205"/>
      <c r="H2557" s="159">
        <v>13043596.630000001</v>
      </c>
      <c r="I2557" s="365"/>
      <c r="J2557" s="331">
        <f t="shared" si="150"/>
        <v>-13043596.630000001</v>
      </c>
      <c r="K2557" s="331">
        <f t="shared" si="151"/>
        <v>2009787680.8637526</v>
      </c>
      <c r="L2557" s="367"/>
      <c r="M2557" s="333"/>
      <c r="N2557" s="333"/>
      <c r="O2557" s="316"/>
    </row>
    <row r="2558" spans="1:15" s="7" customFormat="1" ht="15">
      <c r="A2558" s="357"/>
      <c r="B2558" s="210"/>
      <c r="C2558" s="332" t="s">
        <v>1951</v>
      </c>
      <c r="D2558" s="327"/>
      <c r="E2558" s="52"/>
      <c r="F2558" s="366"/>
      <c r="G2558" s="205"/>
      <c r="H2558" s="159">
        <v>13043596.630000001</v>
      </c>
      <c r="I2558" s="365"/>
      <c r="J2558" s="331">
        <f t="shared" si="150"/>
        <v>-13043596.630000001</v>
      </c>
      <c r="K2558" s="331">
        <f t="shared" si="151"/>
        <v>1996744084.2337525</v>
      </c>
      <c r="L2558" s="367"/>
      <c r="M2558" s="333"/>
      <c r="N2558" s="333"/>
      <c r="O2558" s="316"/>
    </row>
    <row r="2559" spans="1:15" s="7" customFormat="1" ht="15">
      <c r="A2559" s="357"/>
      <c r="B2559" s="210"/>
      <c r="C2559" s="332" t="s">
        <v>1862</v>
      </c>
      <c r="D2559" s="327" t="s">
        <v>283</v>
      </c>
      <c r="E2559" s="52"/>
      <c r="F2559" s="366">
        <v>267343969.47299996</v>
      </c>
      <c r="G2559" s="205"/>
      <c r="H2559" s="159">
        <v>267343969.47</v>
      </c>
      <c r="I2559" s="365"/>
      <c r="J2559" s="331">
        <f t="shared" si="150"/>
        <v>2.9999613761901855E-3</v>
      </c>
      <c r="K2559" s="331">
        <f t="shared" si="151"/>
        <v>1983700487.6037524</v>
      </c>
      <c r="L2559" s="367"/>
      <c r="M2559" s="333"/>
      <c r="N2559" s="333"/>
      <c r="O2559" s="316"/>
    </row>
    <row r="2560" spans="1:15" s="7" customFormat="1" ht="15">
      <c r="A2560" s="357"/>
      <c r="B2560" s="210"/>
      <c r="C2560" s="332" t="s">
        <v>1886</v>
      </c>
      <c r="D2560" s="327" t="s">
        <v>84</v>
      </c>
      <c r="E2560" s="52"/>
      <c r="F2560" s="366">
        <v>339140920.94400001</v>
      </c>
      <c r="G2560" s="205"/>
      <c r="H2560" s="159">
        <v>339140920.94</v>
      </c>
      <c r="I2560" s="365"/>
      <c r="J2560" s="331">
        <f t="shared" si="150"/>
        <v>4.0000081062316895E-3</v>
      </c>
      <c r="K2560" s="331">
        <f t="shared" si="151"/>
        <v>1983700487.6067524</v>
      </c>
      <c r="L2560" s="367"/>
      <c r="M2560" s="333"/>
      <c r="N2560" s="333"/>
      <c r="O2560" s="316"/>
    </row>
    <row r="2561" spans="1:15" s="7" customFormat="1" ht="15">
      <c r="A2561" s="357"/>
      <c r="B2561" s="210"/>
      <c r="C2561" s="332" t="s">
        <v>1952</v>
      </c>
      <c r="D2561" s="327" t="s">
        <v>286</v>
      </c>
      <c r="E2561" s="52"/>
      <c r="F2561" s="366">
        <v>374447458.81200004</v>
      </c>
      <c r="G2561" s="205"/>
      <c r="H2561" s="159">
        <v>374447458.81</v>
      </c>
      <c r="I2561" s="365"/>
      <c r="J2561" s="331">
        <f t="shared" si="150"/>
        <v>2.0000338554382324E-3</v>
      </c>
      <c r="K2561" s="331">
        <f t="shared" si="151"/>
        <v>1983700487.6107523</v>
      </c>
      <c r="L2561" s="367"/>
      <c r="M2561" s="333"/>
      <c r="N2561" s="333"/>
      <c r="O2561" s="316"/>
    </row>
    <row r="2562" spans="1:15" s="7" customFormat="1" ht="15">
      <c r="A2562" s="357"/>
      <c r="B2562" s="210"/>
      <c r="C2562" s="332" t="s">
        <v>1888</v>
      </c>
      <c r="D2562" s="327" t="s">
        <v>775</v>
      </c>
      <c r="E2562" s="52"/>
      <c r="F2562" s="366">
        <v>357756813.162</v>
      </c>
      <c r="G2562" s="205"/>
      <c r="H2562" s="159">
        <v>357756813.16000003</v>
      </c>
      <c r="I2562" s="365"/>
      <c r="J2562" s="331">
        <f t="shared" si="150"/>
        <v>1.999974250793457E-3</v>
      </c>
      <c r="K2562" s="331">
        <f t="shared" si="151"/>
        <v>1983700487.6127524</v>
      </c>
      <c r="L2562" s="367"/>
      <c r="M2562" s="333"/>
      <c r="N2562" s="333"/>
      <c r="O2562" s="316"/>
    </row>
    <row r="2563" spans="1:15" s="7" customFormat="1" ht="15">
      <c r="A2563" s="357"/>
      <c r="B2563" s="210"/>
      <c r="C2563" s="368" t="s">
        <v>1953</v>
      </c>
      <c r="D2563" s="327" t="s">
        <v>289</v>
      </c>
      <c r="E2563" s="52"/>
      <c r="F2563" s="366">
        <v>301848892.023</v>
      </c>
      <c r="G2563" s="205"/>
      <c r="H2563" s="159">
        <v>183071414.66</v>
      </c>
      <c r="I2563" s="365"/>
      <c r="J2563" s="331">
        <f t="shared" si="150"/>
        <v>118777477.36300001</v>
      </c>
      <c r="K2563" s="331">
        <f t="shared" si="151"/>
        <v>1983700487.6147523</v>
      </c>
      <c r="L2563" s="367"/>
      <c r="M2563" s="333"/>
      <c r="N2563" s="333"/>
      <c r="O2563" s="316"/>
    </row>
    <row r="2564" spans="1:15" s="7" customFormat="1" ht="15">
      <c r="A2564" s="357"/>
      <c r="B2564" s="210"/>
      <c r="C2564" s="332" t="s">
        <v>1954</v>
      </c>
      <c r="D2564" s="327" t="s">
        <v>777</v>
      </c>
      <c r="E2564" s="52"/>
      <c r="F2564" s="366">
        <v>330950337.35400003</v>
      </c>
      <c r="G2564" s="205"/>
      <c r="H2564" s="159">
        <v>118777477.36</v>
      </c>
      <c r="I2564" s="365"/>
      <c r="J2564" s="331">
        <f t="shared" si="150"/>
        <v>212172859.99400002</v>
      </c>
      <c r="K2564" s="331">
        <f t="shared" si="151"/>
        <v>2102477964.9777522</v>
      </c>
      <c r="L2564" s="367"/>
      <c r="M2564" s="333"/>
      <c r="N2564" s="333"/>
      <c r="O2564" s="316"/>
    </row>
    <row r="2565" spans="1:15" s="7" customFormat="1" ht="15">
      <c r="A2565" s="357"/>
      <c r="B2565" s="210"/>
      <c r="C2565" s="332" t="s">
        <v>1955</v>
      </c>
      <c r="D2565" s="327" t="s">
        <v>74</v>
      </c>
      <c r="E2565" s="52"/>
      <c r="F2565" s="366">
        <v>317802169.69200003</v>
      </c>
      <c r="G2565" s="205"/>
      <c r="H2565" s="159">
        <v>648752507.03999996</v>
      </c>
      <c r="I2565" s="365"/>
      <c r="J2565" s="331">
        <f t="shared" si="150"/>
        <v>-330950337.34799993</v>
      </c>
      <c r="K2565" s="331">
        <f t="shared" si="151"/>
        <v>2314650824.9717522</v>
      </c>
      <c r="L2565" s="367"/>
      <c r="M2565" s="333"/>
      <c r="N2565" s="333"/>
      <c r="O2565" s="316"/>
    </row>
    <row r="2566" spans="1:15" s="7" customFormat="1" ht="15">
      <c r="A2566" s="357"/>
      <c r="B2566" s="210"/>
      <c r="C2566" s="332" t="s">
        <v>1956</v>
      </c>
      <c r="D2566" s="327" t="s">
        <v>296</v>
      </c>
      <c r="E2566" s="52"/>
      <c r="F2566" s="366">
        <v>343156785.97200006</v>
      </c>
      <c r="G2566" s="205"/>
      <c r="H2566" s="159">
        <v>343156785.97000003</v>
      </c>
      <c r="I2566" s="365"/>
      <c r="J2566" s="331">
        <f t="shared" si="150"/>
        <v>2.0000338554382324E-3</v>
      </c>
      <c r="K2566" s="331">
        <f t="shared" si="151"/>
        <v>1983700487.6237521</v>
      </c>
      <c r="L2566" s="367"/>
      <c r="M2566" s="333"/>
      <c r="N2566" s="333"/>
      <c r="O2566" s="316"/>
    </row>
    <row r="2567" spans="1:15" s="7" customFormat="1" ht="15">
      <c r="A2567" s="357"/>
      <c r="B2567" s="210"/>
      <c r="C2567" s="332" t="s">
        <v>461</v>
      </c>
      <c r="D2567" s="327" t="s">
        <v>298</v>
      </c>
      <c r="E2567" s="52"/>
      <c r="F2567" s="364">
        <v>224018550.84</v>
      </c>
      <c r="G2567" s="205" t="s">
        <v>1957</v>
      </c>
      <c r="H2567" s="47">
        <v>224018550.84</v>
      </c>
      <c r="I2567" s="365"/>
      <c r="J2567" s="331">
        <f t="shared" si="150"/>
        <v>0</v>
      </c>
      <c r="K2567" s="331">
        <f t="shared" si="151"/>
        <v>1983700487.6257522</v>
      </c>
      <c r="L2567" s="367"/>
      <c r="M2567" s="333"/>
      <c r="N2567" s="333"/>
      <c r="O2567" s="316"/>
    </row>
    <row r="2568" spans="1:15" s="7" customFormat="1" ht="15">
      <c r="A2568" s="357"/>
      <c r="B2568" s="210"/>
      <c r="C2568" s="332" t="s">
        <v>465</v>
      </c>
      <c r="D2568" s="327" t="s">
        <v>299</v>
      </c>
      <c r="E2568" s="52"/>
      <c r="F2568" s="364">
        <v>268883503.10000002</v>
      </c>
      <c r="G2568" s="205" t="s">
        <v>1958</v>
      </c>
      <c r="H2568" s="47">
        <v>268883503.10000002</v>
      </c>
      <c r="I2568" s="369" t="s">
        <v>1473</v>
      </c>
      <c r="J2568" s="331">
        <f t="shared" si="150"/>
        <v>0</v>
      </c>
      <c r="K2568" s="331">
        <f t="shared" si="151"/>
        <v>1983700487.6257522</v>
      </c>
      <c r="L2568" s="367"/>
      <c r="M2568" s="333"/>
      <c r="N2568" s="333"/>
      <c r="O2568" s="316"/>
    </row>
    <row r="2569" spans="1:15" s="7" customFormat="1" ht="15">
      <c r="A2569" s="357"/>
      <c r="B2569" s="210"/>
      <c r="C2569" s="332" t="s">
        <v>467</v>
      </c>
      <c r="D2569" s="327" t="s">
        <v>29</v>
      </c>
      <c r="E2569" s="52"/>
      <c r="F2569" s="364">
        <v>451140298.56</v>
      </c>
      <c r="G2569" s="205" t="s">
        <v>1959</v>
      </c>
      <c r="H2569" s="91"/>
      <c r="I2569" s="365"/>
      <c r="J2569" s="331">
        <f t="shared" si="150"/>
        <v>451140298.56</v>
      </c>
      <c r="K2569" s="331">
        <f t="shared" si="151"/>
        <v>1983700487.6257522</v>
      </c>
      <c r="L2569" s="367"/>
      <c r="M2569" s="333"/>
      <c r="N2569" s="333"/>
      <c r="O2569" s="316"/>
    </row>
    <row r="2570" spans="1:15" s="7" customFormat="1" ht="15">
      <c r="A2570" s="357"/>
      <c r="B2570" s="210"/>
      <c r="C2570" s="332" t="s">
        <v>469</v>
      </c>
      <c r="D2570" s="327" t="s">
        <v>301</v>
      </c>
      <c r="E2570" s="52"/>
      <c r="F2570" s="364">
        <v>619518131.61000001</v>
      </c>
      <c r="G2570" s="205" t="s">
        <v>1775</v>
      </c>
      <c r="H2570" s="47">
        <v>384847346.10000002</v>
      </c>
      <c r="I2570" s="365"/>
      <c r="J2570" s="331">
        <f t="shared" si="150"/>
        <v>234670785.50999999</v>
      </c>
      <c r="K2570" s="331">
        <f t="shared" si="151"/>
        <v>2434840786.1857524</v>
      </c>
      <c r="L2570" s="367" t="s">
        <v>1884</v>
      </c>
      <c r="M2570" s="333"/>
      <c r="N2570" s="333"/>
      <c r="O2570" s="316"/>
    </row>
    <row r="2571" spans="1:15" s="7" customFormat="1" ht="15.75">
      <c r="A2571" s="357"/>
      <c r="B2571" s="210"/>
      <c r="C2571" s="332" t="s">
        <v>471</v>
      </c>
      <c r="D2571" s="327" t="s">
        <v>313</v>
      </c>
      <c r="E2571" s="52"/>
      <c r="F2571" s="364">
        <v>1006093292.24</v>
      </c>
      <c r="G2571" s="205" t="s">
        <v>1777</v>
      </c>
      <c r="H2571" s="370"/>
      <c r="I2571" s="365"/>
      <c r="J2571" s="331">
        <f t="shared" si="150"/>
        <v>1006093292.24</v>
      </c>
      <c r="K2571" s="331">
        <f t="shared" si="151"/>
        <v>2669511571.6957521</v>
      </c>
      <c r="L2571" s="367"/>
      <c r="M2571" s="333"/>
      <c r="N2571" s="333"/>
      <c r="O2571" s="316"/>
    </row>
    <row r="2572" spans="1:15" s="7" customFormat="1" ht="15">
      <c r="A2572" s="357"/>
      <c r="B2572" s="210"/>
      <c r="C2572" s="332" t="s">
        <v>473</v>
      </c>
      <c r="D2572" s="327" t="s">
        <v>314</v>
      </c>
      <c r="E2572" s="52"/>
      <c r="F2572" s="364">
        <v>579257726.36000001</v>
      </c>
      <c r="G2572" s="205" t="s">
        <v>1778</v>
      </c>
      <c r="H2572" s="47">
        <v>596950052.73000002</v>
      </c>
      <c r="I2572" s="369" t="s">
        <v>1914</v>
      </c>
      <c r="J2572" s="331">
        <f t="shared" si="150"/>
        <v>-17692326.370000005</v>
      </c>
      <c r="K2572" s="331">
        <f t="shared" si="151"/>
        <v>3675604863.9357519</v>
      </c>
      <c r="L2572" s="367" t="s">
        <v>1915</v>
      </c>
      <c r="M2572" s="333"/>
      <c r="N2572" s="333"/>
      <c r="O2572" s="316"/>
    </row>
    <row r="2573" spans="1:15" s="7" customFormat="1" ht="15">
      <c r="A2573" s="357"/>
      <c r="B2573" s="210"/>
      <c r="C2573" s="332" t="s">
        <v>401</v>
      </c>
      <c r="D2573" s="327" t="s">
        <v>315</v>
      </c>
      <c r="E2573" s="52"/>
      <c r="F2573" s="364">
        <v>84369634.969999999</v>
      </c>
      <c r="G2573" s="205" t="s">
        <v>1780</v>
      </c>
      <c r="H2573" s="47">
        <v>20000000</v>
      </c>
      <c r="I2573" s="369" t="s">
        <v>1960</v>
      </c>
      <c r="J2573" s="331">
        <f t="shared" si="150"/>
        <v>64369634.969999999</v>
      </c>
      <c r="K2573" s="331">
        <f t="shared" si="151"/>
        <v>3657912537.565752</v>
      </c>
      <c r="L2573" s="367"/>
      <c r="M2573" s="333"/>
      <c r="N2573" s="333"/>
      <c r="O2573" s="316"/>
    </row>
    <row r="2574" spans="1:15" s="7" customFormat="1" ht="15">
      <c r="A2574" s="357"/>
      <c r="B2574" s="210"/>
      <c r="C2574" s="74" t="s">
        <v>404</v>
      </c>
      <c r="D2574" s="32" t="s">
        <v>316</v>
      </c>
      <c r="E2574" s="52"/>
      <c r="F2574" s="34">
        <v>314034892.5</v>
      </c>
      <c r="G2574" s="76" t="s">
        <v>1781</v>
      </c>
      <c r="H2574" s="47">
        <v>20000000</v>
      </c>
      <c r="I2574" s="369" t="s">
        <v>1961</v>
      </c>
      <c r="J2574" s="331">
        <f t="shared" si="150"/>
        <v>294034892.5</v>
      </c>
      <c r="K2574" s="331">
        <f t="shared" si="151"/>
        <v>3722282172.5357518</v>
      </c>
      <c r="L2574" s="367"/>
      <c r="M2574" s="333"/>
      <c r="N2574" s="333"/>
      <c r="O2574" s="316"/>
    </row>
    <row r="2575" spans="1:15" s="7" customFormat="1" ht="15">
      <c r="A2575" s="357"/>
      <c r="B2575" s="210"/>
      <c r="C2575" s="74" t="s">
        <v>406</v>
      </c>
      <c r="D2575" s="32" t="s">
        <v>317</v>
      </c>
      <c r="E2575" s="52"/>
      <c r="F2575" s="34">
        <v>456733014.32999998</v>
      </c>
      <c r="G2575" s="76" t="s">
        <v>1962</v>
      </c>
      <c r="H2575" s="47">
        <v>60000000</v>
      </c>
      <c r="I2575" s="365" t="s">
        <v>1415</v>
      </c>
      <c r="J2575" s="331">
        <f t="shared" si="150"/>
        <v>396733014.32999998</v>
      </c>
      <c r="K2575" s="331">
        <f t="shared" si="151"/>
        <v>4016317065.0357518</v>
      </c>
      <c r="L2575" s="367"/>
      <c r="M2575" s="333"/>
      <c r="N2575" s="333"/>
      <c r="O2575" s="316"/>
    </row>
    <row r="2576" spans="1:15" s="7" customFormat="1" ht="15">
      <c r="A2576" s="357"/>
      <c r="B2576" s="210"/>
      <c r="C2576" s="74" t="s">
        <v>409</v>
      </c>
      <c r="D2576" s="32" t="s">
        <v>319</v>
      </c>
      <c r="E2576" s="52"/>
      <c r="F2576" s="34">
        <v>571063161.24000001</v>
      </c>
      <c r="G2576" s="76" t="s">
        <v>1963</v>
      </c>
      <c r="H2576" s="47">
        <v>173624553.87</v>
      </c>
      <c r="I2576" s="365" t="s">
        <v>356</v>
      </c>
      <c r="J2576" s="331">
        <f t="shared" si="150"/>
        <v>397438607.37</v>
      </c>
      <c r="K2576" s="331">
        <f t="shared" si="151"/>
        <v>4413050079.3657522</v>
      </c>
      <c r="L2576" s="367" t="s">
        <v>1853</v>
      </c>
      <c r="M2576" s="333"/>
      <c r="N2576" s="333"/>
      <c r="O2576" s="316"/>
    </row>
    <row r="2577" spans="1:15" s="7" customFormat="1" ht="15">
      <c r="A2577" s="357"/>
      <c r="B2577" s="210"/>
      <c r="C2577" s="74" t="s">
        <v>411</v>
      </c>
      <c r="D2577" s="32" t="s">
        <v>321</v>
      </c>
      <c r="E2577" s="52"/>
      <c r="F2577" s="34">
        <v>667437718.05999994</v>
      </c>
      <c r="G2577" s="76" t="s">
        <v>1721</v>
      </c>
      <c r="H2577" s="47">
        <v>256154666.90000001</v>
      </c>
      <c r="I2577" s="365" t="s">
        <v>358</v>
      </c>
      <c r="J2577" s="331">
        <f t="shared" si="150"/>
        <v>411283051.15999997</v>
      </c>
      <c r="K2577" s="331">
        <f t="shared" si="151"/>
        <v>4810488686.7357521</v>
      </c>
      <c r="L2577" s="367" t="s">
        <v>1853</v>
      </c>
      <c r="M2577" s="333"/>
      <c r="N2577" s="333"/>
      <c r="O2577" s="316"/>
    </row>
    <row r="2578" spans="1:15" s="7" customFormat="1" ht="15">
      <c r="A2578" s="357"/>
      <c r="B2578" s="210"/>
      <c r="C2578" s="74" t="s">
        <v>414</v>
      </c>
      <c r="D2578" s="32" t="s">
        <v>323</v>
      </c>
      <c r="E2578" s="52"/>
      <c r="F2578" s="34">
        <v>733014383.14999998</v>
      </c>
      <c r="G2578" s="76" t="s">
        <v>1411</v>
      </c>
      <c r="H2578" s="91">
        <v>0</v>
      </c>
      <c r="I2578" s="365"/>
      <c r="J2578" s="331">
        <f t="shared" si="150"/>
        <v>733014383.14999998</v>
      </c>
      <c r="K2578" s="331">
        <f t="shared" si="151"/>
        <v>5221771737.895752</v>
      </c>
      <c r="L2578" s="367"/>
      <c r="M2578" s="333"/>
      <c r="N2578" s="333"/>
      <c r="O2578" s="316"/>
    </row>
    <row r="2579" spans="1:15" s="7" customFormat="1" ht="15">
      <c r="A2579" s="357"/>
      <c r="B2579" s="210"/>
      <c r="C2579" s="74" t="s">
        <v>1412</v>
      </c>
      <c r="D2579" s="32" t="s">
        <v>44</v>
      </c>
      <c r="E2579" s="52"/>
      <c r="F2579" s="34">
        <v>1007107884.6799999</v>
      </c>
      <c r="G2579" s="75">
        <v>42655</v>
      </c>
      <c r="H2579" s="91">
        <v>0</v>
      </c>
      <c r="I2579" s="365"/>
      <c r="J2579" s="331">
        <f t="shared" si="150"/>
        <v>1007107884.6799999</v>
      </c>
      <c r="K2579" s="331">
        <f t="shared" si="151"/>
        <v>5954786121.0457516</v>
      </c>
      <c r="L2579" s="367"/>
      <c r="M2579" s="333"/>
      <c r="N2579" s="333"/>
      <c r="O2579" s="316"/>
    </row>
    <row r="2580" spans="1:15" s="7" customFormat="1" ht="15">
      <c r="A2580" s="357"/>
      <c r="B2580" s="210"/>
      <c r="C2580" s="41" t="s">
        <v>609</v>
      </c>
      <c r="D2580" s="32" t="s">
        <v>326</v>
      </c>
      <c r="E2580" s="52"/>
      <c r="F2580" s="34">
        <v>823779376.73955011</v>
      </c>
      <c r="G2580" s="75"/>
      <c r="H2580" s="91"/>
      <c r="I2580" s="365"/>
      <c r="J2580" s="331">
        <f t="shared" si="150"/>
        <v>823779376.73955011</v>
      </c>
      <c r="K2580" s="331">
        <f t="shared" si="151"/>
        <v>6961894005.7257519</v>
      </c>
      <c r="L2580" s="367"/>
      <c r="M2580" s="333"/>
      <c r="N2580" s="333"/>
      <c r="O2580" s="316"/>
    </row>
    <row r="2581" spans="1:15" s="7" customFormat="1" ht="15">
      <c r="A2581" s="357"/>
      <c r="B2581" s="210"/>
      <c r="C2581" s="41" t="s">
        <v>611</v>
      </c>
      <c r="D2581" s="32" t="s">
        <v>328</v>
      </c>
      <c r="E2581" s="52"/>
      <c r="F2581" s="34">
        <v>895743705.03999996</v>
      </c>
      <c r="G2581" s="75"/>
      <c r="H2581" s="91"/>
      <c r="I2581" s="365"/>
      <c r="J2581" s="331">
        <f t="shared" si="150"/>
        <v>895743705.03999996</v>
      </c>
      <c r="K2581" s="331">
        <f t="shared" si="151"/>
        <v>7785673382.4653015</v>
      </c>
      <c r="L2581" s="367"/>
      <c r="M2581" s="333"/>
      <c r="N2581" s="333"/>
      <c r="O2581" s="316"/>
    </row>
    <row r="2582" spans="1:15" s="7" customFormat="1" ht="15">
      <c r="A2582" s="357"/>
      <c r="B2582" s="210"/>
      <c r="C2582" s="41" t="s">
        <v>1964</v>
      </c>
      <c r="D2582" s="32" t="s">
        <v>330</v>
      </c>
      <c r="E2582" s="52"/>
      <c r="F2582" s="34">
        <v>1067263760.58</v>
      </c>
      <c r="G2582" s="75">
        <v>42797</v>
      </c>
      <c r="H2582" s="47">
        <v>914797509.07000005</v>
      </c>
      <c r="I2582" s="365" t="s">
        <v>1189</v>
      </c>
      <c r="J2582" s="331">
        <f t="shared" si="150"/>
        <v>152466251.50999999</v>
      </c>
      <c r="K2582" s="331">
        <f t="shared" si="151"/>
        <v>8681417087.5053024</v>
      </c>
      <c r="L2582" s="371" t="s">
        <v>1917</v>
      </c>
      <c r="M2582" s="333"/>
      <c r="N2582" s="333"/>
      <c r="O2582" s="316"/>
    </row>
    <row r="2583" spans="1:15" s="7" customFormat="1" ht="15">
      <c r="A2583" s="357"/>
      <c r="B2583" s="210"/>
      <c r="C2583" s="29" t="s">
        <v>489</v>
      </c>
      <c r="D2583" s="32" t="s">
        <v>332</v>
      </c>
      <c r="E2583" s="52"/>
      <c r="F2583" s="118">
        <v>1181670085.71</v>
      </c>
      <c r="G2583" s="58" t="s">
        <v>1965</v>
      </c>
      <c r="H2583" s="47">
        <v>1012860073.67</v>
      </c>
      <c r="I2583" s="365"/>
      <c r="J2583" s="331">
        <f t="shared" si="150"/>
        <v>168810012.04000008</v>
      </c>
      <c r="K2583" s="331">
        <f t="shared" si="151"/>
        <v>8833883339.0153027</v>
      </c>
      <c r="L2583" s="371" t="s">
        <v>1917</v>
      </c>
      <c r="M2583" s="333"/>
      <c r="N2583" s="333"/>
      <c r="O2583" s="316"/>
    </row>
    <row r="2584" spans="1:15" s="7" customFormat="1" ht="15">
      <c r="A2584" s="357"/>
      <c r="B2584" s="210"/>
      <c r="C2584" s="41" t="s">
        <v>490</v>
      </c>
      <c r="D2584" s="32" t="s">
        <v>333</v>
      </c>
      <c r="E2584" s="52"/>
      <c r="F2584" s="118">
        <v>1147242985.3</v>
      </c>
      <c r="G2584" s="58" t="s">
        <v>1038</v>
      </c>
      <c r="H2584" s="47">
        <v>983351130.25</v>
      </c>
      <c r="I2584" s="365"/>
      <c r="J2584" s="331">
        <f t="shared" si="150"/>
        <v>163891855.04999995</v>
      </c>
      <c r="K2584" s="331">
        <f t="shared" si="151"/>
        <v>9002693351.0553036</v>
      </c>
      <c r="L2584" s="371" t="s">
        <v>1917</v>
      </c>
      <c r="M2584" s="333"/>
      <c r="N2584" s="333"/>
      <c r="O2584" s="316"/>
    </row>
    <row r="2585" spans="1:15" s="7" customFormat="1" ht="15">
      <c r="A2585" s="357"/>
      <c r="B2585" s="210"/>
      <c r="C2585" s="29" t="s">
        <v>560</v>
      </c>
      <c r="D2585" s="32" t="s">
        <v>1423</v>
      </c>
      <c r="E2585" s="52"/>
      <c r="F2585" s="95">
        <v>1569732235.48</v>
      </c>
      <c r="G2585" s="96">
        <v>43014</v>
      </c>
      <c r="H2585" s="47">
        <v>1345484773.26</v>
      </c>
      <c r="I2585" s="365"/>
      <c r="J2585" s="331">
        <f t="shared" si="150"/>
        <v>224247462.22000003</v>
      </c>
      <c r="K2585" s="331">
        <f t="shared" si="151"/>
        <v>9166585206.1053028</v>
      </c>
      <c r="L2585" s="371" t="s">
        <v>1917</v>
      </c>
      <c r="M2585" s="333"/>
      <c r="N2585" s="333"/>
      <c r="O2585" s="316"/>
    </row>
    <row r="2586" spans="1:15" s="7" customFormat="1" ht="15">
      <c r="A2586" s="357"/>
      <c r="B2586" s="210"/>
      <c r="C2586" s="29" t="s">
        <v>562</v>
      </c>
      <c r="D2586" s="32" t="s">
        <v>1966</v>
      </c>
      <c r="E2586" s="52"/>
      <c r="F2586" s="95">
        <v>1749135466.9200001</v>
      </c>
      <c r="G2586" s="98">
        <v>42931</v>
      </c>
      <c r="H2586" s="47">
        <v>1499258971.6400001</v>
      </c>
      <c r="I2586" s="365"/>
      <c r="J2586" s="331">
        <f t="shared" si="150"/>
        <v>249876495.27999997</v>
      </c>
      <c r="K2586" s="331">
        <f t="shared" si="151"/>
        <v>9390832668.3253021</v>
      </c>
      <c r="L2586" s="371" t="s">
        <v>1917</v>
      </c>
      <c r="M2586" s="333"/>
      <c r="N2586" s="333"/>
      <c r="O2586" s="316"/>
    </row>
    <row r="2587" spans="1:15" s="7" customFormat="1" ht="15">
      <c r="A2587" s="357"/>
      <c r="B2587" s="210"/>
      <c r="C2587" s="372"/>
      <c r="D2587" s="373"/>
      <c r="E2587" s="374"/>
      <c r="F2587" s="375">
        <f>SUM(F2579:F2586)</f>
        <v>9441675500.4495506</v>
      </c>
      <c r="G2587" s="376"/>
      <c r="H2587" s="47">
        <f>45739875.45+50643003.5</f>
        <v>96382878.950000003</v>
      </c>
      <c r="I2587" s="377" t="s">
        <v>1330</v>
      </c>
      <c r="J2587" s="378">
        <f>E2587-H2587</f>
        <v>-96382878.950000003</v>
      </c>
      <c r="K2587" s="331">
        <f t="shared" si="151"/>
        <v>9640709163.6053028</v>
      </c>
      <c r="L2587" s="354" t="s">
        <v>1934</v>
      </c>
      <c r="M2587" s="333"/>
      <c r="N2587" s="333"/>
      <c r="O2587" s="316"/>
    </row>
    <row r="2588" spans="1:15" s="7" customFormat="1" ht="15">
      <c r="A2588" s="357"/>
      <c r="B2588" s="335" t="s">
        <v>1967</v>
      </c>
      <c r="C2588" s="313"/>
      <c r="D2588" s="327"/>
      <c r="E2588" s="328"/>
      <c r="F2588" s="364"/>
      <c r="G2588" s="70"/>
      <c r="H2588" s="87"/>
      <c r="I2588" s="336"/>
      <c r="J2588" s="331"/>
      <c r="K2588" s="379">
        <f>J2587+K2587</f>
        <v>9544326284.655302</v>
      </c>
      <c r="L2588" s="39"/>
      <c r="M2588" s="338"/>
      <c r="N2588" s="338"/>
      <c r="O2588" s="316"/>
    </row>
    <row r="2589" spans="1:15" s="7" customFormat="1" ht="15">
      <c r="A2589" s="81"/>
      <c r="B2589" s="335"/>
      <c r="C2589" s="313"/>
      <c r="D2589" s="327"/>
      <c r="E2589" s="328"/>
      <c r="F2589" s="329"/>
      <c r="G2589" s="70"/>
      <c r="H2589" s="87"/>
      <c r="I2589" s="336"/>
      <c r="J2589" s="331"/>
      <c r="K2589" s="85"/>
      <c r="L2589" s="39"/>
      <c r="M2589" s="338"/>
      <c r="N2589" s="338"/>
      <c r="O2589" s="332"/>
    </row>
    <row r="2590" spans="1:15" s="7" customFormat="1" ht="15">
      <c r="A2590" s="357">
        <v>55</v>
      </c>
      <c r="B2590" s="210" t="s">
        <v>15</v>
      </c>
      <c r="C2590" s="260" t="s">
        <v>1270</v>
      </c>
      <c r="D2590" s="341" t="s">
        <v>253</v>
      </c>
      <c r="E2590" s="68"/>
      <c r="F2590" s="364">
        <v>110052589.78097999</v>
      </c>
      <c r="G2590" s="333" t="s">
        <v>1968</v>
      </c>
      <c r="H2590" s="47">
        <v>50000000</v>
      </c>
      <c r="I2590" s="369" t="s">
        <v>1969</v>
      </c>
      <c r="J2590" s="331">
        <f t="shared" ref="J2590:J2653" si="152">F2590-H2590</f>
        <v>60052589.780979991</v>
      </c>
      <c r="K2590" s="332">
        <v>0</v>
      </c>
      <c r="L2590" s="39" t="s">
        <v>1970</v>
      </c>
      <c r="M2590" s="333"/>
      <c r="N2590" s="333"/>
      <c r="O2590" s="316"/>
    </row>
    <row r="2591" spans="1:15" s="7" customFormat="1" ht="15">
      <c r="A2591" s="357"/>
      <c r="B2591" s="380"/>
      <c r="C2591" s="260" t="s">
        <v>1273</v>
      </c>
      <c r="D2591" s="341" t="s">
        <v>255</v>
      </c>
      <c r="E2591" s="68"/>
      <c r="F2591" s="381">
        <v>118254187.60696802</v>
      </c>
      <c r="G2591" s="205" t="s">
        <v>1846</v>
      </c>
      <c r="H2591" s="47">
        <v>100000000</v>
      </c>
      <c r="I2591" s="369" t="s">
        <v>1971</v>
      </c>
      <c r="J2591" s="331">
        <f t="shared" si="152"/>
        <v>18254187.606968015</v>
      </c>
      <c r="K2591" s="317">
        <f t="shared" ref="K2591:K2654" si="153">K2590+J2590</f>
        <v>60052589.780979991</v>
      </c>
      <c r="L2591" s="39"/>
      <c r="M2591" s="333"/>
      <c r="N2591" s="333"/>
      <c r="O2591" s="316"/>
    </row>
    <row r="2592" spans="1:15" s="7" customFormat="1" ht="15">
      <c r="A2592" s="357"/>
      <c r="B2592" s="380"/>
      <c r="C2592" s="313" t="s">
        <v>1848</v>
      </c>
      <c r="D2592" s="327" t="s">
        <v>258</v>
      </c>
      <c r="E2592" s="328"/>
      <c r="F2592" s="364">
        <v>107002974.05</v>
      </c>
      <c r="G2592" s="336" t="s">
        <v>1972</v>
      </c>
      <c r="H2592" s="47">
        <v>110000000</v>
      </c>
      <c r="I2592" s="369" t="s">
        <v>1973</v>
      </c>
      <c r="J2592" s="331">
        <f t="shared" si="152"/>
        <v>-2997025.950000003</v>
      </c>
      <c r="K2592" s="317">
        <f t="shared" si="153"/>
        <v>78306777.387948006</v>
      </c>
      <c r="L2592" s="39"/>
      <c r="M2592" s="333"/>
      <c r="N2592" s="333"/>
      <c r="O2592" s="316"/>
    </row>
    <row r="2593" spans="1:15" s="7" customFormat="1" ht="15">
      <c r="A2593" s="357"/>
      <c r="B2593" s="141"/>
      <c r="C2593" s="313" t="s">
        <v>1850</v>
      </c>
      <c r="D2593" s="327" t="s">
        <v>260</v>
      </c>
      <c r="E2593" s="328"/>
      <c r="F2593" s="364">
        <v>190802951.34</v>
      </c>
      <c r="G2593" s="205" t="s">
        <v>1851</v>
      </c>
      <c r="H2593" s="47">
        <v>40000000</v>
      </c>
      <c r="I2593" s="336" t="s">
        <v>1974</v>
      </c>
      <c r="J2593" s="331">
        <f t="shared" si="152"/>
        <v>150802951.34</v>
      </c>
      <c r="K2593" s="317">
        <f t="shared" si="153"/>
        <v>75309751.437948003</v>
      </c>
      <c r="L2593" s="233"/>
      <c r="M2593" s="332"/>
      <c r="N2593" s="332"/>
      <c r="O2593" s="332"/>
    </row>
    <row r="2594" spans="1:15" s="7" customFormat="1" ht="15">
      <c r="A2594" s="357"/>
      <c r="B2594" s="141"/>
      <c r="C2594" s="313" t="s">
        <v>1854</v>
      </c>
      <c r="D2594" s="327" t="s">
        <v>263</v>
      </c>
      <c r="E2594" s="328"/>
      <c r="F2594" s="364">
        <v>168166024.03999999</v>
      </c>
      <c r="G2594" s="205" t="s">
        <v>1855</v>
      </c>
      <c r="H2594" s="47">
        <v>75000000</v>
      </c>
      <c r="I2594" s="336" t="s">
        <v>1975</v>
      </c>
      <c r="J2594" s="331">
        <f t="shared" si="152"/>
        <v>93166024.039999992</v>
      </c>
      <c r="K2594" s="317">
        <f t="shared" si="153"/>
        <v>226112702.77794802</v>
      </c>
      <c r="L2594" s="233"/>
      <c r="M2594" s="332"/>
      <c r="N2594" s="332"/>
      <c r="O2594" s="332"/>
    </row>
    <row r="2595" spans="1:15" s="7" customFormat="1" ht="15">
      <c r="A2595" s="357"/>
      <c r="B2595" s="141"/>
      <c r="C2595" s="332" t="s">
        <v>1276</v>
      </c>
      <c r="D2595" s="327" t="s">
        <v>265</v>
      </c>
      <c r="E2595" s="328"/>
      <c r="F2595" s="364">
        <v>158092862.11000001</v>
      </c>
      <c r="G2595" s="205" t="s">
        <v>1277</v>
      </c>
      <c r="H2595" s="47">
        <v>50000000</v>
      </c>
      <c r="I2595" s="336" t="s">
        <v>1976</v>
      </c>
      <c r="J2595" s="331">
        <f t="shared" si="152"/>
        <v>108092862.11000001</v>
      </c>
      <c r="K2595" s="317">
        <f t="shared" si="153"/>
        <v>319278726.81794798</v>
      </c>
      <c r="L2595" s="233"/>
      <c r="M2595" s="332"/>
      <c r="N2595" s="332"/>
      <c r="O2595" s="332"/>
    </row>
    <row r="2596" spans="1:15" s="7" customFormat="1" ht="15">
      <c r="A2596" s="357"/>
      <c r="B2596" s="141"/>
      <c r="C2596" s="332" t="s">
        <v>1279</v>
      </c>
      <c r="D2596" s="327" t="s">
        <v>267</v>
      </c>
      <c r="E2596" s="328"/>
      <c r="F2596" s="364">
        <v>291299756.56</v>
      </c>
      <c r="G2596" s="205" t="s">
        <v>1280</v>
      </c>
      <c r="H2596" s="47">
        <v>351114491.76885509</v>
      </c>
      <c r="I2596" s="336" t="s">
        <v>1914</v>
      </c>
      <c r="J2596" s="331">
        <f t="shared" si="152"/>
        <v>-59814735.208855093</v>
      </c>
      <c r="K2596" s="317">
        <f t="shared" si="153"/>
        <v>427371588.927948</v>
      </c>
      <c r="L2596" s="233" t="s">
        <v>1915</v>
      </c>
      <c r="M2596" s="332"/>
      <c r="N2596" s="332"/>
      <c r="O2596" s="332"/>
    </row>
    <row r="2597" spans="1:15" s="7" customFormat="1" ht="15">
      <c r="A2597" s="357"/>
      <c r="B2597" s="141"/>
      <c r="C2597" s="332" t="s">
        <v>1282</v>
      </c>
      <c r="D2597" s="327" t="s">
        <v>268</v>
      </c>
      <c r="E2597" s="328"/>
      <c r="F2597" s="364">
        <v>195666920.06</v>
      </c>
      <c r="G2597" s="205" t="s">
        <v>1283</v>
      </c>
      <c r="H2597" s="47">
        <v>62115159.289999999</v>
      </c>
      <c r="I2597" s="336" t="s">
        <v>356</v>
      </c>
      <c r="J2597" s="331">
        <f t="shared" si="152"/>
        <v>133551760.77000001</v>
      </c>
      <c r="K2597" s="317">
        <f t="shared" si="153"/>
        <v>367556853.71909291</v>
      </c>
      <c r="L2597" s="233" t="s">
        <v>1853</v>
      </c>
      <c r="M2597" s="332"/>
      <c r="N2597" s="332"/>
      <c r="O2597" s="332"/>
    </row>
    <row r="2598" spans="1:15" s="7" customFormat="1" ht="15">
      <c r="A2598" s="357"/>
      <c r="B2598" s="141"/>
      <c r="C2598" s="332" t="s">
        <v>1285</v>
      </c>
      <c r="D2598" s="327" t="s">
        <v>122</v>
      </c>
      <c r="E2598" s="328"/>
      <c r="F2598" s="364">
        <v>204741077.34999999</v>
      </c>
      <c r="G2598" s="336">
        <v>41898</v>
      </c>
      <c r="H2598" s="47">
        <v>91640770.739999995</v>
      </c>
      <c r="I2598" s="336" t="s">
        <v>358</v>
      </c>
      <c r="J2598" s="331">
        <f t="shared" si="152"/>
        <v>113100306.61</v>
      </c>
      <c r="K2598" s="317">
        <f t="shared" si="153"/>
        <v>501108614.48909295</v>
      </c>
      <c r="L2598" s="233"/>
      <c r="M2598" s="332"/>
      <c r="N2598" s="332"/>
      <c r="O2598" s="332"/>
    </row>
    <row r="2599" spans="1:15" s="7" customFormat="1" ht="15">
      <c r="A2599" s="357"/>
      <c r="B2599" s="141"/>
      <c r="C2599" s="332" t="s">
        <v>1287</v>
      </c>
      <c r="D2599" s="327" t="s">
        <v>271</v>
      </c>
      <c r="E2599" s="328"/>
      <c r="F2599" s="364">
        <v>245153805.31</v>
      </c>
      <c r="G2599" s="336" t="s">
        <v>1977</v>
      </c>
      <c r="H2599" s="54">
        <v>0</v>
      </c>
      <c r="I2599" s="336"/>
      <c r="J2599" s="331">
        <f t="shared" si="152"/>
        <v>245153805.31</v>
      </c>
      <c r="K2599" s="317">
        <f t="shared" si="153"/>
        <v>614208921.09909296</v>
      </c>
      <c r="L2599" s="233"/>
      <c r="M2599" s="332"/>
      <c r="N2599" s="332"/>
      <c r="O2599" s="332"/>
    </row>
    <row r="2600" spans="1:15" s="7" customFormat="1" ht="15">
      <c r="A2600" s="357"/>
      <c r="B2600" s="141"/>
      <c r="C2600" s="332" t="s">
        <v>1557</v>
      </c>
      <c r="D2600" s="327" t="s">
        <v>273</v>
      </c>
      <c r="E2600" s="328"/>
      <c r="F2600" s="364">
        <v>222249174.08000001</v>
      </c>
      <c r="G2600" s="205" t="s">
        <v>1856</v>
      </c>
      <c r="H2600" s="54">
        <v>0</v>
      </c>
      <c r="I2600" s="336"/>
      <c r="J2600" s="331">
        <f t="shared" si="152"/>
        <v>222249174.08000001</v>
      </c>
      <c r="K2600" s="317">
        <f t="shared" si="153"/>
        <v>859362726.4090929</v>
      </c>
      <c r="L2600" s="233"/>
      <c r="M2600" s="332"/>
      <c r="N2600" s="332"/>
      <c r="O2600" s="332"/>
    </row>
    <row r="2601" spans="1:15" s="7" customFormat="1" ht="15">
      <c r="A2601" s="357"/>
      <c r="B2601" s="141"/>
      <c r="C2601" s="332" t="s">
        <v>1559</v>
      </c>
      <c r="D2601" s="327" t="s">
        <v>275</v>
      </c>
      <c r="E2601" s="328"/>
      <c r="F2601" s="364">
        <v>231849361.94999999</v>
      </c>
      <c r="G2601" s="205" t="s">
        <v>1857</v>
      </c>
      <c r="H2601" s="54">
        <v>0</v>
      </c>
      <c r="I2601" s="336"/>
      <c r="J2601" s="331">
        <f t="shared" si="152"/>
        <v>231849361.94999999</v>
      </c>
      <c r="K2601" s="317">
        <f t="shared" si="153"/>
        <v>1081611900.4890928</v>
      </c>
      <c r="L2601" s="233"/>
      <c r="M2601" s="332"/>
      <c r="N2601" s="332"/>
      <c r="O2601" s="332"/>
    </row>
    <row r="2602" spans="1:15" s="7" customFormat="1" ht="15">
      <c r="A2602" s="357"/>
      <c r="B2602" s="141"/>
      <c r="C2602" s="332" t="s">
        <v>1858</v>
      </c>
      <c r="D2602" s="327" t="s">
        <v>277</v>
      </c>
      <c r="E2602" s="328"/>
      <c r="F2602" s="366">
        <v>323503680</v>
      </c>
      <c r="G2602" s="205" t="s">
        <v>1978</v>
      </c>
      <c r="H2602" s="54">
        <v>0</v>
      </c>
      <c r="I2602" s="336"/>
      <c r="J2602" s="331">
        <f t="shared" si="152"/>
        <v>323503680</v>
      </c>
      <c r="K2602" s="317">
        <f t="shared" si="153"/>
        <v>1313461262.4390929</v>
      </c>
      <c r="L2602" s="233"/>
      <c r="M2602" s="332"/>
      <c r="N2602" s="332"/>
      <c r="O2602" s="332"/>
    </row>
    <row r="2603" spans="1:15" s="7" customFormat="1" ht="15">
      <c r="A2603" s="357"/>
      <c r="B2603" s="141"/>
      <c r="C2603" s="332" t="s">
        <v>1860</v>
      </c>
      <c r="D2603" s="327" t="s">
        <v>279</v>
      </c>
      <c r="E2603" s="328"/>
      <c r="F2603" s="366">
        <v>300912434.33999997</v>
      </c>
      <c r="G2603" s="207" t="s">
        <v>1883</v>
      </c>
      <c r="H2603" s="91">
        <v>0</v>
      </c>
      <c r="I2603" s="336"/>
      <c r="J2603" s="331">
        <f t="shared" si="152"/>
        <v>300912434.33999997</v>
      </c>
      <c r="K2603" s="317">
        <f t="shared" si="153"/>
        <v>1636964942.4390929</v>
      </c>
      <c r="L2603" s="233"/>
      <c r="M2603" s="332"/>
      <c r="N2603" s="332"/>
      <c r="O2603" s="332"/>
    </row>
    <row r="2604" spans="1:15" s="7" customFormat="1" ht="15">
      <c r="A2604" s="357"/>
      <c r="B2604" s="141"/>
      <c r="C2604" s="332" t="s">
        <v>1862</v>
      </c>
      <c r="D2604" s="327" t="s">
        <v>281</v>
      </c>
      <c r="E2604" s="328"/>
      <c r="F2604" s="366">
        <v>256269292.91999999</v>
      </c>
      <c r="G2604" s="207" t="s">
        <v>1863</v>
      </c>
      <c r="H2604" s="91">
        <v>0</v>
      </c>
      <c r="I2604" s="336"/>
      <c r="J2604" s="331">
        <f t="shared" si="152"/>
        <v>256269292.91999999</v>
      </c>
      <c r="K2604" s="317">
        <f t="shared" si="153"/>
        <v>1937877376.7790928</v>
      </c>
      <c r="L2604" s="233"/>
      <c r="M2604" s="332"/>
      <c r="N2604" s="332"/>
      <c r="O2604" s="332"/>
    </row>
    <row r="2605" spans="1:15" s="7" customFormat="1" ht="15">
      <c r="A2605" s="357"/>
      <c r="B2605" s="141"/>
      <c r="C2605" s="332" t="s">
        <v>1886</v>
      </c>
      <c r="D2605" s="327" t="s">
        <v>283</v>
      </c>
      <c r="E2605" s="328"/>
      <c r="F2605" s="366">
        <v>286814461.13</v>
      </c>
      <c r="G2605" s="207" t="s">
        <v>1979</v>
      </c>
      <c r="H2605" s="91">
        <v>0</v>
      </c>
      <c r="I2605" s="336"/>
      <c r="J2605" s="331">
        <f t="shared" si="152"/>
        <v>286814461.13</v>
      </c>
      <c r="K2605" s="317">
        <f t="shared" si="153"/>
        <v>2194146669.6990929</v>
      </c>
      <c r="L2605" s="233"/>
      <c r="M2605" s="332"/>
      <c r="N2605" s="332"/>
      <c r="O2605" s="332"/>
    </row>
    <row r="2606" spans="1:15" s="7" customFormat="1" ht="15">
      <c r="A2606" s="357"/>
      <c r="B2606" s="141"/>
      <c r="C2606" s="332" t="s">
        <v>1887</v>
      </c>
      <c r="D2606" s="327" t="s">
        <v>84</v>
      </c>
      <c r="E2606" s="328"/>
      <c r="F2606" s="366">
        <v>364731730.43000001</v>
      </c>
      <c r="G2606" s="207" t="s">
        <v>1980</v>
      </c>
      <c r="H2606" s="91">
        <v>0</v>
      </c>
      <c r="I2606" s="336"/>
      <c r="J2606" s="331">
        <f t="shared" si="152"/>
        <v>364731730.43000001</v>
      </c>
      <c r="K2606" s="317">
        <f t="shared" si="153"/>
        <v>2480961130.829093</v>
      </c>
      <c r="L2606" s="233"/>
      <c r="M2606" s="332"/>
      <c r="N2606" s="332"/>
      <c r="O2606" s="332"/>
    </row>
    <row r="2607" spans="1:15" s="7" customFormat="1" ht="15">
      <c r="A2607" s="357"/>
      <c r="B2607" s="141"/>
      <c r="C2607" s="332" t="s">
        <v>1888</v>
      </c>
      <c r="D2607" s="327" t="s">
        <v>286</v>
      </c>
      <c r="E2607" s="328"/>
      <c r="F2607" s="366">
        <v>263083188.06999999</v>
      </c>
      <c r="G2607" s="207" t="s">
        <v>1981</v>
      </c>
      <c r="H2607" s="91"/>
      <c r="I2607" s="336"/>
      <c r="J2607" s="331">
        <f t="shared" si="152"/>
        <v>263083188.06999999</v>
      </c>
      <c r="K2607" s="317">
        <f t="shared" si="153"/>
        <v>2845692861.2590928</v>
      </c>
      <c r="L2607" s="233"/>
      <c r="M2607" s="332"/>
      <c r="N2607" s="332"/>
      <c r="O2607" s="332"/>
    </row>
    <row r="2608" spans="1:15" s="7" customFormat="1" ht="15">
      <c r="A2608" s="357"/>
      <c r="B2608" s="141"/>
      <c r="C2608" s="332" t="s">
        <v>1892</v>
      </c>
      <c r="D2608" s="327" t="s">
        <v>775</v>
      </c>
      <c r="E2608" s="328"/>
      <c r="F2608" s="366">
        <v>211546044.93000001</v>
      </c>
      <c r="G2608" s="207" t="s">
        <v>1982</v>
      </c>
      <c r="H2608" s="91">
        <v>0</v>
      </c>
      <c r="I2608" s="336"/>
      <c r="J2608" s="331">
        <f t="shared" si="152"/>
        <v>211546044.93000001</v>
      </c>
      <c r="K2608" s="317">
        <f t="shared" si="153"/>
        <v>3108776049.329093</v>
      </c>
      <c r="L2608" s="233"/>
      <c r="M2608" s="332"/>
      <c r="N2608" s="332"/>
      <c r="O2608" s="332"/>
    </row>
    <row r="2609" spans="1:15" s="7" customFormat="1" ht="15">
      <c r="A2609" s="357"/>
      <c r="B2609" s="141"/>
      <c r="C2609" s="332" t="s">
        <v>1864</v>
      </c>
      <c r="D2609" s="327" t="s">
        <v>289</v>
      </c>
      <c r="E2609" s="328"/>
      <c r="F2609" s="366">
        <v>342876813.85000002</v>
      </c>
      <c r="G2609" s="207" t="s">
        <v>1865</v>
      </c>
      <c r="H2609" s="91">
        <v>0</v>
      </c>
      <c r="I2609" s="336"/>
      <c r="J2609" s="331">
        <f t="shared" si="152"/>
        <v>342876813.85000002</v>
      </c>
      <c r="K2609" s="317">
        <f t="shared" si="153"/>
        <v>3320322094.2590928</v>
      </c>
      <c r="L2609" s="233"/>
      <c r="M2609" s="332"/>
      <c r="N2609" s="332"/>
      <c r="O2609" s="332"/>
    </row>
    <row r="2610" spans="1:15" s="7" customFormat="1" ht="15">
      <c r="A2610" s="357"/>
      <c r="B2610" s="141"/>
      <c r="C2610" s="332" t="s">
        <v>1897</v>
      </c>
      <c r="D2610" s="327" t="s">
        <v>777</v>
      </c>
      <c r="E2610" s="328"/>
      <c r="F2610" s="364">
        <v>498764045.82999998</v>
      </c>
      <c r="G2610" s="205" t="s">
        <v>1898</v>
      </c>
      <c r="H2610" s="91">
        <v>0</v>
      </c>
      <c r="I2610" s="336"/>
      <c r="J2610" s="331">
        <f t="shared" si="152"/>
        <v>498764045.82999998</v>
      </c>
      <c r="K2610" s="317">
        <f t="shared" si="153"/>
        <v>3663198908.1090927</v>
      </c>
      <c r="L2610" s="233"/>
      <c r="M2610" s="332"/>
      <c r="N2610" s="332"/>
      <c r="O2610" s="332"/>
    </row>
    <row r="2611" spans="1:15" s="7" customFormat="1" ht="15">
      <c r="A2611" s="357"/>
      <c r="B2611" s="141"/>
      <c r="C2611" s="332" t="s">
        <v>1171</v>
      </c>
      <c r="D2611" s="327" t="s">
        <v>74</v>
      </c>
      <c r="E2611" s="328"/>
      <c r="F2611" s="364">
        <v>556451022.46000004</v>
      </c>
      <c r="G2611" s="205" t="s">
        <v>1983</v>
      </c>
      <c r="H2611" s="91">
        <v>0</v>
      </c>
      <c r="I2611" s="336"/>
      <c r="J2611" s="331">
        <f t="shared" si="152"/>
        <v>556451022.46000004</v>
      </c>
      <c r="K2611" s="317">
        <f t="shared" si="153"/>
        <v>4161962953.9390926</v>
      </c>
      <c r="L2611" s="233"/>
      <c r="M2611" s="332"/>
      <c r="N2611" s="332"/>
      <c r="O2611" s="332"/>
    </row>
    <row r="2612" spans="1:15" s="7" customFormat="1" ht="15">
      <c r="A2612" s="357"/>
      <c r="B2612" s="141"/>
      <c r="C2612" s="332" t="s">
        <v>461</v>
      </c>
      <c r="D2612" s="327" t="s">
        <v>296</v>
      </c>
      <c r="E2612" s="328"/>
      <c r="F2612" s="364">
        <v>503183490.61000001</v>
      </c>
      <c r="G2612" s="205" t="s">
        <v>1984</v>
      </c>
      <c r="H2612" s="91">
        <v>0</v>
      </c>
      <c r="I2612" s="336"/>
      <c r="J2612" s="331">
        <f t="shared" si="152"/>
        <v>503183490.61000001</v>
      </c>
      <c r="K2612" s="317">
        <f t="shared" si="153"/>
        <v>4718413976.3990927</v>
      </c>
      <c r="L2612" s="233"/>
      <c r="M2612" s="332"/>
      <c r="N2612" s="332"/>
      <c r="O2612" s="332"/>
    </row>
    <row r="2613" spans="1:15" s="7" customFormat="1" ht="15">
      <c r="A2613" s="357"/>
      <c r="B2613" s="141"/>
      <c r="C2613" s="332" t="s">
        <v>465</v>
      </c>
      <c r="D2613" s="327" t="s">
        <v>298</v>
      </c>
      <c r="E2613" s="328"/>
      <c r="F2613" s="364">
        <v>473045356.95999998</v>
      </c>
      <c r="G2613" s="205" t="s">
        <v>1906</v>
      </c>
      <c r="H2613" s="91">
        <v>0</v>
      </c>
      <c r="I2613" s="336"/>
      <c r="J2613" s="331">
        <f t="shared" si="152"/>
        <v>473045356.95999998</v>
      </c>
      <c r="K2613" s="317">
        <f t="shared" si="153"/>
        <v>5221597467.0090923</v>
      </c>
      <c r="L2613" s="233"/>
      <c r="M2613" s="332"/>
      <c r="N2613" s="332"/>
      <c r="O2613" s="332"/>
    </row>
    <row r="2614" spans="1:15" s="7" customFormat="1" ht="15">
      <c r="A2614" s="357"/>
      <c r="B2614" s="141"/>
      <c r="C2614" s="332" t="s">
        <v>467</v>
      </c>
      <c r="D2614" s="327" t="s">
        <v>299</v>
      </c>
      <c r="E2614" s="328"/>
      <c r="F2614" s="364">
        <v>508691252.11000001</v>
      </c>
      <c r="G2614" s="205" t="s">
        <v>1959</v>
      </c>
      <c r="H2614" s="47">
        <v>90000000</v>
      </c>
      <c r="I2614" s="336">
        <v>42452</v>
      </c>
      <c r="J2614" s="331">
        <f t="shared" si="152"/>
        <v>418691252.11000001</v>
      </c>
      <c r="K2614" s="317">
        <f t="shared" si="153"/>
        <v>5694642823.9690924</v>
      </c>
      <c r="L2614" s="233"/>
      <c r="M2614" s="332"/>
      <c r="N2614" s="332"/>
      <c r="O2614" s="332"/>
    </row>
    <row r="2615" spans="1:15" s="7" customFormat="1" ht="15">
      <c r="A2615" s="357"/>
      <c r="B2615" s="141"/>
      <c r="C2615" s="332" t="s">
        <v>469</v>
      </c>
      <c r="D2615" s="327" t="s">
        <v>29</v>
      </c>
      <c r="E2615" s="328"/>
      <c r="F2615" s="364">
        <v>584187690.13999999</v>
      </c>
      <c r="G2615" s="205" t="s">
        <v>1775</v>
      </c>
      <c r="H2615" s="91">
        <v>0</v>
      </c>
      <c r="I2615" s="336"/>
      <c r="J2615" s="331">
        <f t="shared" si="152"/>
        <v>584187690.13999999</v>
      </c>
      <c r="K2615" s="317">
        <f t="shared" si="153"/>
        <v>6113334076.079092</v>
      </c>
      <c r="L2615" s="233"/>
      <c r="M2615" s="332"/>
      <c r="N2615" s="332"/>
      <c r="O2615" s="332"/>
    </row>
    <row r="2616" spans="1:15" s="7" customFormat="1" ht="15">
      <c r="A2616" s="357"/>
      <c r="B2616" s="141"/>
      <c r="C2616" s="332" t="s">
        <v>471</v>
      </c>
      <c r="D2616" s="327" t="s">
        <v>301</v>
      </c>
      <c r="E2616" s="328"/>
      <c r="F2616" s="364">
        <v>1337713611.9200001</v>
      </c>
      <c r="G2616" s="205" t="s">
        <v>1777</v>
      </c>
      <c r="H2616" s="91">
        <v>0</v>
      </c>
      <c r="I2616" s="336"/>
      <c r="J2616" s="331">
        <f t="shared" si="152"/>
        <v>1337713611.9200001</v>
      </c>
      <c r="K2616" s="317">
        <f t="shared" si="153"/>
        <v>6697521766.2190924</v>
      </c>
      <c r="L2616" s="233"/>
      <c r="M2616" s="332"/>
      <c r="N2616" s="332"/>
      <c r="O2616" s="332"/>
    </row>
    <row r="2617" spans="1:15" s="7" customFormat="1" ht="15">
      <c r="A2617" s="357"/>
      <c r="B2617" s="141"/>
      <c r="C2617" s="332" t="s">
        <v>473</v>
      </c>
      <c r="D2617" s="327" t="s">
        <v>29</v>
      </c>
      <c r="E2617" s="328"/>
      <c r="F2617" s="364">
        <v>800687602.90999997</v>
      </c>
      <c r="G2617" s="205" t="s">
        <v>1778</v>
      </c>
      <c r="H2617" s="91">
        <v>0</v>
      </c>
      <c r="I2617" s="336"/>
      <c r="J2617" s="331">
        <f t="shared" si="152"/>
        <v>800687602.90999997</v>
      </c>
      <c r="K2617" s="317">
        <f t="shared" si="153"/>
        <v>8035235378.1390924</v>
      </c>
      <c r="L2617" s="233"/>
      <c r="M2617" s="332"/>
      <c r="N2617" s="332"/>
      <c r="O2617" s="332"/>
    </row>
    <row r="2618" spans="1:15" s="7" customFormat="1" ht="15">
      <c r="A2618" s="357"/>
      <c r="B2618" s="141"/>
      <c r="C2618" s="332" t="s">
        <v>1403</v>
      </c>
      <c r="D2618" s="327" t="s">
        <v>301</v>
      </c>
      <c r="E2618" s="328"/>
      <c r="F2618" s="364">
        <v>620034148.17999995</v>
      </c>
      <c r="G2618" s="205" t="s">
        <v>1985</v>
      </c>
      <c r="H2618" s="91">
        <v>0</v>
      </c>
      <c r="I2618" s="336"/>
      <c r="J2618" s="331">
        <f t="shared" si="152"/>
        <v>620034148.17999995</v>
      </c>
      <c r="K2618" s="317">
        <f t="shared" si="153"/>
        <v>8835922981.0490932</v>
      </c>
      <c r="L2618" s="233"/>
      <c r="M2618" s="332"/>
      <c r="N2618" s="332"/>
      <c r="O2618" s="332"/>
    </row>
    <row r="2619" spans="1:15" s="7" customFormat="1" ht="15">
      <c r="A2619" s="357"/>
      <c r="B2619" s="141"/>
      <c r="C2619" s="332" t="s">
        <v>401</v>
      </c>
      <c r="D2619" s="327" t="s">
        <v>313</v>
      </c>
      <c r="E2619" s="328"/>
      <c r="F2619" s="364">
        <v>493564435.75999999</v>
      </c>
      <c r="G2619" s="205" t="s">
        <v>1985</v>
      </c>
      <c r="H2619" s="91">
        <v>0</v>
      </c>
      <c r="I2619" s="336"/>
      <c r="J2619" s="331">
        <f t="shared" si="152"/>
        <v>493564435.75999999</v>
      </c>
      <c r="K2619" s="317">
        <f t="shared" si="153"/>
        <v>9455957129.2290936</v>
      </c>
      <c r="L2619" s="233"/>
      <c r="M2619" s="332"/>
      <c r="N2619" s="332"/>
      <c r="O2619" s="332"/>
    </row>
    <row r="2620" spans="1:15" s="7" customFormat="1" ht="15">
      <c r="A2620" s="357"/>
      <c r="B2620" s="141"/>
      <c r="C2620" s="74" t="s">
        <v>404</v>
      </c>
      <c r="D2620" s="32" t="s">
        <v>314</v>
      </c>
      <c r="E2620" s="33"/>
      <c r="F2620" s="34">
        <v>402470984.68000001</v>
      </c>
      <c r="G2620" s="76" t="s">
        <v>1986</v>
      </c>
      <c r="H2620" s="91">
        <v>0</v>
      </c>
      <c r="I2620" s="336"/>
      <c r="J2620" s="331">
        <f t="shared" si="152"/>
        <v>402470984.68000001</v>
      </c>
      <c r="K2620" s="317">
        <f t="shared" si="153"/>
        <v>9949521564.9890938</v>
      </c>
      <c r="L2620" s="233"/>
      <c r="M2620" s="332"/>
      <c r="N2620" s="332"/>
      <c r="O2620" s="332"/>
    </row>
    <row r="2621" spans="1:15" s="7" customFormat="1" ht="15">
      <c r="A2621" s="357"/>
      <c r="B2621" s="141"/>
      <c r="C2621" s="74" t="s">
        <v>406</v>
      </c>
      <c r="D2621" s="32" t="s">
        <v>315</v>
      </c>
      <c r="E2621" s="33"/>
      <c r="F2621" s="34">
        <v>337014563.19999999</v>
      </c>
      <c r="G2621" s="76" t="s">
        <v>1407</v>
      </c>
      <c r="H2621" s="91">
        <v>0</v>
      </c>
      <c r="I2621" s="336"/>
      <c r="J2621" s="331">
        <f t="shared" si="152"/>
        <v>337014563.19999999</v>
      </c>
      <c r="K2621" s="317">
        <f t="shared" si="153"/>
        <v>10351992549.669094</v>
      </c>
      <c r="L2621" s="233"/>
      <c r="M2621" s="332"/>
      <c r="N2621" s="332"/>
      <c r="O2621" s="332"/>
    </row>
    <row r="2622" spans="1:15" s="7" customFormat="1" ht="15">
      <c r="A2622" s="357"/>
      <c r="B2622" s="141"/>
      <c r="C2622" s="74" t="s">
        <v>409</v>
      </c>
      <c r="D2622" s="32" t="s">
        <v>316</v>
      </c>
      <c r="E2622" s="33"/>
      <c r="F2622" s="34">
        <v>654845486.95000005</v>
      </c>
      <c r="G2622" s="76" t="s">
        <v>1720</v>
      </c>
      <c r="H2622" s="91">
        <v>0</v>
      </c>
      <c r="I2622" s="336"/>
      <c r="J2622" s="331">
        <f t="shared" si="152"/>
        <v>654845486.95000005</v>
      </c>
      <c r="K2622" s="317">
        <f t="shared" si="153"/>
        <v>10689007112.869095</v>
      </c>
      <c r="L2622" s="233"/>
      <c r="M2622" s="332"/>
      <c r="N2622" s="332"/>
      <c r="O2622" s="332"/>
    </row>
    <row r="2623" spans="1:15" s="7" customFormat="1" ht="15">
      <c r="A2623" s="357"/>
      <c r="B2623" s="141"/>
      <c r="C2623" s="74" t="s">
        <v>411</v>
      </c>
      <c r="D2623" s="32" t="s">
        <v>317</v>
      </c>
      <c r="E2623" s="33"/>
      <c r="F2623" s="34">
        <v>902410279.55999994</v>
      </c>
      <c r="G2623" s="76" t="s">
        <v>1409</v>
      </c>
      <c r="H2623" s="91">
        <v>0</v>
      </c>
      <c r="I2623" s="336"/>
      <c r="J2623" s="331">
        <f t="shared" si="152"/>
        <v>902410279.55999994</v>
      </c>
      <c r="K2623" s="317">
        <f t="shared" si="153"/>
        <v>11343852599.819096</v>
      </c>
      <c r="L2623" s="233"/>
      <c r="M2623" s="332"/>
      <c r="N2623" s="332"/>
      <c r="O2623" s="332"/>
    </row>
    <row r="2624" spans="1:15" s="7" customFormat="1" ht="15">
      <c r="A2624" s="357"/>
      <c r="B2624" s="141"/>
      <c r="C2624" s="74" t="s">
        <v>414</v>
      </c>
      <c r="D2624" s="32" t="s">
        <v>323</v>
      </c>
      <c r="E2624" s="33"/>
      <c r="F2624" s="34">
        <v>1335142126.6199999</v>
      </c>
      <c r="G2624" s="76" t="s">
        <v>1987</v>
      </c>
      <c r="H2624" s="91">
        <v>0</v>
      </c>
      <c r="I2624" s="336"/>
      <c r="J2624" s="331">
        <f t="shared" si="152"/>
        <v>1335142126.6199999</v>
      </c>
      <c r="K2624" s="317">
        <f t="shared" si="153"/>
        <v>12246262879.379095</v>
      </c>
      <c r="L2624" s="233"/>
      <c r="M2624" s="332"/>
      <c r="N2624" s="332"/>
      <c r="O2624" s="332"/>
    </row>
    <row r="2625" spans="1:15" s="7" customFormat="1" ht="15">
      <c r="A2625" s="357"/>
      <c r="B2625" s="141"/>
      <c r="C2625" s="74" t="s">
        <v>1412</v>
      </c>
      <c r="D2625" s="32" t="s">
        <v>321</v>
      </c>
      <c r="E2625" s="33"/>
      <c r="F2625" s="34">
        <v>1534637989.1099999</v>
      </c>
      <c r="G2625" s="75" t="s">
        <v>1988</v>
      </c>
      <c r="H2625" s="47"/>
      <c r="I2625" s="336"/>
      <c r="J2625" s="331">
        <f t="shared" si="152"/>
        <v>1534637989.1099999</v>
      </c>
      <c r="K2625" s="317">
        <f t="shared" si="153"/>
        <v>13581405005.999096</v>
      </c>
      <c r="L2625" s="233"/>
      <c r="M2625" s="332"/>
      <c r="N2625" s="332"/>
      <c r="O2625" s="332"/>
    </row>
    <row r="2626" spans="1:15" s="7" customFormat="1" ht="15">
      <c r="A2626" s="357"/>
      <c r="B2626" s="141"/>
      <c r="C2626" s="31" t="s">
        <v>1989</v>
      </c>
      <c r="D2626" s="32" t="s">
        <v>323</v>
      </c>
      <c r="E2626" s="33"/>
      <c r="F2626" s="34">
        <v>918715752.51999998</v>
      </c>
      <c r="G2626" s="75" t="s">
        <v>1286</v>
      </c>
      <c r="H2626" s="91"/>
      <c r="I2626" s="336"/>
      <c r="J2626" s="331">
        <f t="shared" si="152"/>
        <v>918715752.51999998</v>
      </c>
      <c r="K2626" s="317">
        <f t="shared" si="153"/>
        <v>15116042995.109097</v>
      </c>
      <c r="L2626" s="233"/>
      <c r="M2626" s="332"/>
      <c r="N2626" s="332"/>
      <c r="O2626" s="332"/>
    </row>
    <row r="2627" spans="1:15" s="7" customFormat="1" ht="15">
      <c r="A2627" s="357"/>
      <c r="B2627" s="141"/>
      <c r="C2627" s="74" t="s">
        <v>611</v>
      </c>
      <c r="D2627" s="32" t="s">
        <v>44</v>
      </c>
      <c r="E2627" s="33"/>
      <c r="F2627" s="34">
        <v>879712755.14999998</v>
      </c>
      <c r="G2627" s="75" t="s">
        <v>1990</v>
      </c>
      <c r="H2627" s="91"/>
      <c r="I2627" s="336"/>
      <c r="J2627" s="331">
        <f t="shared" si="152"/>
        <v>879712755.14999998</v>
      </c>
      <c r="K2627" s="317">
        <f t="shared" si="153"/>
        <v>16034758747.629097</v>
      </c>
      <c r="L2627" s="233"/>
      <c r="M2627" s="332"/>
      <c r="N2627" s="332"/>
      <c r="O2627" s="332"/>
    </row>
    <row r="2628" spans="1:15" s="7" customFormat="1" ht="15">
      <c r="A2628" s="357"/>
      <c r="B2628" s="141"/>
      <c r="C2628" s="29" t="s">
        <v>614</v>
      </c>
      <c r="D2628" s="32" t="s">
        <v>328</v>
      </c>
      <c r="E2628" s="33"/>
      <c r="F2628" s="118">
        <v>869650328.35000002</v>
      </c>
      <c r="G2628" s="58" t="s">
        <v>612</v>
      </c>
      <c r="H2628" s="47">
        <f>708143838.81+37270728.35</f>
        <v>745414567.15999997</v>
      </c>
      <c r="I2628" s="336" t="s">
        <v>1189</v>
      </c>
      <c r="J2628" s="331">
        <f t="shared" si="152"/>
        <v>124235761.19000006</v>
      </c>
      <c r="K2628" s="317">
        <f t="shared" si="153"/>
        <v>16914471502.779097</v>
      </c>
      <c r="L2628" s="233" t="s">
        <v>1917</v>
      </c>
      <c r="M2628" s="332"/>
      <c r="N2628" s="332"/>
      <c r="O2628" s="332"/>
    </row>
    <row r="2629" spans="1:15" s="7" customFormat="1" ht="15">
      <c r="A2629" s="357"/>
      <c r="B2629" s="109"/>
      <c r="C2629" s="29" t="s">
        <v>489</v>
      </c>
      <c r="D2629" s="32" t="s">
        <v>330</v>
      </c>
      <c r="E2629" s="33"/>
      <c r="F2629" s="118">
        <v>1238391180.4000001</v>
      </c>
      <c r="G2629" s="58" t="s">
        <v>556</v>
      </c>
      <c r="H2629" s="261">
        <f>1008404247+53073907.73</f>
        <v>1061478154.73</v>
      </c>
      <c r="I2629" s="336"/>
      <c r="J2629" s="331">
        <f t="shared" si="152"/>
        <v>176913025.67000008</v>
      </c>
      <c r="K2629" s="317">
        <f t="shared" si="153"/>
        <v>17038707263.969097</v>
      </c>
      <c r="L2629" s="233" t="s">
        <v>1917</v>
      </c>
      <c r="M2629" s="332"/>
      <c r="N2629" s="332"/>
      <c r="O2629" s="332"/>
    </row>
    <row r="2630" spans="1:15" s="7" customFormat="1" ht="15">
      <c r="A2630" s="357"/>
      <c r="B2630" s="109"/>
      <c r="C2630" s="41" t="s">
        <v>490</v>
      </c>
      <c r="D2630" s="32" t="s">
        <v>332</v>
      </c>
      <c r="E2630" s="33"/>
      <c r="F2630" s="118">
        <v>1646850655.6500001</v>
      </c>
      <c r="G2630" s="58" t="s">
        <v>1038</v>
      </c>
      <c r="H2630" s="47">
        <v>1411586276.28</v>
      </c>
      <c r="I2630" s="336"/>
      <c r="J2630" s="331">
        <f t="shared" si="152"/>
        <v>235264379.37000012</v>
      </c>
      <c r="K2630" s="317">
        <f t="shared" si="153"/>
        <v>17215620289.639099</v>
      </c>
      <c r="L2630" s="233" t="s">
        <v>1917</v>
      </c>
      <c r="M2630" s="332"/>
      <c r="N2630" s="332"/>
      <c r="O2630" s="332"/>
    </row>
    <row r="2631" spans="1:15" s="7" customFormat="1" ht="15">
      <c r="A2631" s="357"/>
      <c r="B2631" s="109"/>
      <c r="C2631" s="29" t="s">
        <v>560</v>
      </c>
      <c r="D2631" s="32" t="s">
        <v>333</v>
      </c>
      <c r="E2631" s="33"/>
      <c r="F2631" s="95">
        <v>1336783473.1500001</v>
      </c>
      <c r="G2631" s="96">
        <v>43014</v>
      </c>
      <c r="H2631" s="47">
        <f>1124877969.25+20936436.31</f>
        <v>1145814405.5599999</v>
      </c>
      <c r="I2631" s="336"/>
      <c r="J2631" s="331">
        <f t="shared" si="152"/>
        <v>190969067.59000015</v>
      </c>
      <c r="K2631" s="317">
        <f t="shared" si="153"/>
        <v>17450884669.009098</v>
      </c>
      <c r="L2631" s="233" t="s">
        <v>1917</v>
      </c>
      <c r="M2631" s="332"/>
      <c r="N2631" s="332"/>
      <c r="O2631" s="332"/>
    </row>
    <row r="2632" spans="1:15" s="7" customFormat="1" ht="15">
      <c r="A2632" s="357"/>
      <c r="B2632" s="109"/>
      <c r="C2632" s="29" t="s">
        <v>562</v>
      </c>
      <c r="D2632" s="32" t="s">
        <v>1423</v>
      </c>
      <c r="E2632" s="33"/>
      <c r="F2632" s="95">
        <v>1178765753.4300001</v>
      </c>
      <c r="G2632" s="96">
        <v>42931</v>
      </c>
      <c r="H2632" s="47">
        <f>991759358.42+18611287.38</f>
        <v>1010370645.8</v>
      </c>
      <c r="I2632" s="336"/>
      <c r="J2632" s="331">
        <f t="shared" si="152"/>
        <v>168395107.63000011</v>
      </c>
      <c r="K2632" s="317">
        <f t="shared" si="153"/>
        <v>17641853736.599098</v>
      </c>
      <c r="L2632" s="233" t="s">
        <v>1917</v>
      </c>
      <c r="M2632" s="332"/>
      <c r="N2632" s="332"/>
      <c r="O2632" s="332"/>
    </row>
    <row r="2633" spans="1:15" s="7" customFormat="1" ht="15">
      <c r="A2633" s="357"/>
      <c r="B2633" s="109"/>
      <c r="C2633" s="29" t="s">
        <v>494</v>
      </c>
      <c r="D2633" s="32" t="s">
        <v>1966</v>
      </c>
      <c r="E2633" s="33"/>
      <c r="F2633" s="95">
        <v>1470125955.97</v>
      </c>
      <c r="G2633" s="96">
        <v>42957</v>
      </c>
      <c r="H2633" s="47">
        <f>1197102564.15+63005398.11</f>
        <v>1260107962.26</v>
      </c>
      <c r="I2633" s="336">
        <v>43081</v>
      </c>
      <c r="J2633" s="331">
        <f t="shared" si="152"/>
        <v>210017993.71000004</v>
      </c>
      <c r="K2633" s="317">
        <f t="shared" si="153"/>
        <v>17810248844.229099</v>
      </c>
      <c r="L2633" s="233" t="s">
        <v>1917</v>
      </c>
      <c r="M2633" s="332"/>
      <c r="N2633" s="332"/>
      <c r="O2633" s="332"/>
    </row>
    <row r="2634" spans="1:15" s="7" customFormat="1" ht="15">
      <c r="A2634" s="357"/>
      <c r="B2634" s="109"/>
      <c r="C2634" s="29" t="s">
        <v>497</v>
      </c>
      <c r="D2634" s="32" t="s">
        <v>1991</v>
      </c>
      <c r="E2634" s="33"/>
      <c r="F2634" s="95">
        <v>1077001734.97</v>
      </c>
      <c r="G2634" s="96">
        <v>42988</v>
      </c>
      <c r="H2634" s="47">
        <f>854646211.74+44981379.57</f>
        <v>899627591.31000006</v>
      </c>
      <c r="I2634" s="336"/>
      <c r="J2634" s="331">
        <f t="shared" si="152"/>
        <v>177374143.65999997</v>
      </c>
      <c r="K2634" s="317">
        <f t="shared" si="153"/>
        <v>18020266837.939098</v>
      </c>
      <c r="L2634" s="233" t="s">
        <v>1917</v>
      </c>
      <c r="M2634" s="332"/>
      <c r="N2634" s="332"/>
      <c r="O2634" s="332"/>
    </row>
    <row r="2635" spans="1:15" s="7" customFormat="1" ht="15">
      <c r="A2635" s="357"/>
      <c r="B2635" s="109"/>
      <c r="C2635" s="29" t="s">
        <v>498</v>
      </c>
      <c r="D2635" s="32" t="s">
        <v>1992</v>
      </c>
      <c r="E2635" s="33"/>
      <c r="F2635" s="95">
        <v>852919253</v>
      </c>
      <c r="G2635" s="96">
        <v>42988</v>
      </c>
      <c r="H2635" s="47">
        <f>660013912.58+34737574.35</f>
        <v>694751486.93000007</v>
      </c>
      <c r="I2635" s="336"/>
      <c r="J2635" s="331">
        <f t="shared" si="152"/>
        <v>158167766.06999993</v>
      </c>
      <c r="K2635" s="317">
        <f t="shared" si="153"/>
        <v>18197640981.599098</v>
      </c>
      <c r="L2635" s="233" t="s">
        <v>1917</v>
      </c>
      <c r="M2635" s="332"/>
      <c r="N2635" s="332"/>
      <c r="O2635" s="332"/>
    </row>
    <row r="2636" spans="1:15" s="7" customFormat="1" ht="15">
      <c r="A2636" s="357"/>
      <c r="B2636" s="109"/>
      <c r="C2636" s="29" t="s">
        <v>564</v>
      </c>
      <c r="D2636" s="32" t="s">
        <v>1993</v>
      </c>
      <c r="E2636" s="33"/>
      <c r="F2636" s="163">
        <v>927429248.94000006</v>
      </c>
      <c r="G2636" s="96">
        <v>43044</v>
      </c>
      <c r="H2636" s="47">
        <f>755192388.42+39746967.81</f>
        <v>794939356.23000002</v>
      </c>
      <c r="I2636" s="336"/>
      <c r="J2636" s="331">
        <f t="shared" si="152"/>
        <v>132489892.71000004</v>
      </c>
      <c r="K2636" s="317">
        <f t="shared" si="153"/>
        <v>18355808747.669098</v>
      </c>
      <c r="L2636" s="233" t="s">
        <v>1917</v>
      </c>
      <c r="M2636" s="332"/>
      <c r="N2636" s="332"/>
      <c r="O2636" s="332"/>
    </row>
    <row r="2637" spans="1:15" s="7" customFormat="1" ht="15">
      <c r="A2637" s="357"/>
      <c r="B2637" s="109"/>
      <c r="C2637" s="29" t="s">
        <v>500</v>
      </c>
      <c r="D2637" s="32" t="s">
        <v>1994</v>
      </c>
      <c r="E2637" s="33"/>
      <c r="F2637" s="163">
        <v>1289929606.95</v>
      </c>
      <c r="G2637" s="96">
        <v>43044</v>
      </c>
      <c r="H2637" s="47">
        <f>1050371251.37+55282697.44</f>
        <v>1105653948.8099999</v>
      </c>
      <c r="I2637" s="336"/>
      <c r="J2637" s="331">
        <f t="shared" si="152"/>
        <v>184275658.1400001</v>
      </c>
      <c r="K2637" s="317">
        <f t="shared" si="153"/>
        <v>18488298640.379097</v>
      </c>
      <c r="L2637" s="233" t="s">
        <v>1917</v>
      </c>
      <c r="M2637" s="332"/>
      <c r="N2637" s="332"/>
      <c r="O2637" s="332"/>
    </row>
    <row r="2638" spans="1:15" s="7" customFormat="1" ht="15">
      <c r="A2638" s="357"/>
      <c r="B2638" s="109"/>
      <c r="C2638" s="29" t="s">
        <v>501</v>
      </c>
      <c r="D2638" s="32" t="s">
        <v>1993</v>
      </c>
      <c r="E2638" s="33"/>
      <c r="F2638" s="163">
        <v>1326112062.9300001</v>
      </c>
      <c r="G2638" s="96" t="s">
        <v>502</v>
      </c>
      <c r="H2638" s="47">
        <v>1136667482.51</v>
      </c>
      <c r="I2638" s="336"/>
      <c r="J2638" s="331">
        <f t="shared" si="152"/>
        <v>189444580.42000008</v>
      </c>
      <c r="K2638" s="317">
        <f t="shared" si="153"/>
        <v>18672574298.519096</v>
      </c>
      <c r="L2638" s="233" t="s">
        <v>1917</v>
      </c>
      <c r="M2638" s="332"/>
      <c r="N2638" s="332"/>
      <c r="O2638" s="332"/>
    </row>
    <row r="2639" spans="1:15" s="7" customFormat="1" ht="15">
      <c r="A2639" s="357"/>
      <c r="B2639" s="109"/>
      <c r="C2639" s="29" t="s">
        <v>504</v>
      </c>
      <c r="D2639" s="32" t="s">
        <v>1994</v>
      </c>
      <c r="E2639" s="33"/>
      <c r="F2639" s="163">
        <v>1393707795.25</v>
      </c>
      <c r="G2639" s="96">
        <v>43375</v>
      </c>
      <c r="H2639" s="47">
        <v>1194606681.6400001</v>
      </c>
      <c r="I2639" s="336"/>
      <c r="J2639" s="331">
        <f t="shared" si="152"/>
        <v>199101113.6099999</v>
      </c>
      <c r="K2639" s="317">
        <f t="shared" si="153"/>
        <v>18862018878.939095</v>
      </c>
      <c r="L2639" s="233" t="s">
        <v>1917</v>
      </c>
      <c r="M2639" s="332"/>
      <c r="N2639" s="332"/>
      <c r="O2639" s="332"/>
    </row>
    <row r="2640" spans="1:15" s="7" customFormat="1" ht="15">
      <c r="A2640" s="357"/>
      <c r="B2640" s="109"/>
      <c r="C2640" s="29" t="s">
        <v>506</v>
      </c>
      <c r="D2640" s="32" t="s">
        <v>1995</v>
      </c>
      <c r="E2640" s="33"/>
      <c r="F2640" s="163">
        <v>866707282.60000002</v>
      </c>
      <c r="G2640" s="96" t="s">
        <v>1302</v>
      </c>
      <c r="H2640" s="47">
        <v>742891956.50999999</v>
      </c>
      <c r="I2640" s="336"/>
      <c r="J2640" s="331">
        <f t="shared" si="152"/>
        <v>123815326.09000003</v>
      </c>
      <c r="K2640" s="317">
        <f t="shared" si="153"/>
        <v>19061119992.549095</v>
      </c>
      <c r="L2640" s="233" t="s">
        <v>1917</v>
      </c>
      <c r="M2640" s="332"/>
      <c r="N2640" s="332"/>
      <c r="O2640" s="332"/>
    </row>
    <row r="2641" spans="1:15" s="7" customFormat="1" ht="15">
      <c r="A2641" s="357"/>
      <c r="B2641" s="109"/>
      <c r="C2641" s="29" t="s">
        <v>508</v>
      </c>
      <c r="D2641" s="32" t="s">
        <v>1996</v>
      </c>
      <c r="E2641" s="33"/>
      <c r="F2641" s="163">
        <v>1065866584.84</v>
      </c>
      <c r="G2641" s="75" t="s">
        <v>509</v>
      </c>
      <c r="H2641" s="47">
        <v>913599929.87</v>
      </c>
      <c r="I2641" s="336"/>
      <c r="J2641" s="331">
        <f t="shared" si="152"/>
        <v>152266654.97000003</v>
      </c>
      <c r="K2641" s="317">
        <f t="shared" si="153"/>
        <v>19184935318.639095</v>
      </c>
      <c r="L2641" s="233" t="s">
        <v>1917</v>
      </c>
      <c r="M2641" s="332"/>
      <c r="N2641" s="332"/>
      <c r="O2641" s="332"/>
    </row>
    <row r="2642" spans="1:15" s="7" customFormat="1" ht="15">
      <c r="A2642" s="357"/>
      <c r="B2642" s="109"/>
      <c r="C2642" s="29" t="s">
        <v>231</v>
      </c>
      <c r="D2642" s="32" t="s">
        <v>1997</v>
      </c>
      <c r="E2642" s="33"/>
      <c r="F2642" s="163">
        <v>1380153199.0210967</v>
      </c>
      <c r="G2642" s="75" t="s">
        <v>1931</v>
      </c>
      <c r="H2642" s="47">
        <v>1182988456.3099999</v>
      </c>
      <c r="I2642" s="336"/>
      <c r="J2642" s="331">
        <f t="shared" si="152"/>
        <v>197164742.71109676</v>
      </c>
      <c r="K2642" s="317">
        <f t="shared" si="153"/>
        <v>19337201973.609097</v>
      </c>
      <c r="L2642" s="233" t="s">
        <v>1917</v>
      </c>
      <c r="M2642" s="332"/>
      <c r="N2642" s="332"/>
      <c r="O2642" s="332"/>
    </row>
    <row r="2643" spans="1:15" s="7" customFormat="1" ht="15">
      <c r="A2643" s="357"/>
      <c r="B2643" s="109"/>
      <c r="C2643" s="31" t="s">
        <v>234</v>
      </c>
      <c r="D2643" s="32" t="s">
        <v>1998</v>
      </c>
      <c r="E2643" s="33"/>
      <c r="F2643" s="163">
        <v>1446739837.597131</v>
      </c>
      <c r="G2643" s="75" t="s">
        <v>684</v>
      </c>
      <c r="H2643" s="47">
        <v>1240062717.9400001</v>
      </c>
      <c r="I2643" s="336"/>
      <c r="J2643" s="331">
        <f t="shared" si="152"/>
        <v>206677119.65713096</v>
      </c>
      <c r="K2643" s="317">
        <f t="shared" si="153"/>
        <v>19534366716.320194</v>
      </c>
      <c r="L2643" s="233" t="s">
        <v>1917</v>
      </c>
      <c r="M2643" s="332"/>
      <c r="N2643" s="332"/>
      <c r="O2643" s="332"/>
    </row>
    <row r="2644" spans="1:15" s="7" customFormat="1" ht="15">
      <c r="A2644" s="357"/>
      <c r="B2644" s="109"/>
      <c r="C2644" s="31" t="s">
        <v>416</v>
      </c>
      <c r="D2644" s="32" t="s">
        <v>1999</v>
      </c>
      <c r="E2644" s="33"/>
      <c r="F2644" s="163">
        <v>1152474551.9768879</v>
      </c>
      <c r="G2644" s="75" t="s">
        <v>687</v>
      </c>
      <c r="H2644" s="47">
        <v>987835330.26999998</v>
      </c>
      <c r="I2644" s="336"/>
      <c r="J2644" s="331">
        <f t="shared" si="152"/>
        <v>164639221.70688796</v>
      </c>
      <c r="K2644" s="317">
        <f t="shared" si="153"/>
        <v>19741043835.977325</v>
      </c>
      <c r="L2644" s="233" t="s">
        <v>1917</v>
      </c>
      <c r="M2644" s="332"/>
      <c r="N2644" s="332"/>
      <c r="O2644" s="332"/>
    </row>
    <row r="2645" spans="1:15" s="7" customFormat="1" ht="15">
      <c r="A2645" s="357"/>
      <c r="B2645" s="109"/>
      <c r="C2645" s="102" t="s">
        <v>238</v>
      </c>
      <c r="D2645" s="32" t="s">
        <v>746</v>
      </c>
      <c r="E2645" s="33"/>
      <c r="F2645" s="163">
        <v>317401407.58999997</v>
      </c>
      <c r="G2645" s="75" t="s">
        <v>507</v>
      </c>
      <c r="H2645" s="47">
        <v>308848408.5</v>
      </c>
      <c r="I2645" s="336" t="s">
        <v>2000</v>
      </c>
      <c r="J2645" s="331">
        <f t="shared" si="152"/>
        <v>8552999.0899999738</v>
      </c>
      <c r="K2645" s="317">
        <f t="shared" si="153"/>
        <v>19905683057.684212</v>
      </c>
      <c r="L2645" s="233" t="s">
        <v>1917</v>
      </c>
      <c r="M2645" s="332"/>
      <c r="N2645" s="332"/>
      <c r="O2645" s="332"/>
    </row>
    <row r="2646" spans="1:15" s="7" customFormat="1" ht="15">
      <c r="A2646" s="357"/>
      <c r="B2646" s="109"/>
      <c r="C2646" s="102" t="s">
        <v>517</v>
      </c>
      <c r="D2646" s="32" t="s">
        <v>1296</v>
      </c>
      <c r="E2646" s="33"/>
      <c r="F2646" s="163">
        <v>252081434.67162597</v>
      </c>
      <c r="G2646" s="75" t="s">
        <v>957</v>
      </c>
      <c r="H2646" s="47">
        <v>205387562.78999999</v>
      </c>
      <c r="I2646" s="336"/>
      <c r="J2646" s="331">
        <f t="shared" si="152"/>
        <v>46693871.88162598</v>
      </c>
      <c r="K2646" s="317">
        <f t="shared" si="153"/>
        <v>19914236056.774212</v>
      </c>
      <c r="L2646" s="233" t="s">
        <v>1917</v>
      </c>
      <c r="M2646" s="332"/>
      <c r="N2646" s="332"/>
      <c r="O2646" s="332"/>
    </row>
    <row r="2647" spans="1:15" s="7" customFormat="1" ht="15">
      <c r="A2647" s="357"/>
      <c r="B2647" s="109"/>
      <c r="C2647" s="102" t="s">
        <v>243</v>
      </c>
      <c r="D2647" s="32" t="s">
        <v>1299</v>
      </c>
      <c r="E2647" s="33"/>
      <c r="F2647" s="163">
        <v>408304771.33318949</v>
      </c>
      <c r="G2647" s="75" t="s">
        <v>2001</v>
      </c>
      <c r="H2647" s="47">
        <v>340818287.5</v>
      </c>
      <c r="I2647" s="336"/>
      <c r="J2647" s="331">
        <f t="shared" si="152"/>
        <v>67486483.833189487</v>
      </c>
      <c r="K2647" s="317">
        <f t="shared" si="153"/>
        <v>19960929928.655838</v>
      </c>
      <c r="L2647" s="233" t="s">
        <v>1917</v>
      </c>
      <c r="M2647" s="332"/>
      <c r="N2647" s="332"/>
      <c r="O2647" s="332"/>
    </row>
    <row r="2648" spans="1:15" s="7" customFormat="1" ht="15">
      <c r="A2648" s="357"/>
      <c r="B2648" s="109"/>
      <c r="C2648" s="102" t="s">
        <v>246</v>
      </c>
      <c r="D2648" s="103" t="s">
        <v>1300</v>
      </c>
      <c r="E2648" s="322"/>
      <c r="F2648" s="163">
        <v>412433056.45999998</v>
      </c>
      <c r="G2648" s="105" t="s">
        <v>1256</v>
      </c>
      <c r="H2648" s="47">
        <v>338796092.23000002</v>
      </c>
      <c r="I2648" s="336"/>
      <c r="J2648" s="331">
        <f t="shared" si="152"/>
        <v>73636964.229999959</v>
      </c>
      <c r="K2648" s="317">
        <f t="shared" si="153"/>
        <v>20028416412.489029</v>
      </c>
      <c r="L2648" s="233" t="s">
        <v>1917</v>
      </c>
      <c r="M2648" s="332"/>
      <c r="N2648" s="332"/>
      <c r="O2648" s="332"/>
    </row>
    <row r="2649" spans="1:15" s="7" customFormat="1" ht="15">
      <c r="A2649" s="357"/>
      <c r="B2649" s="109"/>
      <c r="C2649" s="102" t="s">
        <v>522</v>
      </c>
      <c r="D2649" s="103" t="s">
        <v>1301</v>
      </c>
      <c r="E2649" s="322"/>
      <c r="F2649" s="163">
        <v>144375245.7180154</v>
      </c>
      <c r="G2649" s="105" t="s">
        <v>1257</v>
      </c>
      <c r="H2649" s="47">
        <v>118153546.73</v>
      </c>
      <c r="I2649" s="336"/>
      <c r="J2649" s="331">
        <f t="shared" si="152"/>
        <v>26221698.988015398</v>
      </c>
      <c r="K2649" s="317">
        <f t="shared" si="153"/>
        <v>20102053376.719028</v>
      </c>
      <c r="L2649" s="233" t="s">
        <v>1917</v>
      </c>
      <c r="M2649" s="332"/>
      <c r="N2649" s="332"/>
      <c r="O2649" s="332"/>
    </row>
    <row r="2650" spans="1:15" s="7" customFormat="1" ht="15">
      <c r="A2650" s="357"/>
      <c r="B2650" s="109"/>
      <c r="C2650" s="102" t="s">
        <v>250</v>
      </c>
      <c r="D2650" s="103" t="s">
        <v>1113</v>
      </c>
      <c r="E2650" s="322"/>
      <c r="F2650" s="382">
        <v>84142182.519999996</v>
      </c>
      <c r="G2650" s="105" t="s">
        <v>1137</v>
      </c>
      <c r="H2650" s="47">
        <v>68452617.219999999</v>
      </c>
      <c r="I2650" s="336" t="s">
        <v>252</v>
      </c>
      <c r="J2650" s="331">
        <f t="shared" si="152"/>
        <v>15689565.299999997</v>
      </c>
      <c r="K2650" s="317">
        <f t="shared" si="153"/>
        <v>20128275075.707043</v>
      </c>
      <c r="L2650" s="233" t="s">
        <v>1917</v>
      </c>
      <c r="M2650" s="332"/>
      <c r="N2650" s="332"/>
      <c r="O2650" s="332"/>
    </row>
    <row r="2651" spans="1:15" s="7" customFormat="1" ht="15">
      <c r="A2651" s="357"/>
      <c r="B2651" s="109"/>
      <c r="C2651" s="111" t="s">
        <v>139</v>
      </c>
      <c r="D2651" s="166" t="s">
        <v>1114</v>
      </c>
      <c r="E2651" s="383"/>
      <c r="F2651" s="149">
        <v>94939014.530000001</v>
      </c>
      <c r="G2651" s="198" t="s">
        <v>1137</v>
      </c>
      <c r="H2651" s="47">
        <v>78051981.939999998</v>
      </c>
      <c r="I2651" s="336" t="s">
        <v>2002</v>
      </c>
      <c r="J2651" s="331">
        <f t="shared" si="152"/>
        <v>16887032.590000004</v>
      </c>
      <c r="K2651" s="317">
        <f t="shared" si="153"/>
        <v>20143964641.007042</v>
      </c>
      <c r="L2651" s="233" t="s">
        <v>1917</v>
      </c>
      <c r="M2651" s="332"/>
      <c r="N2651" s="332"/>
      <c r="O2651" s="332"/>
    </row>
    <row r="2652" spans="1:15" s="7" customFormat="1" ht="15">
      <c r="A2652" s="357"/>
      <c r="B2652" s="109"/>
      <c r="C2652" s="42" t="s">
        <v>142</v>
      </c>
      <c r="D2652" s="103" t="s">
        <v>2003</v>
      </c>
      <c r="E2652" s="322"/>
      <c r="F2652" s="382">
        <v>72292478.493127197</v>
      </c>
      <c r="G2652" s="105"/>
      <c r="H2652" s="47">
        <v>68849979.519999996</v>
      </c>
      <c r="I2652" s="336" t="s">
        <v>527</v>
      </c>
      <c r="J2652" s="331">
        <f t="shared" si="152"/>
        <v>3442498.9731272012</v>
      </c>
      <c r="K2652" s="317">
        <f t="shared" si="153"/>
        <v>20160851673.597042</v>
      </c>
      <c r="L2652" s="233" t="s">
        <v>1917</v>
      </c>
      <c r="M2652" s="332"/>
      <c r="N2652" s="332"/>
      <c r="O2652" s="332"/>
    </row>
    <row r="2653" spans="1:15" s="7" customFormat="1" ht="15">
      <c r="A2653" s="357"/>
      <c r="B2653" s="109"/>
      <c r="C2653" s="42" t="s">
        <v>154</v>
      </c>
      <c r="D2653" s="103" t="s">
        <v>1116</v>
      </c>
      <c r="E2653" s="322"/>
      <c r="F2653" s="382">
        <v>239654047.99295402</v>
      </c>
      <c r="G2653" s="105" t="s">
        <v>156</v>
      </c>
      <c r="H2653" s="47">
        <v>228241950.46948001</v>
      </c>
      <c r="I2653" s="336" t="s">
        <v>1607</v>
      </c>
      <c r="J2653" s="331">
        <f t="shared" si="152"/>
        <v>11412097.523474008</v>
      </c>
      <c r="K2653" s="317">
        <f t="shared" si="153"/>
        <v>20164294172.570168</v>
      </c>
      <c r="L2653" s="233"/>
      <c r="M2653" s="332"/>
      <c r="N2653" s="332"/>
      <c r="O2653" s="332"/>
    </row>
    <row r="2654" spans="1:15" s="7" customFormat="1" ht="15">
      <c r="A2654" s="357"/>
      <c r="B2654" s="109"/>
      <c r="C2654" s="42" t="s">
        <v>158</v>
      </c>
      <c r="D2654" s="103" t="s">
        <v>1437</v>
      </c>
      <c r="E2654" s="322"/>
      <c r="F2654" s="382">
        <v>423464829.49968743</v>
      </c>
      <c r="G2654" s="105" t="s">
        <v>160</v>
      </c>
      <c r="H2654" s="47">
        <v>403299837.37355006</v>
      </c>
      <c r="I2654" s="336" t="s">
        <v>839</v>
      </c>
      <c r="J2654" s="331">
        <f t="shared" ref="J2654:J2660" si="154">F2654-H2654</f>
        <v>20164992.126137376</v>
      </c>
      <c r="K2654" s="317">
        <f t="shared" si="153"/>
        <v>20175706270.093643</v>
      </c>
      <c r="L2654" s="233"/>
      <c r="M2654" s="332"/>
      <c r="N2654" s="332"/>
      <c r="O2654" s="332"/>
    </row>
    <row r="2655" spans="1:15" s="7" customFormat="1" ht="15">
      <c r="A2655" s="357"/>
      <c r="B2655" s="109"/>
      <c r="C2655" s="42" t="s">
        <v>162</v>
      </c>
      <c r="D2655" s="103" t="s">
        <v>1118</v>
      </c>
      <c r="E2655" s="322"/>
      <c r="F2655" s="382">
        <v>539023843.20805657</v>
      </c>
      <c r="G2655" s="105" t="s">
        <v>164</v>
      </c>
      <c r="H2655" s="47">
        <v>513356041.51061106</v>
      </c>
      <c r="I2655" s="336" t="s">
        <v>1330</v>
      </c>
      <c r="J2655" s="331">
        <f t="shared" si="154"/>
        <v>25667801.697445512</v>
      </c>
      <c r="K2655" s="317">
        <f t="shared" ref="K2655:K2661" si="155">K2654+J2654</f>
        <v>20195871262.21978</v>
      </c>
      <c r="L2655" s="55"/>
      <c r="M2655" s="332"/>
      <c r="N2655" s="332"/>
      <c r="O2655" s="332"/>
    </row>
    <row r="2656" spans="1:15" s="7" customFormat="1" ht="15">
      <c r="A2656" s="357"/>
      <c r="B2656" s="109"/>
      <c r="C2656" s="42" t="s">
        <v>166</v>
      </c>
      <c r="D2656" s="103" t="s">
        <v>1119</v>
      </c>
      <c r="E2656" s="322"/>
      <c r="F2656" s="382">
        <v>427411238.04329997</v>
      </c>
      <c r="G2656" s="105" t="s">
        <v>164</v>
      </c>
      <c r="H2656" s="47">
        <v>407058321.63194001</v>
      </c>
      <c r="I2656" s="336" t="s">
        <v>2004</v>
      </c>
      <c r="J2656" s="331">
        <f t="shared" si="154"/>
        <v>20352916.411359966</v>
      </c>
      <c r="K2656" s="317">
        <f t="shared" si="155"/>
        <v>20221539063.917225</v>
      </c>
      <c r="L2656" s="233"/>
      <c r="M2656" s="332"/>
      <c r="N2656" s="332"/>
      <c r="O2656" s="332"/>
    </row>
    <row r="2657" spans="1:15" s="7" customFormat="1" ht="15">
      <c r="A2657" s="357"/>
      <c r="B2657" s="109"/>
      <c r="C2657" s="42" t="s">
        <v>170</v>
      </c>
      <c r="D2657" s="103" t="s">
        <v>827</v>
      </c>
      <c r="E2657" s="322"/>
      <c r="F2657" s="382">
        <v>176464623.23280001</v>
      </c>
      <c r="G2657" s="105" t="s">
        <v>989</v>
      </c>
      <c r="H2657" s="47">
        <v>168061545.93600002</v>
      </c>
      <c r="I2657" s="336" t="s">
        <v>883</v>
      </c>
      <c r="J2657" s="331">
        <f t="shared" si="154"/>
        <v>8403077.2967999876</v>
      </c>
      <c r="K2657" s="317">
        <f t="shared" si="155"/>
        <v>20241891980.328587</v>
      </c>
      <c r="L2657" s="233"/>
      <c r="M2657" s="332"/>
      <c r="N2657" s="332"/>
      <c r="O2657" s="332"/>
    </row>
    <row r="2658" spans="1:15" s="7" customFormat="1" ht="15">
      <c r="A2658" s="357"/>
      <c r="B2658" s="109"/>
      <c r="C2658" s="42" t="s">
        <v>174</v>
      </c>
      <c r="D2658" s="103" t="s">
        <v>829</v>
      </c>
      <c r="E2658" s="322"/>
      <c r="F2658" s="382">
        <v>151415898.25999999</v>
      </c>
      <c r="G2658" s="105" t="s">
        <v>882</v>
      </c>
      <c r="H2658" s="47">
        <v>144205617.38721249</v>
      </c>
      <c r="I2658" s="336" t="s">
        <v>1507</v>
      </c>
      <c r="J2658" s="331">
        <f t="shared" si="154"/>
        <v>7210280.8727875054</v>
      </c>
      <c r="K2658" s="317">
        <f t="shared" si="155"/>
        <v>20250295057.625385</v>
      </c>
      <c r="L2658" s="233"/>
      <c r="M2658" s="332"/>
      <c r="N2658" s="332"/>
      <c r="O2658" s="332"/>
    </row>
    <row r="2659" spans="1:15" s="7" customFormat="1" ht="15">
      <c r="A2659" s="357"/>
      <c r="B2659" s="109"/>
      <c r="C2659" s="42" t="s">
        <v>778</v>
      </c>
      <c r="D2659" s="103" t="s">
        <v>830</v>
      </c>
      <c r="E2659" s="322"/>
      <c r="F2659" s="382">
        <v>109313348.40089999</v>
      </c>
      <c r="G2659" s="105" t="s">
        <v>179</v>
      </c>
      <c r="H2659" s="47">
        <v>104107950.59756</v>
      </c>
      <c r="I2659" s="336" t="s">
        <v>1507</v>
      </c>
      <c r="J2659" s="331">
        <f t="shared" si="154"/>
        <v>5205397.803339988</v>
      </c>
      <c r="K2659" s="317">
        <f t="shared" si="155"/>
        <v>20257505338.498173</v>
      </c>
      <c r="L2659" s="233"/>
      <c r="M2659" s="332"/>
      <c r="N2659" s="332"/>
      <c r="O2659" s="332"/>
    </row>
    <row r="2660" spans="1:15" s="7" customFormat="1" ht="15">
      <c r="A2660" s="357"/>
      <c r="B2660" s="109"/>
      <c r="C2660" s="42"/>
      <c r="D2660" s="103"/>
      <c r="E2660" s="322"/>
      <c r="F2660" s="382"/>
      <c r="G2660" s="105"/>
      <c r="H2660" s="47">
        <f>37270728.36+53073907.5+4675218.39</f>
        <v>95019854.25</v>
      </c>
      <c r="I2660" s="336">
        <v>43747</v>
      </c>
      <c r="J2660" s="331">
        <f t="shared" si="154"/>
        <v>-95019854.25</v>
      </c>
      <c r="K2660" s="317">
        <f t="shared" si="155"/>
        <v>20262710736.301514</v>
      </c>
      <c r="L2660" s="233" t="s">
        <v>2005</v>
      </c>
      <c r="M2660" s="332"/>
      <c r="N2660" s="332"/>
      <c r="O2660" s="332"/>
    </row>
    <row r="2661" spans="1:15" s="7" customFormat="1" ht="15">
      <c r="A2661" s="357"/>
      <c r="B2661" s="335" t="s">
        <v>2006</v>
      </c>
      <c r="C2661" s="313"/>
      <c r="D2661" s="327"/>
      <c r="E2661" s="328"/>
      <c r="F2661" s="364"/>
      <c r="G2661" s="70"/>
      <c r="H2661" s="87"/>
      <c r="I2661" s="336"/>
      <c r="J2661" s="331"/>
      <c r="K2661" s="320">
        <f t="shared" si="155"/>
        <v>20167690882.051514</v>
      </c>
      <c r="L2661" s="39"/>
      <c r="M2661" s="338"/>
      <c r="N2661" s="338"/>
      <c r="O2661" s="316"/>
    </row>
    <row r="2662" spans="1:15" s="7" customFormat="1" ht="15">
      <c r="A2662" s="81"/>
      <c r="B2662" s="384"/>
      <c r="C2662" s="313"/>
      <c r="D2662" s="327"/>
      <c r="E2662" s="328"/>
      <c r="F2662" s="329"/>
      <c r="G2662" s="70"/>
      <c r="H2662" s="87"/>
      <c r="I2662" s="336"/>
      <c r="J2662" s="331"/>
      <c r="K2662" s="85"/>
      <c r="L2662" s="39"/>
      <c r="M2662" s="338"/>
      <c r="N2662" s="338"/>
      <c r="O2662" s="332"/>
    </row>
    <row r="2663" spans="1:15" s="7" customFormat="1" ht="15">
      <c r="A2663" s="81"/>
      <c r="B2663" s="385" t="s">
        <v>2007</v>
      </c>
      <c r="C2663" s="259" t="s">
        <v>2008</v>
      </c>
      <c r="D2663" s="327" t="s">
        <v>548</v>
      </c>
      <c r="E2663" s="328"/>
      <c r="F2663" s="329">
        <v>39395639.060000002</v>
      </c>
      <c r="G2663" s="70"/>
      <c r="H2663" s="47">
        <v>100000000</v>
      </c>
      <c r="I2663" s="336"/>
      <c r="J2663" s="331">
        <f>F2663-H2663</f>
        <v>-60604360.939999998</v>
      </c>
      <c r="K2663" s="85"/>
      <c r="L2663" s="39"/>
      <c r="M2663" s="338"/>
      <c r="N2663" s="338"/>
      <c r="O2663" s="332"/>
    </row>
    <row r="2664" spans="1:15" s="7" customFormat="1" ht="15">
      <c r="A2664" s="81"/>
      <c r="B2664" s="384"/>
      <c r="C2664" s="259" t="s">
        <v>2009</v>
      </c>
      <c r="D2664" s="327" t="s">
        <v>550</v>
      </c>
      <c r="E2664" s="328"/>
      <c r="F2664" s="329">
        <v>111339379.02</v>
      </c>
      <c r="G2664" s="70"/>
      <c r="H2664" s="47">
        <v>50000000</v>
      </c>
      <c r="I2664" s="336"/>
      <c r="J2664" s="331">
        <f t="shared" ref="J2664:J2727" si="156">F2664-H2664</f>
        <v>61339379.019999996</v>
      </c>
      <c r="K2664" s="317">
        <f>J2663+K2663</f>
        <v>-60604360.939999998</v>
      </c>
      <c r="L2664" s="39"/>
      <c r="M2664" s="338"/>
      <c r="N2664" s="338"/>
      <c r="O2664" s="332"/>
    </row>
    <row r="2665" spans="1:15" s="7" customFormat="1" ht="15.75" customHeight="1">
      <c r="A2665" s="30"/>
      <c r="C2665" s="313" t="s">
        <v>1848</v>
      </c>
      <c r="D2665" s="327" t="s">
        <v>113</v>
      </c>
      <c r="E2665" s="328"/>
      <c r="F2665" s="364">
        <v>287910498.99000001</v>
      </c>
      <c r="G2665" s="336" t="s">
        <v>1972</v>
      </c>
      <c r="H2665" s="47">
        <v>130000000</v>
      </c>
      <c r="I2665" s="369" t="s">
        <v>2010</v>
      </c>
      <c r="J2665" s="331">
        <f t="shared" si="156"/>
        <v>157910498.99000001</v>
      </c>
      <c r="K2665" s="317">
        <f t="shared" ref="K2665:K2728" si="157">J2664+K2664</f>
        <v>735018.07999999821</v>
      </c>
      <c r="L2665" s="39" t="s">
        <v>2011</v>
      </c>
      <c r="M2665" s="333"/>
      <c r="N2665" s="333"/>
      <c r="O2665" s="332"/>
    </row>
    <row r="2666" spans="1:15" s="7" customFormat="1" ht="15">
      <c r="A2666" s="30"/>
      <c r="B2666" s="380"/>
      <c r="C2666" s="332" t="s">
        <v>1850</v>
      </c>
      <c r="D2666" s="327" t="s">
        <v>229</v>
      </c>
      <c r="E2666" s="328"/>
      <c r="F2666" s="364">
        <v>263346452.81</v>
      </c>
      <c r="G2666" s="205" t="s">
        <v>2012</v>
      </c>
      <c r="H2666" s="47">
        <v>100000000</v>
      </c>
      <c r="I2666" s="369" t="s">
        <v>2013</v>
      </c>
      <c r="J2666" s="331">
        <f t="shared" si="156"/>
        <v>163346452.81</v>
      </c>
      <c r="K2666" s="317">
        <f t="shared" si="157"/>
        <v>158645517.06999999</v>
      </c>
      <c r="L2666" s="39"/>
      <c r="M2666" s="333"/>
      <c r="N2666" s="333"/>
      <c r="O2666" s="332"/>
    </row>
    <row r="2667" spans="1:15" s="7" customFormat="1" ht="15">
      <c r="A2667" s="30"/>
      <c r="B2667" s="380"/>
      <c r="C2667" s="332" t="s">
        <v>1854</v>
      </c>
      <c r="D2667" s="327" t="s">
        <v>232</v>
      </c>
      <c r="E2667" s="328"/>
      <c r="F2667" s="364">
        <v>198387036.12</v>
      </c>
      <c r="G2667" s="205" t="s">
        <v>1855</v>
      </c>
      <c r="H2667" s="47">
        <v>50000000</v>
      </c>
      <c r="I2667" s="369" t="s">
        <v>2014</v>
      </c>
      <c r="J2667" s="331">
        <f t="shared" si="156"/>
        <v>148387036.12</v>
      </c>
      <c r="K2667" s="317">
        <f t="shared" si="157"/>
        <v>321991969.88</v>
      </c>
      <c r="L2667" s="39"/>
      <c r="M2667" s="333"/>
      <c r="N2667" s="333"/>
      <c r="O2667" s="332"/>
    </row>
    <row r="2668" spans="1:15" s="7" customFormat="1" ht="15">
      <c r="A2668" s="30"/>
      <c r="B2668" s="141"/>
      <c r="C2668" s="332" t="s">
        <v>1276</v>
      </c>
      <c r="D2668" s="327" t="s">
        <v>235</v>
      </c>
      <c r="E2668" s="328"/>
      <c r="F2668" s="364">
        <v>159609351.56</v>
      </c>
      <c r="G2668" s="205" t="s">
        <v>1277</v>
      </c>
      <c r="H2668" s="47">
        <v>102000000</v>
      </c>
      <c r="I2668" s="369" t="s">
        <v>1890</v>
      </c>
      <c r="J2668" s="331">
        <f t="shared" si="156"/>
        <v>57609351.560000002</v>
      </c>
      <c r="K2668" s="317">
        <f t="shared" si="157"/>
        <v>470379006</v>
      </c>
      <c r="L2668" s="39"/>
      <c r="M2668" s="333"/>
      <c r="N2668" s="333"/>
      <c r="O2668" s="332"/>
    </row>
    <row r="2669" spans="1:15" s="7" customFormat="1" ht="15">
      <c r="A2669" s="30"/>
      <c r="B2669" s="141"/>
      <c r="C2669" s="332" t="s">
        <v>2015</v>
      </c>
      <c r="D2669" s="327" t="s">
        <v>237</v>
      </c>
      <c r="E2669" s="328"/>
      <c r="F2669" s="364">
        <v>247071647.81250003</v>
      </c>
      <c r="G2669" s="205" t="s">
        <v>2016</v>
      </c>
      <c r="H2669" s="47">
        <v>75000000</v>
      </c>
      <c r="I2669" s="369" t="s">
        <v>1974</v>
      </c>
      <c r="J2669" s="331">
        <f t="shared" si="156"/>
        <v>172071647.81250003</v>
      </c>
      <c r="K2669" s="317">
        <f t="shared" si="157"/>
        <v>527988357.56</v>
      </c>
      <c r="L2669" s="39"/>
      <c r="M2669" s="333"/>
      <c r="N2669" s="333"/>
      <c r="O2669" s="332"/>
    </row>
    <row r="2670" spans="1:15" s="7" customFormat="1" ht="15">
      <c r="A2670" s="30"/>
      <c r="B2670" s="141"/>
      <c r="C2670" s="332" t="s">
        <v>1282</v>
      </c>
      <c r="D2670" s="327" t="s">
        <v>33</v>
      </c>
      <c r="E2670" s="328"/>
      <c r="F2670" s="364">
        <v>188994579.38</v>
      </c>
      <c r="G2670" s="205" t="s">
        <v>1283</v>
      </c>
      <c r="H2670" s="47">
        <v>50000000</v>
      </c>
      <c r="I2670" s="369" t="s">
        <v>2017</v>
      </c>
      <c r="J2670" s="331">
        <f t="shared" si="156"/>
        <v>138994579.38</v>
      </c>
      <c r="K2670" s="317">
        <f t="shared" si="157"/>
        <v>700060005.37250006</v>
      </c>
      <c r="L2670" s="39"/>
      <c r="M2670" s="333"/>
      <c r="N2670" s="333"/>
      <c r="O2670" s="332"/>
    </row>
    <row r="2671" spans="1:15" s="7" customFormat="1" ht="15">
      <c r="A2671" s="30"/>
      <c r="B2671" s="141"/>
      <c r="C2671" s="332" t="s">
        <v>1285</v>
      </c>
      <c r="D2671" s="327" t="s">
        <v>241</v>
      </c>
      <c r="E2671" s="328"/>
      <c r="F2671" s="364">
        <v>253350586.38</v>
      </c>
      <c r="G2671" s="336">
        <v>41894</v>
      </c>
      <c r="H2671" s="47">
        <v>80000000</v>
      </c>
      <c r="I2671" s="369" t="s">
        <v>2018</v>
      </c>
      <c r="J2671" s="331">
        <f t="shared" si="156"/>
        <v>173350586.38</v>
      </c>
      <c r="K2671" s="317">
        <f t="shared" si="157"/>
        <v>839054584.75250006</v>
      </c>
      <c r="L2671" s="39"/>
      <c r="M2671" s="333"/>
      <c r="N2671" s="333"/>
      <c r="O2671" s="332"/>
    </row>
    <row r="2672" spans="1:15" s="7" customFormat="1" ht="15">
      <c r="A2672" s="30"/>
      <c r="B2672" s="141"/>
      <c r="C2672" s="332" t="s">
        <v>1287</v>
      </c>
      <c r="D2672" s="327" t="s">
        <v>244</v>
      </c>
      <c r="E2672" s="328"/>
      <c r="F2672" s="364">
        <v>341082656.25</v>
      </c>
      <c r="G2672" s="352">
        <v>41923</v>
      </c>
      <c r="H2672" s="47">
        <v>745788012.31232047</v>
      </c>
      <c r="I2672" s="369" t="s">
        <v>2019</v>
      </c>
      <c r="J2672" s="331">
        <f t="shared" si="156"/>
        <v>-404705356.06232047</v>
      </c>
      <c r="K2672" s="317">
        <f t="shared" si="157"/>
        <v>1012405171.1325001</v>
      </c>
      <c r="L2672" s="39" t="s">
        <v>1915</v>
      </c>
      <c r="M2672" s="333"/>
      <c r="N2672" s="333"/>
      <c r="O2672" s="332"/>
    </row>
    <row r="2673" spans="1:15" s="7" customFormat="1" ht="15">
      <c r="A2673" s="30"/>
      <c r="B2673" s="141"/>
      <c r="C2673" s="332" t="s">
        <v>1557</v>
      </c>
      <c r="D2673" s="327" t="s">
        <v>57</v>
      </c>
      <c r="E2673" s="328"/>
      <c r="F2673" s="364">
        <v>219790974.56</v>
      </c>
      <c r="G2673" s="205" t="s">
        <v>1856</v>
      </c>
      <c r="H2673" s="47">
        <v>131936283.65000001</v>
      </c>
      <c r="I2673" s="365" t="s">
        <v>2020</v>
      </c>
      <c r="J2673" s="331">
        <f t="shared" si="156"/>
        <v>87854690.909999996</v>
      </c>
      <c r="K2673" s="317">
        <f t="shared" si="157"/>
        <v>607699815.07017958</v>
      </c>
      <c r="L2673" s="39" t="s">
        <v>2021</v>
      </c>
      <c r="M2673" s="333"/>
      <c r="N2673" s="333"/>
      <c r="O2673" s="332"/>
    </row>
    <row r="2674" spans="1:15" s="7" customFormat="1" ht="15">
      <c r="A2674" s="30"/>
      <c r="B2674" s="141"/>
      <c r="C2674" s="332" t="s">
        <v>1559</v>
      </c>
      <c r="D2674" s="327" t="s">
        <v>249</v>
      </c>
      <c r="E2674" s="328"/>
      <c r="F2674" s="364">
        <v>298205783.19</v>
      </c>
      <c r="G2674" s="205" t="s">
        <v>1857</v>
      </c>
      <c r="H2674" s="47">
        <v>194650434.15000001</v>
      </c>
      <c r="I2674" s="369" t="s">
        <v>1914</v>
      </c>
      <c r="J2674" s="331">
        <f t="shared" si="156"/>
        <v>103555349.03999999</v>
      </c>
      <c r="K2674" s="317">
        <f t="shared" si="157"/>
        <v>695554505.98017955</v>
      </c>
      <c r="L2674" s="39" t="s">
        <v>1853</v>
      </c>
      <c r="M2674" s="333"/>
      <c r="N2674" s="333"/>
      <c r="O2674" s="332"/>
    </row>
    <row r="2675" spans="1:15" s="7" customFormat="1" ht="15">
      <c r="A2675" s="30"/>
      <c r="B2675" s="141"/>
      <c r="C2675" s="41" t="s">
        <v>1858</v>
      </c>
      <c r="D2675" s="32" t="s">
        <v>251</v>
      </c>
      <c r="E2675" s="33"/>
      <c r="F2675" s="146">
        <v>357642071.63999999</v>
      </c>
      <c r="G2675" s="76" t="s">
        <v>1859</v>
      </c>
      <c r="I2675" s="386" t="s">
        <v>1852</v>
      </c>
      <c r="J2675" s="331">
        <f t="shared" si="156"/>
        <v>357642071.63999999</v>
      </c>
      <c r="K2675" s="317">
        <f t="shared" si="157"/>
        <v>799109855.02017951</v>
      </c>
      <c r="M2675" s="345"/>
      <c r="N2675" s="345"/>
      <c r="O2675" s="332"/>
    </row>
    <row r="2676" spans="1:15" s="7" customFormat="1" ht="15">
      <c r="A2676" s="30"/>
      <c r="B2676" s="141"/>
      <c r="C2676" s="41" t="s">
        <v>1860</v>
      </c>
      <c r="D2676" s="32" t="s">
        <v>253</v>
      </c>
      <c r="E2676" s="33"/>
      <c r="F2676" s="146">
        <v>363284972.81999999</v>
      </c>
      <c r="G2676" s="75" t="s">
        <v>1883</v>
      </c>
      <c r="I2676" s="386" t="s">
        <v>358</v>
      </c>
      <c r="J2676" s="331">
        <f t="shared" si="156"/>
        <v>363284972.81999999</v>
      </c>
      <c r="K2676" s="317">
        <f t="shared" si="157"/>
        <v>1156751926.6601796</v>
      </c>
      <c r="M2676" s="345"/>
      <c r="N2676" s="345"/>
      <c r="O2676" s="332"/>
    </row>
    <row r="2677" spans="1:15" s="7" customFormat="1" ht="15">
      <c r="A2677" s="30"/>
      <c r="B2677" s="141"/>
      <c r="C2677" s="41" t="s">
        <v>1862</v>
      </c>
      <c r="D2677" s="32" t="s">
        <v>255</v>
      </c>
      <c r="E2677" s="33"/>
      <c r="F2677" s="146">
        <v>328800576.72000003</v>
      </c>
      <c r="G2677" s="75" t="s">
        <v>2022</v>
      </c>
      <c r="H2677" s="91">
        <v>0</v>
      </c>
      <c r="I2677" s="386"/>
      <c r="J2677" s="331">
        <f t="shared" si="156"/>
        <v>328800576.72000003</v>
      </c>
      <c r="K2677" s="317">
        <f t="shared" si="157"/>
        <v>1520036899.4801795</v>
      </c>
      <c r="L2677" s="344"/>
      <c r="M2677" s="345"/>
      <c r="N2677" s="345"/>
      <c r="O2677" s="332"/>
    </row>
    <row r="2678" spans="1:15" s="7" customFormat="1" ht="15">
      <c r="A2678" s="30"/>
      <c r="B2678" s="141"/>
      <c r="C2678" s="41" t="s">
        <v>1886</v>
      </c>
      <c r="D2678" s="32" t="s">
        <v>258</v>
      </c>
      <c r="E2678" s="33"/>
      <c r="F2678" s="34">
        <v>423189838.06999999</v>
      </c>
      <c r="G2678" s="76" t="s">
        <v>2023</v>
      </c>
      <c r="H2678" s="91">
        <v>0</v>
      </c>
      <c r="I2678" s="386"/>
      <c r="J2678" s="331">
        <f t="shared" si="156"/>
        <v>423189838.06999999</v>
      </c>
      <c r="K2678" s="317">
        <f t="shared" si="157"/>
        <v>1848837476.2001796</v>
      </c>
      <c r="L2678" s="344"/>
      <c r="M2678" s="345"/>
      <c r="N2678" s="345"/>
      <c r="O2678" s="332"/>
    </row>
    <row r="2679" spans="1:15" s="7" customFormat="1" ht="15">
      <c r="A2679" s="30"/>
      <c r="B2679" s="141"/>
      <c r="C2679" s="41" t="s">
        <v>1887</v>
      </c>
      <c r="D2679" s="32" t="s">
        <v>260</v>
      </c>
      <c r="E2679" s="33"/>
      <c r="F2679" s="34">
        <v>493071450.92000002</v>
      </c>
      <c r="G2679" s="76" t="s">
        <v>2024</v>
      </c>
      <c r="H2679" s="91">
        <v>0</v>
      </c>
      <c r="I2679" s="386"/>
      <c r="J2679" s="331">
        <f t="shared" si="156"/>
        <v>493071450.92000002</v>
      </c>
      <c r="K2679" s="317">
        <f t="shared" si="157"/>
        <v>2272027314.2701797</v>
      </c>
      <c r="L2679" s="344"/>
      <c r="M2679" s="345"/>
      <c r="N2679" s="345"/>
      <c r="O2679" s="332"/>
    </row>
    <row r="2680" spans="1:15" s="7" customFormat="1" ht="15">
      <c r="A2680" s="30"/>
      <c r="B2680" s="141"/>
      <c r="C2680" s="41" t="s">
        <v>1888</v>
      </c>
      <c r="D2680" s="32" t="s">
        <v>263</v>
      </c>
      <c r="E2680" s="33"/>
      <c r="F2680" s="34">
        <v>430476280.74000001</v>
      </c>
      <c r="G2680" s="76" t="s">
        <v>1889</v>
      </c>
      <c r="H2680" s="91">
        <v>0</v>
      </c>
      <c r="I2680" s="386"/>
      <c r="J2680" s="331">
        <f t="shared" si="156"/>
        <v>430476280.74000001</v>
      </c>
      <c r="K2680" s="317">
        <f t="shared" si="157"/>
        <v>2765098765.1901798</v>
      </c>
      <c r="L2680" s="344"/>
      <c r="M2680" s="345"/>
      <c r="N2680" s="345"/>
      <c r="O2680" s="332"/>
    </row>
    <row r="2681" spans="1:15" s="7" customFormat="1" ht="15">
      <c r="A2681" s="30"/>
      <c r="B2681" s="141"/>
      <c r="C2681" s="41" t="s">
        <v>1892</v>
      </c>
      <c r="D2681" s="32" t="s">
        <v>265</v>
      </c>
      <c r="E2681" s="33"/>
      <c r="F2681" s="34">
        <v>354659362.27999997</v>
      </c>
      <c r="G2681" s="76" t="s">
        <v>2025</v>
      </c>
      <c r="H2681" s="91">
        <v>0</v>
      </c>
      <c r="I2681" s="386"/>
      <c r="J2681" s="331">
        <f t="shared" si="156"/>
        <v>354659362.27999997</v>
      </c>
      <c r="K2681" s="317">
        <f t="shared" si="157"/>
        <v>3195575045.9301796</v>
      </c>
      <c r="L2681" s="344"/>
      <c r="M2681" s="345"/>
      <c r="N2681" s="345"/>
      <c r="O2681" s="332"/>
    </row>
    <row r="2682" spans="1:15" s="7" customFormat="1" ht="15">
      <c r="A2682" s="30"/>
      <c r="B2682" s="141"/>
      <c r="C2682" s="41" t="s">
        <v>1864</v>
      </c>
      <c r="D2682" s="32" t="s">
        <v>267</v>
      </c>
      <c r="E2682" s="33"/>
      <c r="F2682" s="34">
        <v>573358862.66999996</v>
      </c>
      <c r="G2682" s="76" t="s">
        <v>1895</v>
      </c>
      <c r="H2682" s="91">
        <v>0</v>
      </c>
      <c r="I2682" s="386"/>
      <c r="J2682" s="331">
        <f t="shared" si="156"/>
        <v>573358862.66999996</v>
      </c>
      <c r="K2682" s="317">
        <f t="shared" si="157"/>
        <v>3550234408.2101793</v>
      </c>
      <c r="L2682" s="344"/>
      <c r="M2682" s="345"/>
      <c r="N2682" s="345"/>
      <c r="O2682" s="332"/>
    </row>
    <row r="2683" spans="1:15" s="7" customFormat="1" ht="15">
      <c r="A2683" s="30"/>
      <c r="B2683" s="141"/>
      <c r="C2683" s="41" t="s">
        <v>1897</v>
      </c>
      <c r="D2683" s="32" t="s">
        <v>268</v>
      </c>
      <c r="E2683" s="33"/>
      <c r="F2683" s="34">
        <v>497117904.56</v>
      </c>
      <c r="G2683" s="76" t="s">
        <v>1898</v>
      </c>
      <c r="H2683" s="91">
        <v>0</v>
      </c>
      <c r="I2683" s="386"/>
      <c r="J2683" s="331">
        <f t="shared" si="156"/>
        <v>497117904.56</v>
      </c>
      <c r="K2683" s="317">
        <f t="shared" si="157"/>
        <v>4123593270.8801794</v>
      </c>
      <c r="L2683" s="344"/>
      <c r="M2683" s="345"/>
      <c r="N2683" s="345"/>
      <c r="O2683" s="332"/>
    </row>
    <row r="2684" spans="1:15" s="7" customFormat="1" ht="15">
      <c r="A2684" s="30"/>
      <c r="B2684" s="141"/>
      <c r="C2684" s="41" t="s">
        <v>1171</v>
      </c>
      <c r="D2684" s="32" t="s">
        <v>122</v>
      </c>
      <c r="E2684" s="33"/>
      <c r="F2684" s="34">
        <v>483954186.12</v>
      </c>
      <c r="G2684" s="76" t="s">
        <v>1900</v>
      </c>
      <c r="H2684" s="91">
        <v>0</v>
      </c>
      <c r="I2684" s="386"/>
      <c r="J2684" s="331">
        <f t="shared" si="156"/>
        <v>483954186.12</v>
      </c>
      <c r="K2684" s="317">
        <f t="shared" si="157"/>
        <v>4620711175.4401798</v>
      </c>
      <c r="L2684" s="344"/>
      <c r="M2684" s="345"/>
      <c r="N2684" s="345"/>
      <c r="O2684" s="332"/>
    </row>
    <row r="2685" spans="1:15" s="7" customFormat="1" ht="15">
      <c r="A2685" s="30"/>
      <c r="B2685" s="141"/>
      <c r="C2685" s="41" t="s">
        <v>461</v>
      </c>
      <c r="D2685" s="32" t="s">
        <v>538</v>
      </c>
      <c r="E2685" s="33"/>
      <c r="F2685" s="34">
        <v>500010125</v>
      </c>
      <c r="G2685" s="76" t="s">
        <v>1903</v>
      </c>
      <c r="H2685" s="91">
        <v>0</v>
      </c>
      <c r="I2685" s="386"/>
      <c r="J2685" s="331">
        <f t="shared" si="156"/>
        <v>500010125</v>
      </c>
      <c r="K2685" s="317">
        <f t="shared" si="157"/>
        <v>5104665361.5601797</v>
      </c>
      <c r="L2685" s="344"/>
      <c r="M2685" s="345"/>
      <c r="N2685" s="345"/>
      <c r="O2685" s="332"/>
    </row>
    <row r="2686" spans="1:15" s="7" customFormat="1" ht="15">
      <c r="A2686" s="30"/>
      <c r="B2686" s="141"/>
      <c r="C2686" s="41" t="s">
        <v>465</v>
      </c>
      <c r="D2686" s="32" t="s">
        <v>273</v>
      </c>
      <c r="E2686" s="33"/>
      <c r="F2686" s="34">
        <v>488178610.73000002</v>
      </c>
      <c r="G2686" s="76" t="s">
        <v>1906</v>
      </c>
      <c r="H2686" s="91">
        <v>0</v>
      </c>
      <c r="I2686" s="386"/>
      <c r="J2686" s="331">
        <f t="shared" si="156"/>
        <v>488178610.73000002</v>
      </c>
      <c r="K2686" s="317">
        <f t="shared" si="157"/>
        <v>5604675486.5601797</v>
      </c>
      <c r="L2686" s="344"/>
      <c r="M2686" s="345"/>
      <c r="N2686" s="345"/>
      <c r="O2686" s="332"/>
    </row>
    <row r="2687" spans="1:15" s="7" customFormat="1" ht="15">
      <c r="A2687" s="30"/>
      <c r="B2687" s="141"/>
      <c r="C2687" s="41" t="s">
        <v>467</v>
      </c>
      <c r="D2687" s="32" t="s">
        <v>275</v>
      </c>
      <c r="E2687" s="33"/>
      <c r="F2687" s="34">
        <v>447161543.54000002</v>
      </c>
      <c r="G2687" s="76" t="s">
        <v>470</v>
      </c>
      <c r="H2687" s="91">
        <v>0</v>
      </c>
      <c r="I2687" s="386"/>
      <c r="J2687" s="331">
        <f t="shared" si="156"/>
        <v>447161543.54000002</v>
      </c>
      <c r="K2687" s="317">
        <f t="shared" si="157"/>
        <v>6092854097.2901802</v>
      </c>
      <c r="L2687" s="344"/>
      <c r="M2687" s="345"/>
      <c r="N2687" s="345"/>
      <c r="O2687" s="332"/>
    </row>
    <row r="2688" spans="1:15" s="7" customFormat="1" ht="15">
      <c r="A2688" s="30"/>
      <c r="B2688" s="141"/>
      <c r="C2688" s="41" t="s">
        <v>469</v>
      </c>
      <c r="D2688" s="32" t="s">
        <v>277</v>
      </c>
      <c r="E2688" s="33"/>
      <c r="F2688" s="34">
        <v>512229438.31999999</v>
      </c>
      <c r="G2688" s="76" t="s">
        <v>1775</v>
      </c>
      <c r="H2688" s="91">
        <v>0</v>
      </c>
      <c r="I2688" s="386"/>
      <c r="J2688" s="331">
        <f t="shared" si="156"/>
        <v>512229438.31999999</v>
      </c>
      <c r="K2688" s="317">
        <f t="shared" si="157"/>
        <v>6540015640.8301802</v>
      </c>
      <c r="L2688" s="344"/>
      <c r="M2688" s="345"/>
      <c r="N2688" s="345"/>
      <c r="O2688" s="332"/>
    </row>
    <row r="2689" spans="1:15" s="7" customFormat="1" ht="15">
      <c r="A2689" s="30"/>
      <c r="B2689" s="141"/>
      <c r="C2689" s="41" t="s">
        <v>471</v>
      </c>
      <c r="D2689" s="32" t="s">
        <v>279</v>
      </c>
      <c r="E2689" s="33"/>
      <c r="F2689" s="34">
        <v>1119582960.9400001</v>
      </c>
      <c r="G2689" s="76" t="s">
        <v>1777</v>
      </c>
      <c r="H2689" s="47"/>
      <c r="I2689" s="369"/>
      <c r="J2689" s="331">
        <f t="shared" si="156"/>
        <v>1119582960.9400001</v>
      </c>
      <c r="K2689" s="317">
        <f t="shared" si="157"/>
        <v>7052245079.1501799</v>
      </c>
      <c r="L2689" s="344"/>
      <c r="M2689" s="345"/>
      <c r="N2689" s="345"/>
      <c r="O2689" s="332"/>
    </row>
    <row r="2690" spans="1:15" s="7" customFormat="1" ht="15">
      <c r="A2690" s="30"/>
      <c r="B2690" s="141"/>
      <c r="C2690" s="41" t="s">
        <v>398</v>
      </c>
      <c r="D2690" s="32" t="s">
        <v>281</v>
      </c>
      <c r="E2690" s="33"/>
      <c r="F2690" s="34">
        <v>658651252.99000001</v>
      </c>
      <c r="G2690" s="76" t="s">
        <v>400</v>
      </c>
      <c r="H2690" s="91">
        <v>0</v>
      </c>
      <c r="I2690" s="386"/>
      <c r="J2690" s="331">
        <f t="shared" si="156"/>
        <v>658651252.99000001</v>
      </c>
      <c r="K2690" s="317">
        <f t="shared" si="157"/>
        <v>8171828040.0901794</v>
      </c>
      <c r="L2690" s="344"/>
      <c r="M2690" s="345"/>
      <c r="N2690" s="345"/>
      <c r="O2690" s="332"/>
    </row>
    <row r="2691" spans="1:15" s="7" customFormat="1" ht="15">
      <c r="A2691" s="30"/>
      <c r="B2691" s="141"/>
      <c r="C2691" s="41" t="s">
        <v>1403</v>
      </c>
      <c r="D2691" s="32" t="s">
        <v>84</v>
      </c>
      <c r="E2691" s="33"/>
      <c r="F2691" s="34">
        <v>619653891.77999997</v>
      </c>
      <c r="G2691" s="76" t="s">
        <v>474</v>
      </c>
      <c r="H2691" s="91">
        <v>0</v>
      </c>
      <c r="I2691" s="386"/>
      <c r="J2691" s="331">
        <f t="shared" si="156"/>
        <v>619653891.77999997</v>
      </c>
      <c r="K2691" s="317">
        <f t="shared" si="157"/>
        <v>8830479293.0801792</v>
      </c>
      <c r="L2691" s="344"/>
      <c r="M2691" s="345"/>
      <c r="N2691" s="345"/>
      <c r="O2691" s="332"/>
    </row>
    <row r="2692" spans="1:15" s="7" customFormat="1" ht="23.25" customHeight="1">
      <c r="A2692" s="30"/>
      <c r="B2692" s="141"/>
      <c r="C2692" s="41" t="s">
        <v>401</v>
      </c>
      <c r="D2692" s="32" t="s">
        <v>84</v>
      </c>
      <c r="E2692" s="33"/>
      <c r="F2692" s="34">
        <v>447847972.11000001</v>
      </c>
      <c r="G2692" s="76" t="s">
        <v>2026</v>
      </c>
      <c r="H2692" s="91">
        <v>0</v>
      </c>
      <c r="I2692" s="386"/>
      <c r="J2692" s="331">
        <f t="shared" si="156"/>
        <v>447847972.11000001</v>
      </c>
      <c r="K2692" s="317">
        <f t="shared" si="157"/>
        <v>9450133184.8601799</v>
      </c>
      <c r="L2692" s="344"/>
      <c r="M2692" s="345"/>
      <c r="N2692" s="345"/>
      <c r="O2692" s="332"/>
    </row>
    <row r="2693" spans="1:15" s="7" customFormat="1" ht="16.5" customHeight="1">
      <c r="A2693" s="30"/>
      <c r="B2693" s="141"/>
      <c r="C2693" s="41" t="s">
        <v>404</v>
      </c>
      <c r="D2693" s="32" t="s">
        <v>286</v>
      </c>
      <c r="E2693" s="33"/>
      <c r="F2693" s="34">
        <v>280253929.73000002</v>
      </c>
      <c r="G2693" s="76" t="s">
        <v>2026</v>
      </c>
      <c r="H2693" s="91">
        <v>0</v>
      </c>
      <c r="I2693" s="386"/>
      <c r="J2693" s="331">
        <f t="shared" si="156"/>
        <v>280253929.73000002</v>
      </c>
      <c r="K2693" s="317">
        <f t="shared" si="157"/>
        <v>9897981156.9701805</v>
      </c>
      <c r="L2693" s="344"/>
      <c r="M2693" s="345"/>
      <c r="N2693" s="345"/>
      <c r="O2693" s="332"/>
    </row>
    <row r="2694" spans="1:15" s="7" customFormat="1" ht="18.75" customHeight="1">
      <c r="A2694" s="30"/>
      <c r="B2694" s="141"/>
      <c r="C2694" s="41" t="s">
        <v>406</v>
      </c>
      <c r="D2694" s="32" t="s">
        <v>775</v>
      </c>
      <c r="E2694" s="33"/>
      <c r="F2694" s="34">
        <v>124457311.44</v>
      </c>
      <c r="G2694" s="76" t="s">
        <v>2027</v>
      </c>
      <c r="H2694" s="91">
        <v>0</v>
      </c>
      <c r="I2694" s="386"/>
      <c r="J2694" s="331">
        <f t="shared" si="156"/>
        <v>124457311.44</v>
      </c>
      <c r="K2694" s="317">
        <f t="shared" si="157"/>
        <v>10178235086.70018</v>
      </c>
      <c r="L2694" s="344"/>
      <c r="M2694" s="345"/>
      <c r="N2694" s="345"/>
      <c r="O2694" s="332"/>
    </row>
    <row r="2695" spans="1:15" s="7" customFormat="1" ht="17.25" customHeight="1">
      <c r="A2695" s="30"/>
      <c r="B2695" s="141"/>
      <c r="C2695" s="41" t="s">
        <v>409</v>
      </c>
      <c r="D2695" s="32" t="s">
        <v>289</v>
      </c>
      <c r="E2695" s="33"/>
      <c r="F2695" s="34">
        <v>634891360.95000005</v>
      </c>
      <c r="G2695" s="76" t="s">
        <v>1182</v>
      </c>
      <c r="H2695" s="91">
        <v>0</v>
      </c>
      <c r="I2695" s="386"/>
      <c r="J2695" s="331">
        <f t="shared" si="156"/>
        <v>634891360.95000005</v>
      </c>
      <c r="K2695" s="317">
        <f t="shared" si="157"/>
        <v>10302692398.140181</v>
      </c>
      <c r="L2695" s="344"/>
      <c r="M2695" s="345"/>
      <c r="N2695" s="345"/>
      <c r="O2695" s="332"/>
    </row>
    <row r="2696" spans="1:15" s="7" customFormat="1" ht="15">
      <c r="A2696" s="30"/>
      <c r="B2696" s="141"/>
      <c r="C2696" s="41" t="s">
        <v>411</v>
      </c>
      <c r="D2696" s="32" t="s">
        <v>777</v>
      </c>
      <c r="E2696" s="33"/>
      <c r="F2696" s="34">
        <v>762357085.88</v>
      </c>
      <c r="G2696" s="76" t="s">
        <v>2028</v>
      </c>
      <c r="H2696" s="91">
        <v>0</v>
      </c>
      <c r="I2696" s="386"/>
      <c r="J2696" s="331">
        <f t="shared" si="156"/>
        <v>762357085.88</v>
      </c>
      <c r="K2696" s="317">
        <f t="shared" si="157"/>
        <v>10937583759.090181</v>
      </c>
      <c r="L2696" s="344"/>
      <c r="M2696" s="345"/>
      <c r="N2696" s="345"/>
      <c r="O2696" s="332"/>
    </row>
    <row r="2697" spans="1:15" s="7" customFormat="1" ht="15">
      <c r="A2697" s="30"/>
      <c r="B2697" s="141"/>
      <c r="C2697" s="41" t="s">
        <v>414</v>
      </c>
      <c r="D2697" s="32" t="s">
        <v>74</v>
      </c>
      <c r="E2697" s="33"/>
      <c r="F2697" s="34">
        <v>1215318847.05</v>
      </c>
      <c r="G2697" s="76" t="s">
        <v>1723</v>
      </c>
      <c r="H2697" s="47"/>
      <c r="I2697" s="386"/>
      <c r="J2697" s="331">
        <f t="shared" si="156"/>
        <v>1215318847.05</v>
      </c>
      <c r="K2697" s="317">
        <f t="shared" si="157"/>
        <v>11699940844.970181</v>
      </c>
      <c r="L2697" s="344"/>
      <c r="M2697" s="345"/>
      <c r="N2697" s="345"/>
      <c r="O2697" s="332"/>
    </row>
    <row r="2698" spans="1:15" s="7" customFormat="1" ht="15">
      <c r="A2698" s="30"/>
      <c r="B2698" s="141"/>
      <c r="C2698" s="41" t="s">
        <v>1412</v>
      </c>
      <c r="D2698" s="32" t="s">
        <v>296</v>
      </c>
      <c r="E2698" s="33"/>
      <c r="F2698" s="34">
        <v>1320947606.1600001</v>
      </c>
      <c r="G2698" s="76" t="s">
        <v>1988</v>
      </c>
      <c r="H2698" s="91">
        <v>0</v>
      </c>
      <c r="I2698" s="386"/>
      <c r="J2698" s="331">
        <f t="shared" si="156"/>
        <v>1320947606.1600001</v>
      </c>
      <c r="K2698" s="317">
        <f t="shared" si="157"/>
        <v>12915259692.02018</v>
      </c>
      <c r="L2698" s="344"/>
      <c r="M2698" s="345"/>
      <c r="N2698" s="345"/>
      <c r="O2698" s="332"/>
    </row>
    <row r="2699" spans="1:15" s="7" customFormat="1" ht="15">
      <c r="A2699" s="30"/>
      <c r="B2699" s="141"/>
      <c r="C2699" s="41" t="s">
        <v>609</v>
      </c>
      <c r="D2699" s="32" t="s">
        <v>298</v>
      </c>
      <c r="E2699" s="33"/>
      <c r="F2699" s="34">
        <v>1058276561.16</v>
      </c>
      <c r="G2699" s="76"/>
      <c r="H2699" s="91">
        <v>0</v>
      </c>
      <c r="I2699" s="386"/>
      <c r="J2699" s="331">
        <f t="shared" si="156"/>
        <v>1058276561.16</v>
      </c>
      <c r="K2699" s="317">
        <f t="shared" si="157"/>
        <v>14236207298.18018</v>
      </c>
      <c r="L2699" s="344"/>
      <c r="M2699" s="345"/>
      <c r="N2699" s="345"/>
      <c r="O2699" s="332"/>
    </row>
    <row r="2700" spans="1:15" s="7" customFormat="1" ht="15">
      <c r="A2700" s="30"/>
      <c r="B2700" s="141"/>
      <c r="C2700" s="41" t="s">
        <v>611</v>
      </c>
      <c r="D2700" s="32" t="s">
        <v>299</v>
      </c>
      <c r="E2700" s="33"/>
      <c r="F2700" s="34">
        <v>823172617.58000004</v>
      </c>
      <c r="G2700" s="76"/>
      <c r="H2700" s="91">
        <v>0</v>
      </c>
      <c r="I2700" s="386"/>
      <c r="J2700" s="331">
        <f t="shared" si="156"/>
        <v>823172617.58000004</v>
      </c>
      <c r="K2700" s="317">
        <f t="shared" si="157"/>
        <v>15294483859.340179</v>
      </c>
      <c r="L2700" s="344"/>
      <c r="M2700" s="345"/>
      <c r="N2700" s="345"/>
      <c r="O2700" s="332"/>
    </row>
    <row r="2701" spans="1:15" s="7" customFormat="1" ht="18.75" customHeight="1">
      <c r="A2701" s="30"/>
      <c r="B2701" s="141"/>
      <c r="C2701" s="29" t="s">
        <v>614</v>
      </c>
      <c r="D2701" s="32" t="s">
        <v>29</v>
      </c>
      <c r="E2701" s="33"/>
      <c r="F2701" s="118">
        <v>696167136</v>
      </c>
      <c r="G2701" s="58" t="s">
        <v>612</v>
      </c>
      <c r="H2701" s="47">
        <f>566878953.6+29835734.4</f>
        <v>596714688</v>
      </c>
      <c r="I2701" s="386" t="s">
        <v>1189</v>
      </c>
      <c r="J2701" s="331">
        <f t="shared" si="156"/>
        <v>99452448</v>
      </c>
      <c r="K2701" s="317">
        <f t="shared" si="157"/>
        <v>16117656476.920179</v>
      </c>
      <c r="L2701" s="233" t="s">
        <v>1917</v>
      </c>
      <c r="M2701" s="345"/>
      <c r="N2701" s="345"/>
      <c r="O2701" s="332"/>
    </row>
    <row r="2702" spans="1:15" s="7" customFormat="1" ht="19.5" customHeight="1">
      <c r="A2702" s="30"/>
      <c r="B2702" s="109"/>
      <c r="C2702" s="29" t="s">
        <v>489</v>
      </c>
      <c r="D2702" s="32" t="s">
        <v>301</v>
      </c>
      <c r="E2702" s="33"/>
      <c r="F2702" s="118">
        <v>921391706.24000001</v>
      </c>
      <c r="G2702" s="58" t="s">
        <v>556</v>
      </c>
      <c r="H2702" s="47">
        <f>750276104+39488215.98</f>
        <v>789764319.98000002</v>
      </c>
      <c r="I2702" s="386"/>
      <c r="J2702" s="331">
        <f t="shared" si="156"/>
        <v>131627386.25999999</v>
      </c>
      <c r="K2702" s="317">
        <f t="shared" si="157"/>
        <v>16217108924.920179</v>
      </c>
      <c r="L2702" s="233" t="s">
        <v>1917</v>
      </c>
      <c r="M2702" s="345"/>
      <c r="N2702" s="345"/>
      <c r="O2702" s="332"/>
    </row>
    <row r="2703" spans="1:15" s="7" customFormat="1" ht="15">
      <c r="A2703" s="30"/>
      <c r="B2703" s="109"/>
      <c r="C2703" s="41" t="s">
        <v>490</v>
      </c>
      <c r="D2703" s="32" t="s">
        <v>313</v>
      </c>
      <c r="E2703" s="33"/>
      <c r="F2703" s="118">
        <v>1130712051.1099999</v>
      </c>
      <c r="G2703" s="58" t="s">
        <v>1038</v>
      </c>
      <c r="H2703" s="47">
        <f>48459087.9+939534171.03</f>
        <v>987993258.92999995</v>
      </c>
      <c r="I2703" s="386"/>
      <c r="J2703" s="331">
        <f t="shared" si="156"/>
        <v>142718792.17999995</v>
      </c>
      <c r="K2703" s="317">
        <f t="shared" si="157"/>
        <v>16348736311.18018</v>
      </c>
      <c r="L2703" s="233" t="s">
        <v>1917</v>
      </c>
      <c r="M2703" s="345"/>
      <c r="N2703" s="345"/>
      <c r="O2703" s="332"/>
    </row>
    <row r="2704" spans="1:15" s="7" customFormat="1" ht="15">
      <c r="B2704" s="109"/>
      <c r="C2704" s="29" t="s">
        <v>560</v>
      </c>
      <c r="D2704" s="32" t="s">
        <v>2029</v>
      </c>
      <c r="E2704" s="33"/>
      <c r="F2704" s="95">
        <v>1295385719.04</v>
      </c>
      <c r="G2704" s="96">
        <v>43014</v>
      </c>
      <c r="H2704" s="47">
        <f>1085479367.45+23357600.23</f>
        <v>1108836967.6800001</v>
      </c>
      <c r="I2704" s="386"/>
      <c r="J2704" s="331">
        <f t="shared" si="156"/>
        <v>186548751.3599999</v>
      </c>
      <c r="K2704" s="317">
        <f t="shared" si="157"/>
        <v>16491455103.36018</v>
      </c>
      <c r="L2704" s="233" t="s">
        <v>1917</v>
      </c>
      <c r="M2704" s="345"/>
      <c r="N2704" s="345"/>
      <c r="O2704" s="332"/>
    </row>
    <row r="2705" spans="2:15" s="7" customFormat="1" ht="15">
      <c r="B2705" s="109"/>
      <c r="C2705" s="29" t="s">
        <v>562</v>
      </c>
      <c r="D2705" s="32" t="s">
        <v>2030</v>
      </c>
      <c r="E2705" s="33"/>
      <c r="F2705" s="95">
        <v>1393953915.9000001</v>
      </c>
      <c r="G2705" s="98">
        <v>42931</v>
      </c>
      <c r="H2705" s="47">
        <f>1175165317.51+19652324.69</f>
        <v>1194817642.2</v>
      </c>
      <c r="I2705" s="386"/>
      <c r="J2705" s="331">
        <f t="shared" si="156"/>
        <v>199136273.70000005</v>
      </c>
      <c r="K2705" s="317">
        <f t="shared" si="157"/>
        <v>16678003854.720181</v>
      </c>
      <c r="L2705" s="233" t="s">
        <v>1917</v>
      </c>
      <c r="M2705" s="345"/>
      <c r="N2705" s="345"/>
      <c r="O2705" s="332"/>
    </row>
    <row r="2706" spans="2:15" s="7" customFormat="1" ht="15">
      <c r="B2706" s="109"/>
      <c r="C2706" s="29" t="s">
        <v>494</v>
      </c>
      <c r="D2706" s="32" t="s">
        <v>2031</v>
      </c>
      <c r="E2706" s="33"/>
      <c r="F2706" s="95">
        <v>1543037404.4400001</v>
      </c>
      <c r="G2706" s="98">
        <v>42962</v>
      </c>
      <c r="H2706" s="47">
        <f>1256473315.04+66130174.48</f>
        <v>1322603489.52</v>
      </c>
      <c r="I2706" s="386"/>
      <c r="J2706" s="331">
        <f t="shared" si="156"/>
        <v>220433914.92000008</v>
      </c>
      <c r="K2706" s="317">
        <f t="shared" si="157"/>
        <v>16877140128.420181</v>
      </c>
      <c r="L2706" s="233" t="s">
        <v>1917</v>
      </c>
      <c r="M2706" s="345"/>
      <c r="N2706" s="345"/>
      <c r="O2706" s="332"/>
    </row>
    <row r="2707" spans="2:15" s="7" customFormat="1" ht="15">
      <c r="B2707" s="109"/>
      <c r="C2707" s="29" t="s">
        <v>497</v>
      </c>
      <c r="D2707" s="32" t="s">
        <v>2032</v>
      </c>
      <c r="E2707" s="33"/>
      <c r="F2707" s="95">
        <v>1087889889.45</v>
      </c>
      <c r="G2707" s="98">
        <v>42993</v>
      </c>
      <c r="H2707" s="47">
        <f>885853195.7+46623852.41</f>
        <v>932477048.11000001</v>
      </c>
      <c r="I2707" s="386"/>
      <c r="J2707" s="331">
        <f t="shared" si="156"/>
        <v>155412841.34000003</v>
      </c>
      <c r="K2707" s="317">
        <f t="shared" si="157"/>
        <v>17097574043.340181</v>
      </c>
      <c r="L2707" s="233" t="s">
        <v>1917</v>
      </c>
      <c r="M2707" s="345"/>
      <c r="N2707" s="345"/>
      <c r="O2707" s="332"/>
    </row>
    <row r="2708" spans="2:15" s="7" customFormat="1" ht="15">
      <c r="B2708" s="109"/>
      <c r="C2708" s="29" t="s">
        <v>498</v>
      </c>
      <c r="D2708" s="32" t="s">
        <v>2033</v>
      </c>
      <c r="E2708" s="33"/>
      <c r="F2708" s="95">
        <v>996948675.65999997</v>
      </c>
      <c r="G2708" s="98">
        <v>42865</v>
      </c>
      <c r="H2708" s="47">
        <f>811801064.47+42726371.81</f>
        <v>854527436.27999997</v>
      </c>
      <c r="I2708" s="386"/>
      <c r="J2708" s="331">
        <f t="shared" si="156"/>
        <v>142421239.38</v>
      </c>
      <c r="K2708" s="317">
        <f t="shared" si="157"/>
        <v>17252986884.68018</v>
      </c>
      <c r="L2708" s="233" t="s">
        <v>1917</v>
      </c>
      <c r="M2708" s="345"/>
      <c r="N2708" s="345"/>
      <c r="O2708" s="332"/>
    </row>
    <row r="2709" spans="2:15" s="7" customFormat="1" ht="15">
      <c r="B2709" s="109"/>
      <c r="C2709" s="29" t="s">
        <v>564</v>
      </c>
      <c r="D2709" s="32" t="s">
        <v>2034</v>
      </c>
      <c r="E2709" s="33"/>
      <c r="F2709" s="95">
        <v>1088243302.1300001</v>
      </c>
      <c r="G2709" s="98">
        <v>43044</v>
      </c>
      <c r="H2709" s="47">
        <f>886140974.59+46638998.66</f>
        <v>932779973.25</v>
      </c>
      <c r="I2709" s="386"/>
      <c r="J2709" s="331">
        <f t="shared" si="156"/>
        <v>155463328.88000011</v>
      </c>
      <c r="K2709" s="317">
        <f t="shared" si="157"/>
        <v>17395408124.060181</v>
      </c>
      <c r="L2709" s="233" t="s">
        <v>1917</v>
      </c>
      <c r="M2709" s="345"/>
      <c r="N2709" s="345"/>
      <c r="O2709" s="332"/>
    </row>
    <row r="2710" spans="2:15" s="7" customFormat="1" ht="15">
      <c r="B2710" s="109"/>
      <c r="C2710" s="29" t="s">
        <v>500</v>
      </c>
      <c r="D2710" s="32" t="s">
        <v>2035</v>
      </c>
      <c r="E2710" s="33"/>
      <c r="F2710" s="95">
        <v>1265270582.0999999</v>
      </c>
      <c r="G2710" s="98">
        <v>43044</v>
      </c>
      <c r="H2710" s="47">
        <f>1030291759.71+54225882.09</f>
        <v>1084517641.8</v>
      </c>
      <c r="I2710" s="386"/>
      <c r="J2710" s="331">
        <f t="shared" si="156"/>
        <v>180752940.29999995</v>
      </c>
      <c r="K2710" s="317">
        <f t="shared" si="157"/>
        <v>17550871452.940182</v>
      </c>
      <c r="L2710" s="233" t="s">
        <v>1917</v>
      </c>
      <c r="M2710" s="345"/>
      <c r="N2710" s="345"/>
      <c r="O2710" s="332"/>
    </row>
    <row r="2711" spans="2:15" s="7" customFormat="1" ht="15">
      <c r="B2711" s="109"/>
      <c r="C2711" s="29" t="s">
        <v>501</v>
      </c>
      <c r="D2711" s="32" t="s">
        <v>2036</v>
      </c>
      <c r="E2711" s="33"/>
      <c r="F2711" s="95">
        <v>1294973385.72</v>
      </c>
      <c r="G2711" s="98" t="s">
        <v>502</v>
      </c>
      <c r="H2711" s="47">
        <v>1109977187.76</v>
      </c>
      <c r="I2711" s="386"/>
      <c r="J2711" s="331">
        <f t="shared" si="156"/>
        <v>184996197.96000004</v>
      </c>
      <c r="K2711" s="317">
        <f t="shared" si="157"/>
        <v>17731624393.240181</v>
      </c>
      <c r="L2711" s="233" t="s">
        <v>1917</v>
      </c>
      <c r="M2711" s="345"/>
      <c r="N2711" s="345"/>
      <c r="O2711" s="332"/>
    </row>
    <row r="2712" spans="2:15" s="7" customFormat="1" ht="15">
      <c r="B2712" s="109"/>
      <c r="C2712" s="29" t="s">
        <v>504</v>
      </c>
      <c r="D2712" s="32" t="s">
        <v>2037</v>
      </c>
      <c r="E2712" s="33"/>
      <c r="F2712" s="95">
        <v>1322196546.0899999</v>
      </c>
      <c r="G2712" s="98">
        <v>43375</v>
      </c>
      <c r="H2712" s="47">
        <v>1133311325.22</v>
      </c>
      <c r="I2712" s="386"/>
      <c r="J2712" s="331">
        <f t="shared" si="156"/>
        <v>188885220.86999989</v>
      </c>
      <c r="K2712" s="317">
        <f t="shared" si="157"/>
        <v>17916620591.20018</v>
      </c>
      <c r="L2712" s="233" t="s">
        <v>1917</v>
      </c>
      <c r="M2712" s="345"/>
      <c r="N2712" s="345"/>
      <c r="O2712" s="332"/>
    </row>
    <row r="2713" spans="2:15" s="7" customFormat="1" ht="15">
      <c r="B2713" s="109"/>
      <c r="C2713" s="29" t="s">
        <v>506</v>
      </c>
      <c r="D2713" s="32" t="s">
        <v>2038</v>
      </c>
      <c r="E2713" s="33"/>
      <c r="F2713" s="95">
        <v>991046347.83000004</v>
      </c>
      <c r="G2713" s="98" t="s">
        <v>1302</v>
      </c>
      <c r="H2713" s="47">
        <v>849468298.17999995</v>
      </c>
      <c r="I2713" s="386"/>
      <c r="J2713" s="331">
        <f t="shared" si="156"/>
        <v>141578049.6500001</v>
      </c>
      <c r="K2713" s="317">
        <f t="shared" si="157"/>
        <v>18105505812.070179</v>
      </c>
      <c r="L2713" s="233" t="s">
        <v>1917</v>
      </c>
      <c r="M2713" s="345"/>
      <c r="N2713" s="345"/>
      <c r="O2713" s="332"/>
    </row>
    <row r="2714" spans="2:15" s="7" customFormat="1" ht="15">
      <c r="B2714" s="109"/>
      <c r="C2714" s="29" t="s">
        <v>508</v>
      </c>
      <c r="D2714" s="32" t="s">
        <v>2039</v>
      </c>
      <c r="E2714" s="33"/>
      <c r="F2714" s="95">
        <v>1177687003.5</v>
      </c>
      <c r="G2714" s="75" t="s">
        <v>509</v>
      </c>
      <c r="H2714" s="47">
        <v>1009446003</v>
      </c>
      <c r="I2714" s="386"/>
      <c r="J2714" s="331">
        <f t="shared" si="156"/>
        <v>168241000.5</v>
      </c>
      <c r="K2714" s="317">
        <f t="shared" si="157"/>
        <v>18247083861.720181</v>
      </c>
      <c r="L2714" s="233" t="s">
        <v>1917</v>
      </c>
      <c r="M2714" s="345"/>
      <c r="N2714" s="345"/>
      <c r="O2714" s="332"/>
    </row>
    <row r="2715" spans="2:15" s="7" customFormat="1" ht="15">
      <c r="B2715" s="109"/>
      <c r="C2715" s="29" t="s">
        <v>231</v>
      </c>
      <c r="D2715" s="32" t="s">
        <v>2040</v>
      </c>
      <c r="E2715" s="33"/>
      <c r="F2715" s="95">
        <v>1096123199.5350001</v>
      </c>
      <c r="G2715" s="75" t="s">
        <v>1931</v>
      </c>
      <c r="H2715" s="47">
        <v>939534171.02999997</v>
      </c>
      <c r="I2715" s="386"/>
      <c r="J2715" s="331">
        <f t="shared" si="156"/>
        <v>156589028.50500011</v>
      </c>
      <c r="K2715" s="317">
        <f t="shared" si="157"/>
        <v>18415324862.220181</v>
      </c>
      <c r="L2715" s="233" t="s">
        <v>1917</v>
      </c>
      <c r="M2715" s="345"/>
      <c r="N2715" s="345"/>
      <c r="O2715" s="136"/>
    </row>
    <row r="2716" spans="2:15" s="7" customFormat="1" ht="15">
      <c r="B2716" s="109"/>
      <c r="C2716" s="31" t="s">
        <v>234</v>
      </c>
      <c r="D2716" s="32" t="s">
        <v>2041</v>
      </c>
      <c r="E2716" s="33"/>
      <c r="F2716" s="95">
        <v>1216184501.0700002</v>
      </c>
      <c r="G2716" s="75" t="s">
        <v>684</v>
      </c>
      <c r="H2716" s="47">
        <v>1042443858.0599999</v>
      </c>
      <c r="I2716" s="386"/>
      <c r="J2716" s="331">
        <f t="shared" si="156"/>
        <v>173740643.01000023</v>
      </c>
      <c r="K2716" s="317">
        <f t="shared" si="157"/>
        <v>18571913890.725182</v>
      </c>
      <c r="L2716" s="233" t="s">
        <v>1917</v>
      </c>
      <c r="M2716" s="345"/>
      <c r="N2716" s="345"/>
      <c r="O2716" s="332"/>
    </row>
    <row r="2717" spans="2:15" s="7" customFormat="1" ht="15">
      <c r="B2717" s="109"/>
      <c r="C2717" s="31" t="s">
        <v>416</v>
      </c>
      <c r="D2717" s="32" t="s">
        <v>1423</v>
      </c>
      <c r="E2717" s="33"/>
      <c r="F2717" s="95">
        <v>1129765171.1010001</v>
      </c>
      <c r="G2717" s="75" t="s">
        <v>687</v>
      </c>
      <c r="H2717" s="47">
        <v>968370146.65999997</v>
      </c>
      <c r="I2717" s="386"/>
      <c r="J2717" s="331">
        <f t="shared" si="156"/>
        <v>161395024.4410001</v>
      </c>
      <c r="K2717" s="317">
        <f t="shared" si="157"/>
        <v>18745654533.735184</v>
      </c>
      <c r="L2717" s="233" t="s">
        <v>1917</v>
      </c>
      <c r="M2717" s="345"/>
      <c r="N2717" s="345"/>
      <c r="O2717" s="332"/>
    </row>
    <row r="2718" spans="2:15" s="7" customFormat="1" ht="15">
      <c r="B2718" s="109"/>
      <c r="C2718" s="102" t="s">
        <v>238</v>
      </c>
      <c r="D2718" s="32" t="s">
        <v>1966</v>
      </c>
      <c r="E2718" s="33"/>
      <c r="F2718" s="95">
        <v>277139635.1636489</v>
      </c>
      <c r="G2718" s="75" t="s">
        <v>687</v>
      </c>
      <c r="H2718" s="47">
        <v>237548258.71000001</v>
      </c>
      <c r="I2718" s="386"/>
      <c r="J2718" s="331">
        <f t="shared" si="156"/>
        <v>39591376.453648895</v>
      </c>
      <c r="K2718" s="317">
        <f t="shared" si="157"/>
        <v>18907049558.176186</v>
      </c>
      <c r="L2718" s="233" t="s">
        <v>1917</v>
      </c>
      <c r="M2718" s="345"/>
      <c r="N2718" s="345"/>
      <c r="O2718" s="332"/>
    </row>
    <row r="2719" spans="2:15" s="7" customFormat="1" ht="15">
      <c r="B2719" s="109"/>
      <c r="C2719" s="102" t="s">
        <v>517</v>
      </c>
      <c r="D2719" s="32" t="s">
        <v>2042</v>
      </c>
      <c r="E2719" s="33"/>
      <c r="F2719" s="95">
        <v>163140638.25162598</v>
      </c>
      <c r="G2719" s="75" t="s">
        <v>693</v>
      </c>
      <c r="H2719" s="47">
        <v>139834832.78999999</v>
      </c>
      <c r="I2719" s="386"/>
      <c r="J2719" s="331">
        <f t="shared" si="156"/>
        <v>23305805.461625993</v>
      </c>
      <c r="K2719" s="317">
        <f t="shared" si="157"/>
        <v>18946640934.629833</v>
      </c>
      <c r="L2719" s="233" t="s">
        <v>1917</v>
      </c>
      <c r="M2719" s="345"/>
      <c r="N2719" s="345"/>
      <c r="O2719" s="332"/>
    </row>
    <row r="2720" spans="2:15" s="7" customFormat="1" ht="15">
      <c r="B2720" s="109"/>
      <c r="C2720" s="102" t="s">
        <v>243</v>
      </c>
      <c r="D2720" s="32" t="s">
        <v>1992</v>
      </c>
      <c r="E2720" s="33"/>
      <c r="F2720" s="95">
        <v>336504253.45999998</v>
      </c>
      <c r="G2720" s="75" t="s">
        <v>2043</v>
      </c>
      <c r="H2720" s="47">
        <v>288432217.25</v>
      </c>
      <c r="I2720" s="386"/>
      <c r="J2720" s="331">
        <f t="shared" si="156"/>
        <v>48072036.209999979</v>
      </c>
      <c r="K2720" s="317">
        <f t="shared" si="157"/>
        <v>18969946740.091457</v>
      </c>
      <c r="L2720" s="233" t="s">
        <v>1917</v>
      </c>
      <c r="M2720" s="345"/>
      <c r="N2720" s="345"/>
      <c r="O2720" s="332"/>
    </row>
    <row r="2721" spans="2:15" s="7" customFormat="1" ht="15">
      <c r="B2721" s="109"/>
      <c r="C2721" s="102" t="s">
        <v>246</v>
      </c>
      <c r="D2721" s="103" t="s">
        <v>2044</v>
      </c>
      <c r="E2721" s="322"/>
      <c r="F2721" s="104">
        <v>302037760.55000001</v>
      </c>
      <c r="G2721" s="105" t="s">
        <v>697</v>
      </c>
      <c r="H2721" s="47">
        <v>258889509.03999999</v>
      </c>
      <c r="I2721" s="386"/>
      <c r="J2721" s="331">
        <f t="shared" si="156"/>
        <v>43148251.51000002</v>
      </c>
      <c r="K2721" s="317">
        <f t="shared" si="157"/>
        <v>19018018776.301456</v>
      </c>
      <c r="L2721" s="233" t="s">
        <v>1917</v>
      </c>
      <c r="M2721" s="345"/>
      <c r="N2721" s="345"/>
      <c r="O2721" s="316"/>
    </row>
    <row r="2722" spans="2:15" s="7" customFormat="1" ht="15">
      <c r="B2722" s="109"/>
      <c r="C2722" s="102" t="s">
        <v>522</v>
      </c>
      <c r="D2722" s="103" t="s">
        <v>1993</v>
      </c>
      <c r="E2722" s="322"/>
      <c r="F2722" s="104">
        <v>276057096.74094033</v>
      </c>
      <c r="G2722" s="105" t="s">
        <v>698</v>
      </c>
      <c r="H2722" s="47">
        <v>236620368.63999999</v>
      </c>
      <c r="I2722" s="386"/>
      <c r="J2722" s="331">
        <f t="shared" si="156"/>
        <v>39436728.100940347</v>
      </c>
      <c r="K2722" s="317">
        <f t="shared" si="157"/>
        <v>19061167027.811455</v>
      </c>
      <c r="L2722" s="233" t="s">
        <v>1917</v>
      </c>
      <c r="M2722" s="345"/>
      <c r="N2722" s="345"/>
      <c r="O2722" s="316"/>
    </row>
    <row r="2723" spans="2:15" s="7" customFormat="1" ht="15">
      <c r="B2723" s="109"/>
      <c r="C2723" s="102" t="s">
        <v>250</v>
      </c>
      <c r="D2723" s="103" t="s">
        <v>344</v>
      </c>
      <c r="E2723" s="322"/>
      <c r="F2723" s="104">
        <v>29506253.32</v>
      </c>
      <c r="G2723" s="105" t="s">
        <v>578</v>
      </c>
      <c r="H2723" s="387">
        <v>25291074.27</v>
      </c>
      <c r="I2723" s="388" t="s">
        <v>252</v>
      </c>
      <c r="J2723" s="331">
        <f t="shared" si="156"/>
        <v>4215179.0500000007</v>
      </c>
      <c r="K2723" s="317">
        <f t="shared" si="157"/>
        <v>19100603755.912395</v>
      </c>
      <c r="L2723" s="233" t="s">
        <v>1917</v>
      </c>
      <c r="M2723" s="345"/>
      <c r="N2723" s="345"/>
      <c r="O2723" s="316"/>
    </row>
    <row r="2724" spans="2:15" s="7" customFormat="1" ht="15">
      <c r="B2724" s="109"/>
      <c r="C2724" s="111" t="s">
        <v>139</v>
      </c>
      <c r="D2724" s="166" t="s">
        <v>345</v>
      </c>
      <c r="E2724" s="383"/>
      <c r="F2724" s="149">
        <v>105926591.8</v>
      </c>
      <c r="G2724" s="198" t="s">
        <v>578</v>
      </c>
      <c r="H2724" s="387">
        <f>90794221.54+2965048.05</f>
        <v>93759269.590000004</v>
      </c>
      <c r="I2724" s="388" t="s">
        <v>1352</v>
      </c>
      <c r="J2724" s="331">
        <f t="shared" si="156"/>
        <v>12167322.209999993</v>
      </c>
      <c r="K2724" s="317">
        <f t="shared" si="157"/>
        <v>19104818934.962395</v>
      </c>
      <c r="L2724" s="233" t="s">
        <v>1917</v>
      </c>
      <c r="M2724" s="345"/>
      <c r="N2724" s="345"/>
      <c r="O2724" s="316"/>
    </row>
    <row r="2725" spans="2:15" s="7" customFormat="1" ht="15">
      <c r="B2725" s="109"/>
      <c r="C2725" s="42" t="s">
        <v>142</v>
      </c>
      <c r="D2725" s="389" t="s">
        <v>2045</v>
      </c>
      <c r="E2725" s="390"/>
      <c r="F2725" s="391">
        <v>463305406.62823498</v>
      </c>
      <c r="G2725" s="105"/>
      <c r="H2725" s="387">
        <v>441243244.40784281</v>
      </c>
      <c r="I2725" s="388" t="s">
        <v>527</v>
      </c>
      <c r="J2725" s="331">
        <f t="shared" si="156"/>
        <v>22062162.220392168</v>
      </c>
      <c r="K2725" s="317">
        <f t="shared" si="157"/>
        <v>19116986257.172394</v>
      </c>
      <c r="L2725" s="233" t="s">
        <v>1917</v>
      </c>
      <c r="M2725" s="345"/>
      <c r="N2725" s="345"/>
      <c r="O2725" s="316"/>
    </row>
    <row r="2726" spans="2:15" s="7" customFormat="1" ht="15">
      <c r="B2726" s="109"/>
      <c r="C2726" s="42" t="s">
        <v>154</v>
      </c>
      <c r="D2726" s="389" t="s">
        <v>347</v>
      </c>
      <c r="E2726" s="390"/>
      <c r="F2726" s="391">
        <v>263292329.45819998</v>
      </c>
      <c r="G2726" s="105" t="s">
        <v>156</v>
      </c>
      <c r="H2726" s="387">
        <v>250754599.31548002</v>
      </c>
      <c r="I2726" s="388" t="s">
        <v>839</v>
      </c>
      <c r="J2726" s="331">
        <f t="shared" si="156"/>
        <v>12537730.142719954</v>
      </c>
      <c r="K2726" s="317">
        <f t="shared" si="157"/>
        <v>19139048419.392784</v>
      </c>
      <c r="L2726" s="344"/>
      <c r="M2726" s="345"/>
      <c r="N2726" s="345"/>
      <c r="O2726" s="332"/>
    </row>
    <row r="2727" spans="2:15" s="7" customFormat="1" ht="15">
      <c r="B2727" s="109"/>
      <c r="C2727" s="42" t="s">
        <v>158</v>
      </c>
      <c r="D2727" s="389" t="s">
        <v>350</v>
      </c>
      <c r="E2727" s="390"/>
      <c r="F2727" s="391">
        <v>580616766.56025004</v>
      </c>
      <c r="G2727" s="105" t="s">
        <v>160</v>
      </c>
      <c r="H2727" s="387">
        <v>552968349.35020006</v>
      </c>
      <c r="J2727" s="331">
        <f t="shared" si="156"/>
        <v>27648417.210049987</v>
      </c>
      <c r="K2727" s="317">
        <f t="shared" si="157"/>
        <v>19151586149.535503</v>
      </c>
      <c r="L2727" s="55"/>
      <c r="M2727" s="345"/>
      <c r="N2727" s="345"/>
      <c r="O2727" s="332"/>
    </row>
    <row r="2728" spans="2:15" s="7" customFormat="1" ht="15">
      <c r="B2728" s="109"/>
      <c r="C2728" s="42" t="s">
        <v>162</v>
      </c>
      <c r="D2728" s="389" t="s">
        <v>1106</v>
      </c>
      <c r="E2728" s="390"/>
      <c r="F2728" s="391">
        <v>806810841.79150343</v>
      </c>
      <c r="G2728" s="105" t="s">
        <v>164</v>
      </c>
      <c r="H2728" s="387">
        <v>768391278.23376715</v>
      </c>
      <c r="I2728" s="388" t="s">
        <v>2004</v>
      </c>
      <c r="J2728" s="331">
        <f t="shared" ref="J2728:J2734" si="158">F2728-H2728</f>
        <v>38419563.557736278</v>
      </c>
      <c r="K2728" s="317">
        <f t="shared" si="157"/>
        <v>19179234566.745552</v>
      </c>
      <c r="L2728" s="344"/>
      <c r="M2728" s="345"/>
      <c r="N2728" s="345"/>
      <c r="O2728" s="332"/>
    </row>
    <row r="2729" spans="2:15" s="7" customFormat="1" ht="15">
      <c r="B2729" s="109"/>
      <c r="C2729" s="42" t="s">
        <v>166</v>
      </c>
      <c r="D2729" s="389" t="s">
        <v>1107</v>
      </c>
      <c r="E2729" s="390"/>
      <c r="F2729" s="391">
        <v>828995553.74580002</v>
      </c>
      <c r="G2729" s="105" t="s">
        <v>164</v>
      </c>
      <c r="H2729" s="387">
        <v>789519574.69726002</v>
      </c>
      <c r="I2729" s="388" t="s">
        <v>848</v>
      </c>
      <c r="J2729" s="331">
        <f t="shared" si="158"/>
        <v>39475979.048539996</v>
      </c>
      <c r="K2729" s="317">
        <f t="shared" ref="K2729:K2735" si="159">J2728+K2728</f>
        <v>19217654130.303288</v>
      </c>
      <c r="L2729" s="344"/>
      <c r="M2729" s="345"/>
      <c r="N2729" s="345"/>
      <c r="O2729" s="332"/>
    </row>
    <row r="2730" spans="2:15" s="7" customFormat="1" ht="15">
      <c r="B2730" s="109"/>
      <c r="C2730" s="42" t="s">
        <v>170</v>
      </c>
      <c r="D2730" s="389" t="s">
        <v>1108</v>
      </c>
      <c r="E2730" s="390"/>
      <c r="F2730" s="391">
        <v>77092559.562899992</v>
      </c>
      <c r="G2730" s="105" t="s">
        <v>989</v>
      </c>
      <c r="H2730" s="387">
        <v>73421485.297999993</v>
      </c>
      <c r="I2730" s="388" t="s">
        <v>2046</v>
      </c>
      <c r="J2730" s="331">
        <f t="shared" si="158"/>
        <v>3671074.2648999989</v>
      </c>
      <c r="K2730" s="317">
        <f t="shared" si="159"/>
        <v>19257130109.351826</v>
      </c>
      <c r="L2730" s="344"/>
      <c r="M2730" s="345"/>
      <c r="N2730" s="345"/>
      <c r="O2730" s="316"/>
    </row>
    <row r="2731" spans="2:15" s="7" customFormat="1" ht="15">
      <c r="B2731" s="109"/>
      <c r="C2731" s="42" t="s">
        <v>174</v>
      </c>
      <c r="D2731" s="389" t="s">
        <v>1109</v>
      </c>
      <c r="E2731" s="390"/>
      <c r="F2731" s="391">
        <v>332924733.57999998</v>
      </c>
      <c r="G2731" s="105" t="s">
        <v>882</v>
      </c>
      <c r="H2731" s="387">
        <v>317071174.83952504</v>
      </c>
      <c r="I2731" s="388" t="s">
        <v>2047</v>
      </c>
      <c r="J2731" s="331">
        <f t="shared" si="158"/>
        <v>15853558.740474939</v>
      </c>
      <c r="K2731" s="317">
        <f t="shared" si="159"/>
        <v>19260801183.616726</v>
      </c>
      <c r="L2731" s="344"/>
      <c r="M2731" s="345"/>
      <c r="N2731" s="345"/>
      <c r="O2731" s="316"/>
    </row>
    <row r="2732" spans="2:15" s="7" customFormat="1" ht="15">
      <c r="B2732" s="109"/>
      <c r="C2732" s="42" t="s">
        <v>778</v>
      </c>
      <c r="D2732" s="389" t="s">
        <v>1110</v>
      </c>
      <c r="E2732" s="390"/>
      <c r="F2732" s="391">
        <v>335059721.67150003</v>
      </c>
      <c r="G2732" s="105" t="s">
        <v>179</v>
      </c>
      <c r="H2732" s="387">
        <v>319104496.82234001</v>
      </c>
      <c r="I2732" s="388" t="s">
        <v>1507</v>
      </c>
      <c r="J2732" s="331">
        <f t="shared" si="158"/>
        <v>15955224.849160016</v>
      </c>
      <c r="K2732" s="317">
        <f t="shared" si="159"/>
        <v>19276654742.357201</v>
      </c>
      <c r="L2732" s="344"/>
      <c r="M2732" s="345"/>
      <c r="N2732" s="345"/>
      <c r="O2732" s="316"/>
    </row>
    <row r="2733" spans="2:15" s="7" customFormat="1" ht="15">
      <c r="B2733" s="109"/>
      <c r="C2733" s="42" t="s">
        <v>1566</v>
      </c>
      <c r="D2733" s="389" t="s">
        <v>1111</v>
      </c>
      <c r="E2733" s="390"/>
      <c r="F2733" s="391">
        <v>155558848.57376853</v>
      </c>
      <c r="G2733" s="105" t="s">
        <v>183</v>
      </c>
      <c r="H2733" s="387">
        <f>112151284.36+36000000</f>
        <v>148151284.36000001</v>
      </c>
      <c r="I2733" s="388" t="s">
        <v>1507</v>
      </c>
      <c r="J2733" s="331">
        <f t="shared" si="158"/>
        <v>7407564.213768512</v>
      </c>
      <c r="K2733" s="317">
        <f t="shared" si="159"/>
        <v>19292609967.20636</v>
      </c>
      <c r="L2733" s="344"/>
      <c r="M2733" s="345"/>
      <c r="N2733" s="345"/>
      <c r="O2733" s="316"/>
    </row>
    <row r="2734" spans="2:15" s="7" customFormat="1" ht="15">
      <c r="B2734" s="109"/>
      <c r="C2734" s="42"/>
      <c r="D2734" s="389"/>
      <c r="E2734" s="390"/>
      <c r="F2734" s="391"/>
      <c r="G2734" s="105"/>
      <c r="H2734" s="392">
        <f>29835734.4+39488216+5724467.32</f>
        <v>75048417.719999999</v>
      </c>
      <c r="I2734" s="388" t="s">
        <v>1330</v>
      </c>
      <c r="J2734" s="331">
        <f t="shared" si="158"/>
        <v>-75048417.719999999</v>
      </c>
      <c r="K2734" s="317">
        <f t="shared" si="159"/>
        <v>19300017531.420128</v>
      </c>
      <c r="L2734" s="344" t="s">
        <v>2005</v>
      </c>
      <c r="M2734" s="345"/>
      <c r="N2734" s="345"/>
      <c r="O2734" s="316"/>
    </row>
    <row r="2735" spans="2:15" s="7" customFormat="1" ht="15">
      <c r="B2735" s="57" t="s">
        <v>2048</v>
      </c>
      <c r="D2735" s="200"/>
      <c r="E2735" s="52"/>
      <c r="F2735" s="163"/>
      <c r="G2735" s="76"/>
      <c r="H2735" s="47"/>
      <c r="I2735" s="386"/>
      <c r="J2735" s="393"/>
      <c r="K2735" s="320">
        <f t="shared" si="159"/>
        <v>19224969113.700127</v>
      </c>
      <c r="L2735" s="344"/>
      <c r="M2735" s="345"/>
      <c r="N2735" s="345">
        <v>18843885982.827507</v>
      </c>
      <c r="O2735" s="316"/>
    </row>
    <row r="2736" spans="2:15" s="7" customFormat="1" ht="15">
      <c r="B2736" s="57"/>
      <c r="D2736" s="200"/>
      <c r="E2736" s="52"/>
      <c r="F2736" s="163"/>
      <c r="G2736" s="76"/>
      <c r="H2736" s="47"/>
      <c r="I2736" s="386"/>
      <c r="J2736" s="393"/>
      <c r="K2736" s="320"/>
      <c r="L2736" s="344"/>
      <c r="M2736" s="345"/>
      <c r="N2736" s="345"/>
      <c r="O2736" s="316"/>
    </row>
    <row r="2737" spans="1:15" s="7" customFormat="1" ht="15">
      <c r="A2737" s="81">
        <v>54</v>
      </c>
      <c r="B2737" s="82" t="s">
        <v>16</v>
      </c>
      <c r="C2737" s="260" t="s">
        <v>1270</v>
      </c>
      <c r="D2737" s="341" t="s">
        <v>204</v>
      </c>
      <c r="E2737" s="68"/>
      <c r="F2737" s="329">
        <v>39362354.942637302</v>
      </c>
      <c r="G2737" s="333" t="s">
        <v>1968</v>
      </c>
      <c r="H2737" s="208">
        <v>100000000</v>
      </c>
      <c r="I2737" s="330" t="s">
        <v>2049</v>
      </c>
      <c r="J2737" s="331">
        <f t="shared" ref="J2737:J2795" si="160">F2737-H2737</f>
        <v>-60637645.057362698</v>
      </c>
      <c r="K2737" s="332">
        <v>0</v>
      </c>
      <c r="L2737" s="39"/>
      <c r="M2737" s="333"/>
      <c r="N2737" s="333"/>
      <c r="O2737" s="332"/>
    </row>
    <row r="2738" spans="1:15" s="7" customFormat="1" ht="15">
      <c r="A2738" s="81"/>
      <c r="B2738" s="326"/>
      <c r="C2738" s="260" t="s">
        <v>1273</v>
      </c>
      <c r="D2738" s="341" t="s">
        <v>208</v>
      </c>
      <c r="E2738" s="68"/>
      <c r="F2738" s="394">
        <v>136557205.64021394</v>
      </c>
      <c r="G2738" s="205" t="s">
        <v>1846</v>
      </c>
      <c r="H2738" s="208">
        <v>50000000</v>
      </c>
      <c r="I2738" s="330" t="s">
        <v>2050</v>
      </c>
      <c r="J2738" s="331">
        <f t="shared" si="160"/>
        <v>86557205.640213937</v>
      </c>
      <c r="K2738" s="347">
        <f t="shared" ref="K2738:K2796" si="161">K2737+J2737</f>
        <v>-60637645.057362698</v>
      </c>
      <c r="L2738" s="39"/>
      <c r="M2738" s="333"/>
      <c r="N2738" s="333"/>
      <c r="O2738" s="332"/>
    </row>
    <row r="2739" spans="1:15" s="7" customFormat="1" ht="15">
      <c r="A2739" s="81"/>
      <c r="B2739" s="326"/>
      <c r="C2739" s="313" t="s">
        <v>1848</v>
      </c>
      <c r="D2739" s="327" t="s">
        <v>52</v>
      </c>
      <c r="E2739" s="328"/>
      <c r="F2739" s="329">
        <v>97505601.489999995</v>
      </c>
      <c r="G2739" s="336" t="s">
        <v>1972</v>
      </c>
      <c r="H2739" s="208">
        <v>50000000</v>
      </c>
      <c r="I2739" s="395" t="s">
        <v>2051</v>
      </c>
      <c r="J2739" s="331">
        <f t="shared" si="160"/>
        <v>47505601.489999995</v>
      </c>
      <c r="K2739" s="347">
        <f t="shared" si="161"/>
        <v>25919560.582851239</v>
      </c>
      <c r="L2739" s="39"/>
      <c r="M2739" s="333"/>
      <c r="N2739" s="333"/>
      <c r="O2739" s="332"/>
    </row>
    <row r="2740" spans="1:15" s="7" customFormat="1" ht="15">
      <c r="A2740" s="81"/>
      <c r="B2740" s="326"/>
      <c r="C2740" s="332" t="s">
        <v>1850</v>
      </c>
      <c r="D2740" s="327" t="s">
        <v>215</v>
      </c>
      <c r="E2740" s="328"/>
      <c r="F2740" s="329">
        <v>166741454.02000001</v>
      </c>
      <c r="G2740" s="205" t="s">
        <v>2012</v>
      </c>
      <c r="H2740" s="208">
        <v>40000000</v>
      </c>
      <c r="I2740" s="330" t="s">
        <v>2052</v>
      </c>
      <c r="J2740" s="331">
        <f t="shared" si="160"/>
        <v>126741454.02000001</v>
      </c>
      <c r="K2740" s="347">
        <f t="shared" si="161"/>
        <v>73425162.072851241</v>
      </c>
      <c r="L2740" s="39"/>
      <c r="M2740" s="333"/>
      <c r="N2740" s="333"/>
      <c r="O2740" s="332"/>
    </row>
    <row r="2741" spans="1:15" s="7" customFormat="1" ht="15">
      <c r="A2741" s="81"/>
      <c r="B2741" s="326"/>
      <c r="C2741" s="332" t="s">
        <v>1282</v>
      </c>
      <c r="D2741" s="327" t="s">
        <v>223</v>
      </c>
      <c r="E2741" s="328"/>
      <c r="F2741" s="329">
        <v>112613869</v>
      </c>
      <c r="G2741" s="205" t="s">
        <v>1283</v>
      </c>
      <c r="H2741" s="208">
        <v>40000000</v>
      </c>
      <c r="I2741" s="330" t="s">
        <v>2053</v>
      </c>
      <c r="J2741" s="331">
        <f t="shared" si="160"/>
        <v>72613869</v>
      </c>
      <c r="K2741" s="347">
        <f t="shared" si="161"/>
        <v>200166616.09285125</v>
      </c>
      <c r="L2741" s="39"/>
      <c r="M2741" s="333"/>
      <c r="N2741" s="333"/>
      <c r="O2741" s="332"/>
    </row>
    <row r="2742" spans="1:15" s="7" customFormat="1" ht="15">
      <c r="A2742" s="81"/>
      <c r="B2742" s="326"/>
      <c r="C2742" s="332" t="s">
        <v>1285</v>
      </c>
      <c r="D2742" s="327" t="s">
        <v>367</v>
      </c>
      <c r="E2742" s="328"/>
      <c r="F2742" s="329">
        <v>110816889.17</v>
      </c>
      <c r="G2742" s="336">
        <v>41897</v>
      </c>
      <c r="H2742" s="208">
        <v>20000000</v>
      </c>
      <c r="I2742" s="395" t="s">
        <v>2054</v>
      </c>
      <c r="J2742" s="331">
        <f t="shared" si="160"/>
        <v>90816889.170000002</v>
      </c>
      <c r="K2742" s="347">
        <f t="shared" si="161"/>
        <v>272780485.09285128</v>
      </c>
      <c r="L2742" s="39"/>
      <c r="M2742" s="333"/>
      <c r="N2742" s="333"/>
      <c r="O2742" s="332"/>
    </row>
    <row r="2743" spans="1:15" s="7" customFormat="1" ht="15">
      <c r="A2743" s="81"/>
      <c r="B2743" s="141"/>
      <c r="C2743" s="332" t="s">
        <v>1287</v>
      </c>
      <c r="D2743" s="327" t="s">
        <v>368</v>
      </c>
      <c r="E2743" s="328"/>
      <c r="F2743" s="329">
        <v>135244623.44</v>
      </c>
      <c r="G2743" s="336" t="s">
        <v>1977</v>
      </c>
      <c r="H2743" s="63">
        <v>115455097.81999999</v>
      </c>
      <c r="I2743" s="395" t="s">
        <v>356</v>
      </c>
      <c r="J2743" s="331">
        <f t="shared" si="160"/>
        <v>19789525.620000005</v>
      </c>
      <c r="K2743" s="347">
        <f t="shared" si="161"/>
        <v>363597374.2628513</v>
      </c>
      <c r="L2743" s="39" t="s">
        <v>1853</v>
      </c>
      <c r="M2743" s="333"/>
      <c r="N2743" s="333"/>
      <c r="O2743" s="332"/>
    </row>
    <row r="2744" spans="1:15" s="7" customFormat="1" ht="15">
      <c r="A2744" s="81"/>
      <c r="B2744" s="141"/>
      <c r="C2744" s="332" t="s">
        <v>1557</v>
      </c>
      <c r="D2744" s="327" t="s">
        <v>370</v>
      </c>
      <c r="E2744" s="328"/>
      <c r="F2744" s="329">
        <v>74266633.900000006</v>
      </c>
      <c r="G2744" s="205" t="s">
        <v>1856</v>
      </c>
      <c r="H2744" s="208">
        <v>822960976.51999998</v>
      </c>
      <c r="I2744" s="395" t="s">
        <v>358</v>
      </c>
      <c r="J2744" s="331">
        <f t="shared" si="160"/>
        <v>-748694342.62</v>
      </c>
      <c r="K2744" s="347">
        <f t="shared" si="161"/>
        <v>383386899.8828513</v>
      </c>
      <c r="L2744" s="39" t="s">
        <v>1853</v>
      </c>
      <c r="M2744" s="333"/>
      <c r="N2744" s="333"/>
      <c r="O2744" s="332"/>
    </row>
    <row r="2745" spans="1:15" s="7" customFormat="1" ht="15">
      <c r="A2745" s="81"/>
      <c r="B2745" s="141"/>
      <c r="C2745" s="332" t="s">
        <v>1559</v>
      </c>
      <c r="D2745" s="327" t="s">
        <v>371</v>
      </c>
      <c r="E2745" s="328"/>
      <c r="F2745" s="329">
        <v>121666740.20999999</v>
      </c>
      <c r="G2745" s="205" t="s">
        <v>1857</v>
      </c>
      <c r="H2745" s="54">
        <v>0</v>
      </c>
      <c r="I2745" s="395"/>
      <c r="J2745" s="331">
        <f t="shared" si="160"/>
        <v>121666740.20999999</v>
      </c>
      <c r="K2745" s="347">
        <f t="shared" si="161"/>
        <v>-365307442.7371487</v>
      </c>
      <c r="L2745" s="39"/>
      <c r="M2745" s="333"/>
      <c r="N2745" s="333"/>
      <c r="O2745" s="332"/>
    </row>
    <row r="2746" spans="1:15" s="7" customFormat="1" ht="15">
      <c r="A2746" s="81"/>
      <c r="B2746" s="141"/>
      <c r="C2746" s="332" t="s">
        <v>1858</v>
      </c>
      <c r="D2746" s="327" t="s">
        <v>372</v>
      </c>
      <c r="E2746" s="328"/>
      <c r="F2746" s="353">
        <v>196873250.41999999</v>
      </c>
      <c r="G2746" s="205" t="s">
        <v>1978</v>
      </c>
      <c r="H2746" s="54">
        <v>0</v>
      </c>
      <c r="I2746" s="395"/>
      <c r="J2746" s="331">
        <f t="shared" si="160"/>
        <v>196873250.41999999</v>
      </c>
      <c r="K2746" s="347">
        <f t="shared" si="161"/>
        <v>-243640702.52714872</v>
      </c>
      <c r="L2746" s="39"/>
      <c r="M2746" s="333"/>
      <c r="N2746" s="333"/>
      <c r="O2746" s="332"/>
    </row>
    <row r="2747" spans="1:15" s="7" customFormat="1" ht="15">
      <c r="A2747" s="81"/>
      <c r="B2747" s="141"/>
      <c r="C2747" s="332" t="s">
        <v>1860</v>
      </c>
      <c r="D2747" s="327" t="s">
        <v>373</v>
      </c>
      <c r="E2747" s="328"/>
      <c r="F2747" s="353">
        <v>127452442.20999999</v>
      </c>
      <c r="G2747" s="205" t="s">
        <v>1861</v>
      </c>
      <c r="H2747" s="91">
        <v>0</v>
      </c>
      <c r="I2747" s="395"/>
      <c r="J2747" s="331">
        <f t="shared" si="160"/>
        <v>127452442.20999999</v>
      </c>
      <c r="K2747" s="347">
        <f t="shared" si="161"/>
        <v>-46767452.107148737</v>
      </c>
      <c r="L2747" s="39"/>
      <c r="M2747" s="333"/>
      <c r="N2747" s="333"/>
      <c r="O2747" s="136"/>
    </row>
    <row r="2748" spans="1:15" s="7" customFormat="1" ht="15">
      <c r="A2748" s="81"/>
      <c r="B2748" s="141"/>
      <c r="C2748" s="332" t="s">
        <v>1862</v>
      </c>
      <c r="D2748" s="327" t="s">
        <v>92</v>
      </c>
      <c r="E2748" s="328"/>
      <c r="F2748" s="353">
        <v>143168740.34999999</v>
      </c>
      <c r="G2748" s="205" t="s">
        <v>1863</v>
      </c>
      <c r="H2748" s="91">
        <v>0</v>
      </c>
      <c r="I2748" s="395"/>
      <c r="J2748" s="331">
        <f t="shared" si="160"/>
        <v>143168740.34999999</v>
      </c>
      <c r="K2748" s="347">
        <f t="shared" si="161"/>
        <v>80684990.102851257</v>
      </c>
      <c r="L2748" s="39"/>
      <c r="M2748" s="333"/>
      <c r="N2748" s="333"/>
      <c r="O2748" s="332"/>
    </row>
    <row r="2749" spans="1:15" s="7" customFormat="1" ht="15">
      <c r="A2749" s="81"/>
      <c r="B2749" s="141"/>
      <c r="C2749" s="332" t="s">
        <v>1886</v>
      </c>
      <c r="D2749" s="327" t="s">
        <v>63</v>
      </c>
      <c r="E2749" s="328"/>
      <c r="F2749" s="353">
        <v>147046920</v>
      </c>
      <c r="G2749" s="205" t="s">
        <v>1979</v>
      </c>
      <c r="H2749" s="91">
        <v>0</v>
      </c>
      <c r="I2749" s="395"/>
      <c r="J2749" s="331">
        <f t="shared" si="160"/>
        <v>147046920</v>
      </c>
      <c r="K2749" s="347">
        <f t="shared" si="161"/>
        <v>223853730.45285124</v>
      </c>
      <c r="L2749" s="39"/>
      <c r="M2749" s="333"/>
      <c r="N2749" s="333"/>
      <c r="O2749" s="332"/>
    </row>
    <row r="2750" spans="1:15" s="7" customFormat="1" ht="15">
      <c r="A2750" s="81"/>
      <c r="B2750" s="141"/>
      <c r="C2750" s="332" t="s">
        <v>1887</v>
      </c>
      <c r="D2750" s="327" t="s">
        <v>374</v>
      </c>
      <c r="E2750" s="328"/>
      <c r="F2750" s="353">
        <v>157398150.46000001</v>
      </c>
      <c r="G2750" s="205" t="s">
        <v>1980</v>
      </c>
      <c r="H2750" s="91">
        <v>0</v>
      </c>
      <c r="I2750" s="395"/>
      <c r="J2750" s="331">
        <f t="shared" si="160"/>
        <v>157398150.46000001</v>
      </c>
      <c r="K2750" s="347">
        <f t="shared" si="161"/>
        <v>370900650.45285124</v>
      </c>
      <c r="L2750" s="39"/>
      <c r="M2750" s="333"/>
      <c r="N2750" s="333"/>
      <c r="O2750" s="332"/>
    </row>
    <row r="2751" spans="1:15" s="7" customFormat="1" ht="15">
      <c r="A2751" s="81"/>
      <c r="B2751" s="141"/>
      <c r="C2751" s="332" t="s">
        <v>1426</v>
      </c>
      <c r="D2751" s="327" t="s">
        <v>376</v>
      </c>
      <c r="E2751" s="328"/>
      <c r="F2751" s="353">
        <v>126507621.7390167</v>
      </c>
      <c r="G2751" s="205" t="s">
        <v>719</v>
      </c>
      <c r="H2751" s="91"/>
      <c r="I2751" s="395"/>
      <c r="J2751" s="331">
        <f t="shared" si="160"/>
        <v>126507621.7390167</v>
      </c>
      <c r="K2751" s="347">
        <f t="shared" si="161"/>
        <v>528298800.91285121</v>
      </c>
      <c r="L2751" s="39"/>
      <c r="M2751" s="333"/>
      <c r="N2751" s="333"/>
      <c r="O2751" s="332"/>
    </row>
    <row r="2752" spans="1:15" s="7" customFormat="1" ht="15">
      <c r="A2752" s="81"/>
      <c r="B2752" s="141"/>
      <c r="C2752" s="332" t="s">
        <v>1892</v>
      </c>
      <c r="D2752" s="327" t="s">
        <v>54</v>
      </c>
      <c r="E2752" s="328"/>
      <c r="F2752" s="353">
        <v>102255066.70999999</v>
      </c>
      <c r="G2752" s="205" t="s">
        <v>1982</v>
      </c>
      <c r="H2752" s="91">
        <v>0</v>
      </c>
      <c r="I2752" s="395"/>
      <c r="J2752" s="331">
        <f t="shared" si="160"/>
        <v>102255066.70999999</v>
      </c>
      <c r="K2752" s="347">
        <f t="shared" si="161"/>
        <v>654806422.65186787</v>
      </c>
      <c r="L2752" s="39"/>
      <c r="M2752" s="333"/>
      <c r="N2752" s="333"/>
      <c r="O2752" s="332"/>
    </row>
    <row r="2753" spans="1:15" s="7" customFormat="1" ht="15">
      <c r="A2753" s="81"/>
      <c r="B2753" s="141"/>
      <c r="C2753" s="332" t="s">
        <v>1864</v>
      </c>
      <c r="D2753" s="327" t="s">
        <v>379</v>
      </c>
      <c r="E2753" s="328"/>
      <c r="F2753" s="353">
        <v>164822764.91999999</v>
      </c>
      <c r="G2753" s="205" t="s">
        <v>1865</v>
      </c>
      <c r="H2753" s="91">
        <v>0</v>
      </c>
      <c r="I2753" s="395"/>
      <c r="J2753" s="331">
        <f t="shared" si="160"/>
        <v>164822764.91999999</v>
      </c>
      <c r="K2753" s="347">
        <f t="shared" si="161"/>
        <v>757061489.3618679</v>
      </c>
      <c r="L2753" s="39"/>
      <c r="M2753" s="333"/>
      <c r="N2753" s="333"/>
      <c r="O2753" s="332"/>
    </row>
    <row r="2754" spans="1:15" s="7" customFormat="1" ht="15">
      <c r="A2754" s="81"/>
      <c r="B2754" s="141"/>
      <c r="C2754" s="332" t="s">
        <v>1897</v>
      </c>
      <c r="D2754" s="327" t="s">
        <v>381</v>
      </c>
      <c r="E2754" s="328"/>
      <c r="F2754" s="329">
        <v>198986492.40000001</v>
      </c>
      <c r="G2754" s="205" t="s">
        <v>1898</v>
      </c>
      <c r="H2754" s="91">
        <v>0</v>
      </c>
      <c r="I2754" s="395"/>
      <c r="J2754" s="331">
        <f t="shared" si="160"/>
        <v>198986492.40000001</v>
      </c>
      <c r="K2754" s="347">
        <f t="shared" si="161"/>
        <v>921884254.28186786</v>
      </c>
      <c r="L2754" s="39"/>
      <c r="M2754" s="333"/>
      <c r="N2754" s="333"/>
      <c r="O2754" s="316"/>
    </row>
    <row r="2755" spans="1:15" s="7" customFormat="1" ht="15">
      <c r="A2755" s="81"/>
      <c r="B2755" s="141"/>
      <c r="C2755" s="332" t="s">
        <v>1171</v>
      </c>
      <c r="D2755" s="327" t="s">
        <v>383</v>
      </c>
      <c r="E2755" s="328"/>
      <c r="F2755" s="329">
        <v>282516772.80000001</v>
      </c>
      <c r="G2755" s="205" t="s">
        <v>1983</v>
      </c>
      <c r="H2755" s="91">
        <v>0</v>
      </c>
      <c r="I2755" s="395"/>
      <c r="J2755" s="331">
        <f t="shared" si="160"/>
        <v>282516772.80000001</v>
      </c>
      <c r="K2755" s="347">
        <f t="shared" si="161"/>
        <v>1120870746.6818678</v>
      </c>
      <c r="L2755" s="39"/>
      <c r="M2755" s="333"/>
      <c r="N2755" s="333"/>
      <c r="O2755" s="316"/>
    </row>
    <row r="2756" spans="1:15" s="7" customFormat="1" ht="15">
      <c r="A2756" s="81"/>
      <c r="B2756" s="141"/>
      <c r="C2756" s="332" t="s">
        <v>461</v>
      </c>
      <c r="D2756" s="327" t="s">
        <v>384</v>
      </c>
      <c r="E2756" s="328"/>
      <c r="F2756" s="329">
        <v>249161464.40000001</v>
      </c>
      <c r="G2756" s="205" t="s">
        <v>1984</v>
      </c>
      <c r="H2756" s="91">
        <v>0</v>
      </c>
      <c r="I2756" s="395"/>
      <c r="J2756" s="331">
        <f t="shared" si="160"/>
        <v>249161464.40000001</v>
      </c>
      <c r="K2756" s="347">
        <f t="shared" si="161"/>
        <v>1403387519.4818678</v>
      </c>
      <c r="L2756" s="39"/>
      <c r="M2756" s="333"/>
      <c r="N2756" s="333"/>
      <c r="O2756" s="316"/>
    </row>
    <row r="2757" spans="1:15" s="7" customFormat="1" ht="15">
      <c r="A2757" s="81"/>
      <c r="B2757" s="141"/>
      <c r="C2757" s="332" t="s">
        <v>465</v>
      </c>
      <c r="D2757" s="327" t="s">
        <v>385</v>
      </c>
      <c r="E2757" s="328"/>
      <c r="F2757" s="329">
        <v>195843081</v>
      </c>
      <c r="G2757" s="205" t="s">
        <v>1906</v>
      </c>
      <c r="H2757" s="91">
        <v>0</v>
      </c>
      <c r="I2757" s="395"/>
      <c r="J2757" s="331">
        <f t="shared" si="160"/>
        <v>195843081</v>
      </c>
      <c r="K2757" s="347">
        <f t="shared" si="161"/>
        <v>1652548983.8818679</v>
      </c>
      <c r="L2757" s="39"/>
      <c r="M2757" s="333"/>
      <c r="N2757" s="333"/>
      <c r="O2757" s="316"/>
    </row>
    <row r="2758" spans="1:15" s="7" customFormat="1" ht="15">
      <c r="A2758" s="81"/>
      <c r="B2758" s="141"/>
      <c r="C2758" s="332" t="s">
        <v>467</v>
      </c>
      <c r="D2758" s="327" t="s">
        <v>386</v>
      </c>
      <c r="E2758" s="328"/>
      <c r="F2758" s="329">
        <v>59907664.159999996</v>
      </c>
      <c r="G2758" s="205" t="s">
        <v>1959</v>
      </c>
      <c r="H2758" s="91">
        <v>0</v>
      </c>
      <c r="I2758" s="395"/>
      <c r="J2758" s="331">
        <f t="shared" si="160"/>
        <v>59907664.159999996</v>
      </c>
      <c r="K2758" s="347">
        <f t="shared" si="161"/>
        <v>1848392064.8818679</v>
      </c>
      <c r="L2758" s="39"/>
      <c r="M2758" s="333"/>
      <c r="N2758" s="333"/>
      <c r="O2758" s="316"/>
    </row>
    <row r="2759" spans="1:15" s="7" customFormat="1" ht="15">
      <c r="A2759" s="81"/>
      <c r="B2759" s="141"/>
      <c r="C2759" s="332" t="s">
        <v>469</v>
      </c>
      <c r="D2759" s="327" t="s">
        <v>388</v>
      </c>
      <c r="E2759" s="328"/>
      <c r="F2759" s="329">
        <f>185515080.67*1.05</f>
        <v>194790834.7035</v>
      </c>
      <c r="G2759" s="205" t="s">
        <v>1908</v>
      </c>
      <c r="H2759" s="91">
        <v>0</v>
      </c>
      <c r="I2759" s="395"/>
      <c r="J2759" s="331">
        <f t="shared" si="160"/>
        <v>194790834.7035</v>
      </c>
      <c r="K2759" s="347">
        <f t="shared" si="161"/>
        <v>1908299729.041868</v>
      </c>
      <c r="L2759" s="39"/>
      <c r="M2759" s="333"/>
      <c r="N2759" s="333"/>
      <c r="O2759" s="332"/>
    </row>
    <row r="2760" spans="1:15" s="7" customFormat="1" ht="15">
      <c r="A2760" s="81"/>
      <c r="B2760" s="141"/>
      <c r="C2760" s="332" t="s">
        <v>471</v>
      </c>
      <c r="D2760" s="327" t="s">
        <v>388</v>
      </c>
      <c r="E2760" s="328"/>
      <c r="F2760" s="329">
        <v>333681730.99000001</v>
      </c>
      <c r="G2760" s="205" t="s">
        <v>2055</v>
      </c>
      <c r="H2760" s="91">
        <v>0</v>
      </c>
      <c r="I2760" s="395"/>
      <c r="J2760" s="331">
        <f t="shared" si="160"/>
        <v>333681730.99000001</v>
      </c>
      <c r="K2760" s="347">
        <f t="shared" si="161"/>
        <v>2103090563.745368</v>
      </c>
      <c r="L2760" s="39"/>
      <c r="M2760" s="333"/>
      <c r="N2760" s="333"/>
      <c r="O2760" s="332"/>
    </row>
    <row r="2761" spans="1:15" s="7" customFormat="1" ht="21" customHeight="1">
      <c r="A2761" s="81"/>
      <c r="B2761" s="141"/>
      <c r="C2761" s="332" t="s">
        <v>398</v>
      </c>
      <c r="D2761" s="327" t="s">
        <v>39</v>
      </c>
      <c r="E2761" s="328"/>
      <c r="F2761" s="329">
        <v>362373955.80000001</v>
      </c>
      <c r="G2761" s="205" t="s">
        <v>1468</v>
      </c>
      <c r="H2761" s="91">
        <v>0</v>
      </c>
      <c r="I2761" s="395"/>
      <c r="J2761" s="331">
        <f t="shared" si="160"/>
        <v>362373955.80000001</v>
      </c>
      <c r="K2761" s="347">
        <f t="shared" si="161"/>
        <v>2436772294.7353678</v>
      </c>
      <c r="L2761" s="39"/>
      <c r="M2761" s="333"/>
      <c r="N2761" s="333"/>
      <c r="O2761" s="332"/>
    </row>
    <row r="2762" spans="1:15" s="7" customFormat="1" ht="15">
      <c r="A2762" s="81"/>
      <c r="B2762" s="141"/>
      <c r="C2762" s="332" t="s">
        <v>1403</v>
      </c>
      <c r="D2762" s="327" t="s">
        <v>392</v>
      </c>
      <c r="E2762" s="328"/>
      <c r="F2762" s="329">
        <v>182639964.59</v>
      </c>
      <c r="G2762" s="205" t="s">
        <v>2056</v>
      </c>
      <c r="H2762" s="91">
        <v>0</v>
      </c>
      <c r="I2762" s="395"/>
      <c r="J2762" s="331">
        <f t="shared" si="160"/>
        <v>182639964.59</v>
      </c>
      <c r="K2762" s="347">
        <f t="shared" si="161"/>
        <v>2799146250.535368</v>
      </c>
      <c r="L2762" s="39"/>
      <c r="M2762" s="333"/>
      <c r="N2762" s="333"/>
      <c r="O2762" s="332"/>
    </row>
    <row r="2763" spans="1:15" s="7" customFormat="1" ht="15">
      <c r="A2763" s="81"/>
      <c r="B2763" s="141"/>
      <c r="C2763" s="396" t="s">
        <v>401</v>
      </c>
      <c r="D2763" s="327" t="s">
        <v>393</v>
      </c>
      <c r="E2763" s="328"/>
      <c r="F2763" s="329">
        <v>229781112.12</v>
      </c>
      <c r="G2763" s="205" t="s">
        <v>474</v>
      </c>
      <c r="H2763" s="91">
        <v>0</v>
      </c>
      <c r="I2763" s="395"/>
      <c r="J2763" s="331">
        <f t="shared" si="160"/>
        <v>229781112.12</v>
      </c>
      <c r="K2763" s="347">
        <f t="shared" si="161"/>
        <v>2981786215.1253681</v>
      </c>
      <c r="L2763" s="39"/>
      <c r="M2763" s="333"/>
      <c r="N2763" s="333"/>
      <c r="O2763" s="332"/>
    </row>
    <row r="2764" spans="1:15" s="7" customFormat="1" ht="15">
      <c r="A2764" s="81"/>
      <c r="B2764" s="141"/>
      <c r="C2764" s="74" t="s">
        <v>404</v>
      </c>
      <c r="D2764" s="32" t="s">
        <v>528</v>
      </c>
      <c r="E2764" s="33"/>
      <c r="F2764" s="86">
        <v>139461014.91</v>
      </c>
      <c r="G2764" s="76" t="s">
        <v>1781</v>
      </c>
      <c r="H2764" s="91">
        <v>0</v>
      </c>
      <c r="I2764" s="395"/>
      <c r="J2764" s="331">
        <f t="shared" si="160"/>
        <v>139461014.91</v>
      </c>
      <c r="K2764" s="347">
        <f t="shared" si="161"/>
        <v>3211567327.245368</v>
      </c>
      <c r="L2764" s="39"/>
      <c r="M2764" s="333"/>
      <c r="N2764" s="333"/>
      <c r="O2764" s="316"/>
    </row>
    <row r="2765" spans="1:15" s="7" customFormat="1" ht="15">
      <c r="A2765" s="81"/>
      <c r="B2765" s="141"/>
      <c r="C2765" s="74" t="s">
        <v>406</v>
      </c>
      <c r="D2765" s="32" t="s">
        <v>35</v>
      </c>
      <c r="E2765" s="33"/>
      <c r="F2765" s="86">
        <v>373543787.22000003</v>
      </c>
      <c r="G2765" s="76" t="s">
        <v>1962</v>
      </c>
      <c r="H2765" s="91">
        <v>0</v>
      </c>
      <c r="I2765" s="395"/>
      <c r="J2765" s="331">
        <f t="shared" si="160"/>
        <v>373543787.22000003</v>
      </c>
      <c r="K2765" s="347">
        <f t="shared" si="161"/>
        <v>3351028342.1553679</v>
      </c>
      <c r="L2765" s="39"/>
      <c r="M2765" s="333"/>
      <c r="N2765" s="333"/>
      <c r="O2765" s="332"/>
    </row>
    <row r="2766" spans="1:15" s="7" customFormat="1" ht="15">
      <c r="A2766" s="81"/>
      <c r="B2766" s="141"/>
      <c r="C2766" s="74" t="s">
        <v>409</v>
      </c>
      <c r="D2766" s="32" t="s">
        <v>530</v>
      </c>
      <c r="E2766" s="33"/>
      <c r="F2766" s="86">
        <v>614317611.39999998</v>
      </c>
      <c r="G2766" s="76" t="s">
        <v>1720</v>
      </c>
      <c r="H2766" s="91">
        <v>0</v>
      </c>
      <c r="I2766" s="395"/>
      <c r="J2766" s="331">
        <f t="shared" si="160"/>
        <v>614317611.39999998</v>
      </c>
      <c r="K2766" s="347">
        <f t="shared" si="161"/>
        <v>3724572129.3753681</v>
      </c>
      <c r="L2766" s="39"/>
      <c r="M2766" s="333"/>
      <c r="N2766" s="333"/>
      <c r="O2766" s="332"/>
    </row>
    <row r="2767" spans="1:15" s="7" customFormat="1" ht="15">
      <c r="A2767" s="81"/>
      <c r="B2767" s="141"/>
      <c r="C2767" s="41" t="s">
        <v>411</v>
      </c>
      <c r="D2767" s="32" t="s">
        <v>532</v>
      </c>
      <c r="E2767" s="33"/>
      <c r="F2767" s="86">
        <v>654012439.92999995</v>
      </c>
      <c r="G2767" s="76" t="s">
        <v>2057</v>
      </c>
      <c r="H2767" s="91">
        <v>0</v>
      </c>
      <c r="I2767" s="395"/>
      <c r="J2767" s="331">
        <f t="shared" si="160"/>
        <v>654012439.92999995</v>
      </c>
      <c r="K2767" s="347">
        <f t="shared" si="161"/>
        <v>4338889740.7753677</v>
      </c>
      <c r="L2767" s="39"/>
      <c r="M2767" s="333"/>
      <c r="N2767" s="333"/>
      <c r="O2767" s="332"/>
    </row>
    <row r="2768" spans="1:15" s="7" customFormat="1" ht="15">
      <c r="A2768" s="81"/>
      <c r="B2768" s="141"/>
      <c r="C2768" s="41" t="s">
        <v>414</v>
      </c>
      <c r="D2768" s="32" t="s">
        <v>534</v>
      </c>
      <c r="E2768" s="33"/>
      <c r="F2768" s="86">
        <v>454761426.95999998</v>
      </c>
      <c r="G2768" s="76" t="s">
        <v>1987</v>
      </c>
      <c r="H2768" s="91">
        <v>0</v>
      </c>
      <c r="I2768" s="395"/>
      <c r="J2768" s="331">
        <f t="shared" si="160"/>
        <v>454761426.95999998</v>
      </c>
      <c r="K2768" s="347">
        <f t="shared" si="161"/>
        <v>4992902180.705368</v>
      </c>
      <c r="L2768" s="39"/>
      <c r="M2768" s="333"/>
      <c r="N2768" s="333"/>
      <c r="O2768" s="332"/>
    </row>
    <row r="2769" spans="1:15" s="7" customFormat="1" ht="15">
      <c r="A2769" s="81"/>
      <c r="B2769" s="141"/>
      <c r="C2769" s="41" t="s">
        <v>1412</v>
      </c>
      <c r="D2769" s="32" t="s">
        <v>535</v>
      </c>
      <c r="E2769" s="33"/>
      <c r="F2769" s="86">
        <v>608397260.96000004</v>
      </c>
      <c r="G2769" s="76"/>
      <c r="H2769" s="91"/>
      <c r="I2769" s="395"/>
      <c r="J2769" s="331">
        <f t="shared" si="160"/>
        <v>608397260.96000004</v>
      </c>
      <c r="K2769" s="347">
        <f t="shared" si="161"/>
        <v>5447663607.6653681</v>
      </c>
      <c r="L2769" s="39"/>
      <c r="M2769" s="333"/>
      <c r="N2769" s="333"/>
      <c r="O2769" s="332"/>
    </row>
    <row r="2770" spans="1:15" s="7" customFormat="1" ht="15">
      <c r="A2770" s="81"/>
      <c r="B2770" s="141"/>
      <c r="C2770" s="41" t="s">
        <v>609</v>
      </c>
      <c r="D2770" s="32" t="s">
        <v>536</v>
      </c>
      <c r="E2770" s="33"/>
      <c r="F2770" s="86">
        <v>572777774.11856925</v>
      </c>
      <c r="G2770" s="76"/>
      <c r="H2770" s="91"/>
      <c r="I2770" s="395"/>
      <c r="J2770" s="331">
        <f t="shared" si="160"/>
        <v>572777774.11856925</v>
      </c>
      <c r="K2770" s="347">
        <f t="shared" si="161"/>
        <v>6056060868.6253681</v>
      </c>
      <c r="L2770" s="39"/>
      <c r="M2770" s="333"/>
      <c r="N2770" s="333"/>
      <c r="O2770" s="332"/>
    </row>
    <row r="2771" spans="1:15" s="7" customFormat="1" ht="15">
      <c r="A2771" s="81"/>
      <c r="B2771" s="141"/>
      <c r="C2771" s="41" t="s">
        <v>611</v>
      </c>
      <c r="D2771" s="32" t="s">
        <v>538</v>
      </c>
      <c r="E2771" s="33"/>
      <c r="F2771" s="86">
        <v>637789470.34000003</v>
      </c>
      <c r="G2771" s="76"/>
      <c r="H2771" s="91"/>
      <c r="I2771" s="395"/>
      <c r="J2771" s="331">
        <f t="shared" si="160"/>
        <v>637789470.34000003</v>
      </c>
      <c r="K2771" s="347">
        <f t="shared" si="161"/>
        <v>6628838642.7439375</v>
      </c>
      <c r="L2771" s="39"/>
      <c r="M2771" s="333"/>
      <c r="N2771" s="333"/>
      <c r="O2771" s="332"/>
    </row>
    <row r="2772" spans="1:15" s="7" customFormat="1" ht="15">
      <c r="A2772" s="81"/>
      <c r="B2772" s="141"/>
      <c r="C2772" s="29" t="s">
        <v>614</v>
      </c>
      <c r="D2772" s="32" t="s">
        <v>43</v>
      </c>
      <c r="E2772" s="33"/>
      <c r="F2772" s="118">
        <v>614730238.14999998</v>
      </c>
      <c r="G2772" s="58" t="s">
        <v>612</v>
      </c>
      <c r="H2772" s="208">
        <f>351093457+18478603.02</f>
        <v>369572060.01999998</v>
      </c>
      <c r="I2772" s="395"/>
      <c r="J2772" s="331">
        <f t="shared" si="160"/>
        <v>245158178.13</v>
      </c>
      <c r="K2772" s="347">
        <f t="shared" si="161"/>
        <v>7266628113.0839376</v>
      </c>
      <c r="L2772" s="233" t="s">
        <v>1917</v>
      </c>
      <c r="M2772" s="333"/>
      <c r="N2772" s="333"/>
      <c r="O2772" s="332"/>
    </row>
    <row r="2773" spans="1:15" s="7" customFormat="1" ht="15">
      <c r="A2773" s="81"/>
      <c r="B2773" s="141"/>
      <c r="C2773" s="29" t="s">
        <v>489</v>
      </c>
      <c r="D2773" s="32" t="s">
        <v>540</v>
      </c>
      <c r="E2773" s="33"/>
      <c r="F2773" s="118">
        <v>537017918.64019001</v>
      </c>
      <c r="G2773" s="58" t="s">
        <v>2058</v>
      </c>
      <c r="H2773" s="208">
        <f>299221340+15748491.58</f>
        <v>314969831.57999998</v>
      </c>
      <c r="I2773" s="395"/>
      <c r="J2773" s="331">
        <f t="shared" si="160"/>
        <v>222048087.06019002</v>
      </c>
      <c r="K2773" s="347">
        <f t="shared" si="161"/>
        <v>7511786291.2139378</v>
      </c>
      <c r="L2773" s="233" t="s">
        <v>1917</v>
      </c>
      <c r="M2773" s="333"/>
      <c r="N2773" s="333"/>
      <c r="O2773" s="332"/>
    </row>
    <row r="2774" spans="1:15" s="7" customFormat="1" ht="15">
      <c r="A2774" s="81"/>
      <c r="B2774" s="141"/>
      <c r="C2774" s="41" t="s">
        <v>490</v>
      </c>
      <c r="D2774" s="32" t="s">
        <v>542</v>
      </c>
      <c r="E2774" s="33"/>
      <c r="F2774" s="118">
        <v>117471687</v>
      </c>
      <c r="G2774" s="58"/>
      <c r="H2774" s="208">
        <f>2605784.97+175908977.48</f>
        <v>178514762.44999999</v>
      </c>
      <c r="I2774" s="395"/>
      <c r="J2774" s="331">
        <f t="shared" si="160"/>
        <v>-61043075.449999988</v>
      </c>
      <c r="K2774" s="347">
        <f t="shared" si="161"/>
        <v>7733834378.274128</v>
      </c>
      <c r="L2774" s="233" t="s">
        <v>1917</v>
      </c>
      <c r="M2774" s="333"/>
      <c r="N2774" s="333"/>
      <c r="O2774" s="332"/>
    </row>
    <row r="2775" spans="1:15" s="7" customFormat="1" ht="15">
      <c r="A2775" s="81"/>
      <c r="B2775" s="141"/>
      <c r="C2775" s="29" t="s">
        <v>560</v>
      </c>
      <c r="D2775" s="32" t="s">
        <v>1366</v>
      </c>
      <c r="E2775" s="33"/>
      <c r="F2775" s="303">
        <v>355367198.48000002</v>
      </c>
      <c r="G2775" s="96">
        <v>42896</v>
      </c>
      <c r="H2775" s="208">
        <f>206157404.56+2570354.12</f>
        <v>208727758.68000001</v>
      </c>
      <c r="I2775" s="395"/>
      <c r="J2775" s="331">
        <f t="shared" si="160"/>
        <v>146639439.80000001</v>
      </c>
      <c r="K2775" s="347">
        <f t="shared" si="161"/>
        <v>7672791302.8241282</v>
      </c>
      <c r="L2775" s="233" t="s">
        <v>1917</v>
      </c>
      <c r="M2775" s="333"/>
      <c r="N2775" s="333"/>
      <c r="O2775" s="332"/>
    </row>
    <row r="2776" spans="1:15" s="7" customFormat="1" ht="15">
      <c r="A2776" s="81"/>
      <c r="B2776" s="141"/>
      <c r="C2776" s="29" t="s">
        <v>562</v>
      </c>
      <c r="D2776" s="32" t="s">
        <v>1369</v>
      </c>
      <c r="E2776" s="33"/>
      <c r="F2776" s="303">
        <v>662856918.68046045</v>
      </c>
      <c r="G2776" s="98">
        <v>42931</v>
      </c>
      <c r="H2776" s="208">
        <f>400975472.22+2402115.03</f>
        <v>403377587.25</v>
      </c>
      <c r="I2776" s="395"/>
      <c r="J2776" s="331">
        <f t="shared" si="160"/>
        <v>259479331.43046045</v>
      </c>
      <c r="K2776" s="347">
        <f t="shared" si="161"/>
        <v>7819430742.6241283</v>
      </c>
      <c r="L2776" s="233" t="s">
        <v>1917</v>
      </c>
      <c r="M2776" s="333"/>
      <c r="N2776" s="333"/>
      <c r="O2776" s="332"/>
    </row>
    <row r="2777" spans="1:15" s="7" customFormat="1" ht="15">
      <c r="A2777" s="81"/>
      <c r="B2777" s="141"/>
      <c r="C2777" s="29" t="s">
        <v>494</v>
      </c>
      <c r="D2777" s="32" t="s">
        <v>1246</v>
      </c>
      <c r="E2777" s="33"/>
      <c r="F2777" s="303">
        <v>178203597.38854849</v>
      </c>
      <c r="G2777" s="98">
        <v>42959</v>
      </c>
      <c r="H2777" s="208">
        <f>145108643.59+7637297.03</f>
        <v>152745940.62</v>
      </c>
      <c r="I2777" s="395"/>
      <c r="J2777" s="331">
        <f t="shared" si="160"/>
        <v>25457656.768548489</v>
      </c>
      <c r="K2777" s="347">
        <f t="shared" si="161"/>
        <v>8078910074.0545883</v>
      </c>
      <c r="L2777" s="233" t="s">
        <v>1917</v>
      </c>
      <c r="M2777" s="333"/>
      <c r="N2777" s="333"/>
      <c r="O2777" s="332"/>
    </row>
    <row r="2778" spans="1:15" s="7" customFormat="1" ht="15">
      <c r="A2778" s="81"/>
      <c r="B2778" s="141"/>
      <c r="C2778" s="29" t="s">
        <v>497</v>
      </c>
      <c r="D2778" s="32" t="s">
        <v>1247</v>
      </c>
      <c r="E2778" s="33"/>
      <c r="F2778" s="303">
        <v>253225114.78</v>
      </c>
      <c r="G2778" s="98">
        <v>42990</v>
      </c>
      <c r="H2778" s="208">
        <f>206197593.46+10852504.92</f>
        <v>217050098.38</v>
      </c>
      <c r="I2778" s="395"/>
      <c r="J2778" s="331">
        <f t="shared" si="160"/>
        <v>36175016.400000006</v>
      </c>
      <c r="K2778" s="347">
        <f t="shared" si="161"/>
        <v>8104367730.8231373</v>
      </c>
      <c r="L2778" s="233" t="s">
        <v>1917</v>
      </c>
      <c r="M2778" s="333"/>
      <c r="N2778" s="333"/>
      <c r="O2778" s="332"/>
    </row>
    <row r="2779" spans="1:15" s="7" customFormat="1" ht="15">
      <c r="A2779" s="81"/>
      <c r="B2779" s="141"/>
      <c r="C2779" s="29" t="s">
        <v>498</v>
      </c>
      <c r="D2779" s="32" t="s">
        <v>1248</v>
      </c>
      <c r="E2779" s="33"/>
      <c r="F2779" s="303">
        <v>207374835</v>
      </c>
      <c r="G2779" s="98">
        <v>43023</v>
      </c>
      <c r="H2779" s="208">
        <f>118023878.43+6211783.08</f>
        <v>124235661.51000001</v>
      </c>
      <c r="I2779" s="395"/>
      <c r="J2779" s="331">
        <f t="shared" si="160"/>
        <v>83139173.489999995</v>
      </c>
      <c r="K2779" s="347">
        <f t="shared" si="161"/>
        <v>8140542747.2231369</v>
      </c>
      <c r="L2779" s="233" t="s">
        <v>1917</v>
      </c>
      <c r="M2779" s="333"/>
      <c r="N2779" s="333"/>
      <c r="O2779" s="332"/>
    </row>
    <row r="2780" spans="1:15" s="7" customFormat="1" ht="15">
      <c r="A2780" s="81"/>
      <c r="B2780" s="141"/>
      <c r="C2780" s="29" t="s">
        <v>564</v>
      </c>
      <c r="D2780" s="32" t="s">
        <v>1249</v>
      </c>
      <c r="E2780" s="33"/>
      <c r="F2780" s="303">
        <v>160950431.78</v>
      </c>
      <c r="G2780" s="98">
        <v>42990</v>
      </c>
      <c r="H2780" s="208">
        <f>81951675.09+4313246.06</f>
        <v>86264921.150000006</v>
      </c>
      <c r="I2780" s="395"/>
      <c r="J2780" s="331">
        <f t="shared" si="160"/>
        <v>74685510.629999995</v>
      </c>
      <c r="K2780" s="347">
        <f t="shared" si="161"/>
        <v>8223681920.7131367</v>
      </c>
      <c r="L2780" s="233" t="s">
        <v>1917</v>
      </c>
      <c r="M2780" s="333"/>
      <c r="O2780" s="332"/>
    </row>
    <row r="2781" spans="1:15" s="7" customFormat="1" ht="15">
      <c r="A2781" s="81"/>
      <c r="B2781" s="141"/>
      <c r="C2781" s="29" t="s">
        <v>2059</v>
      </c>
      <c r="D2781" s="32" t="s">
        <v>1250</v>
      </c>
      <c r="E2781" s="33"/>
      <c r="F2781" s="303">
        <v>135362039.47</v>
      </c>
      <c r="G2781" s="238"/>
      <c r="H2781" s="208">
        <f>127303664.85+2147175.51</f>
        <v>129450840.36</v>
      </c>
      <c r="I2781" s="395"/>
      <c r="J2781" s="331">
        <f t="shared" si="160"/>
        <v>5911199.1099999994</v>
      </c>
      <c r="K2781" s="347">
        <f t="shared" si="161"/>
        <v>8298367431.3431368</v>
      </c>
      <c r="L2781" s="233" t="s">
        <v>1917</v>
      </c>
      <c r="M2781" s="333"/>
      <c r="O2781" s="332"/>
    </row>
    <row r="2782" spans="1:15" s="7" customFormat="1" ht="15">
      <c r="A2782" s="81"/>
      <c r="B2782" s="141"/>
      <c r="C2782" s="29" t="s">
        <v>2060</v>
      </c>
      <c r="D2782" s="32" t="s">
        <v>1253</v>
      </c>
      <c r="E2782" s="33"/>
      <c r="F2782" s="397">
        <v>19969669.920000002</v>
      </c>
      <c r="G2782" s="98"/>
      <c r="H2782" s="208">
        <v>18756258.030000001</v>
      </c>
      <c r="I2782" s="395"/>
      <c r="J2782" s="331">
        <f t="shared" si="160"/>
        <v>1213411.8900000006</v>
      </c>
      <c r="K2782" s="347">
        <f t="shared" si="161"/>
        <v>8304278630.4531364</v>
      </c>
      <c r="L2782" s="233" t="s">
        <v>1917</v>
      </c>
      <c r="M2782" s="333"/>
      <c r="O2782" s="332"/>
    </row>
    <row r="2783" spans="1:15" s="7" customFormat="1" ht="15">
      <c r="A2783" s="81"/>
      <c r="B2783" s="141"/>
      <c r="C2783" s="29" t="s">
        <v>508</v>
      </c>
      <c r="D2783" s="32" t="s">
        <v>1255</v>
      </c>
      <c r="E2783" s="33"/>
      <c r="F2783" s="303">
        <v>14682769.92</v>
      </c>
      <c r="G2783" s="75" t="s">
        <v>509</v>
      </c>
      <c r="H2783" s="208">
        <v>8028438.8799999999</v>
      </c>
      <c r="I2783" s="395"/>
      <c r="J2783" s="331">
        <f t="shared" si="160"/>
        <v>6654331.04</v>
      </c>
      <c r="K2783" s="347">
        <f t="shared" si="161"/>
        <v>8305492042.3431368</v>
      </c>
      <c r="L2783" s="233" t="s">
        <v>1917</v>
      </c>
      <c r="M2783" s="333"/>
      <c r="O2783" s="332"/>
    </row>
    <row r="2784" spans="1:15" s="7" customFormat="1" ht="15">
      <c r="A2784" s="81"/>
      <c r="B2784" s="141"/>
      <c r="C2784" s="29" t="s">
        <v>231</v>
      </c>
      <c r="D2784" s="32" t="s">
        <v>740</v>
      </c>
      <c r="E2784" s="33"/>
      <c r="F2784" s="303">
        <v>108269438.07740098</v>
      </c>
      <c r="G2784" s="75" t="s">
        <v>1931</v>
      </c>
      <c r="H2784" s="55">
        <v>103267453.75</v>
      </c>
      <c r="I2784" s="395"/>
      <c r="J2784" s="331">
        <f t="shared" si="160"/>
        <v>5001984.3274009824</v>
      </c>
      <c r="K2784" s="347">
        <f t="shared" si="161"/>
        <v>8312146373.3831367</v>
      </c>
      <c r="L2784" s="233" t="s">
        <v>1917</v>
      </c>
      <c r="M2784" s="333"/>
      <c r="O2784" s="332"/>
    </row>
    <row r="2785" spans="1:15" s="7" customFormat="1" ht="15">
      <c r="A2785" s="81"/>
      <c r="B2785" s="141"/>
      <c r="C2785" s="31" t="s">
        <v>234</v>
      </c>
      <c r="D2785" s="32" t="s">
        <v>740</v>
      </c>
      <c r="E2785" s="33"/>
      <c r="F2785" s="303">
        <v>29173685.537107967</v>
      </c>
      <c r="G2785" s="75" t="s">
        <v>2061</v>
      </c>
      <c r="H2785" s="208">
        <v>138076417.22</v>
      </c>
      <c r="I2785" s="395"/>
      <c r="J2785" s="331">
        <f t="shared" si="160"/>
        <v>-108902731.68289202</v>
      </c>
      <c r="K2785" s="347">
        <f t="shared" si="161"/>
        <v>8317148357.7105379</v>
      </c>
      <c r="L2785" s="233" t="s">
        <v>1917</v>
      </c>
      <c r="M2785" s="333"/>
      <c r="O2785" s="332"/>
    </row>
    <row r="2786" spans="1:15" s="7" customFormat="1" ht="15">
      <c r="A2786" s="81"/>
      <c r="B2786" s="141"/>
      <c r="C2786" s="31" t="s">
        <v>416</v>
      </c>
      <c r="D2786" s="32" t="s">
        <v>741</v>
      </c>
      <c r="E2786" s="33"/>
      <c r="F2786" s="303">
        <v>253986090.36879066</v>
      </c>
      <c r="G2786" s="75" t="s">
        <v>2061</v>
      </c>
      <c r="H2786" s="208">
        <v>175908977.47999999</v>
      </c>
      <c r="I2786" s="395"/>
      <c r="J2786" s="331">
        <f t="shared" si="160"/>
        <v>78077112.888790667</v>
      </c>
      <c r="K2786" s="347">
        <f t="shared" si="161"/>
        <v>8208245626.0276461</v>
      </c>
      <c r="L2786" s="233" t="s">
        <v>1917</v>
      </c>
      <c r="M2786" s="333"/>
      <c r="O2786" s="332"/>
    </row>
    <row r="2787" spans="1:15" s="7" customFormat="1" ht="15">
      <c r="A2787" s="81"/>
      <c r="B2787" s="141"/>
      <c r="C2787" s="102" t="s">
        <v>238</v>
      </c>
      <c r="D2787" s="32" t="s">
        <v>742</v>
      </c>
      <c r="E2787" s="33"/>
      <c r="F2787" s="303">
        <v>109521881.74916625</v>
      </c>
      <c r="G2787" s="75" t="s">
        <v>2062</v>
      </c>
      <c r="H2787" s="208">
        <v>72761944.049999997</v>
      </c>
      <c r="I2787" s="395"/>
      <c r="J2787" s="331">
        <f t="shared" si="160"/>
        <v>36759937.699166253</v>
      </c>
      <c r="K2787" s="347">
        <f t="shared" si="161"/>
        <v>8286322738.9164371</v>
      </c>
      <c r="L2787" s="233" t="s">
        <v>1917</v>
      </c>
      <c r="M2787" s="333"/>
      <c r="O2787" s="332"/>
    </row>
    <row r="2788" spans="1:15" s="7" customFormat="1" ht="15">
      <c r="A2788" s="81"/>
      <c r="B2788" s="141"/>
      <c r="C2788" s="111" t="s">
        <v>240</v>
      </c>
      <c r="D2788" s="32" t="s">
        <v>744</v>
      </c>
      <c r="E2788" s="33"/>
      <c r="F2788" s="303">
        <v>77313925.676203132</v>
      </c>
      <c r="G2788" s="75" t="s">
        <v>2063</v>
      </c>
      <c r="H2788" s="208">
        <v>59518627.399999999</v>
      </c>
      <c r="I2788" s="395"/>
      <c r="J2788" s="331">
        <f t="shared" si="160"/>
        <v>17795298.276203133</v>
      </c>
      <c r="K2788" s="347">
        <f t="shared" si="161"/>
        <v>8323082676.6156034</v>
      </c>
      <c r="L2788" s="233" t="s">
        <v>1917</v>
      </c>
      <c r="M2788" s="333"/>
      <c r="O2788" s="332"/>
    </row>
    <row r="2789" spans="1:15" s="7" customFormat="1" ht="15">
      <c r="A2789" s="81"/>
      <c r="B2789" s="141"/>
      <c r="C2789" s="398" t="s">
        <v>145</v>
      </c>
      <c r="D2789" s="32" t="s">
        <v>286</v>
      </c>
      <c r="F2789" s="55">
        <v>176511270.35340163</v>
      </c>
      <c r="G2789" s="75" t="s">
        <v>2064</v>
      </c>
      <c r="H2789" s="47">
        <f>6539272.46+168060302.78</f>
        <v>174599575.24000001</v>
      </c>
      <c r="I2789" s="330" t="s">
        <v>2065</v>
      </c>
      <c r="J2789" s="331">
        <f t="shared" si="160"/>
        <v>1911695.1134016216</v>
      </c>
      <c r="K2789" s="347">
        <f t="shared" si="161"/>
        <v>8340877974.8918066</v>
      </c>
      <c r="L2789" s="233" t="s">
        <v>1917</v>
      </c>
      <c r="M2789" s="333"/>
      <c r="N2789" s="333"/>
      <c r="O2789" s="332"/>
    </row>
    <row r="2790" spans="1:15" s="7" customFormat="1" ht="15">
      <c r="A2790" s="81"/>
      <c r="B2790" s="141"/>
      <c r="C2790" s="111" t="s">
        <v>148</v>
      </c>
      <c r="D2790" s="32" t="s">
        <v>775</v>
      </c>
      <c r="E2790" s="33"/>
      <c r="F2790" s="399">
        <v>160895539.65626529</v>
      </c>
      <c r="G2790" s="75" t="s">
        <v>2066</v>
      </c>
      <c r="H2790" s="208">
        <f>74282032.21+3909580.64</f>
        <v>78191612.849999994</v>
      </c>
      <c r="J2790" s="331">
        <f t="shared" si="160"/>
        <v>82703926.806265295</v>
      </c>
      <c r="K2790" s="347">
        <f t="shared" si="161"/>
        <v>8342789670.005208</v>
      </c>
      <c r="L2790" s="55"/>
      <c r="M2790" s="333"/>
      <c r="N2790" s="333"/>
      <c r="O2790" s="332"/>
    </row>
    <row r="2791" spans="1:15" s="7" customFormat="1" ht="15">
      <c r="A2791" s="81"/>
      <c r="B2791" s="141"/>
      <c r="C2791" s="111" t="s">
        <v>154</v>
      </c>
      <c r="D2791" s="32" t="s">
        <v>777</v>
      </c>
      <c r="E2791" s="33"/>
      <c r="F2791" s="399">
        <v>73103933.186978802</v>
      </c>
      <c r="G2791" s="75"/>
      <c r="H2791" s="47">
        <f>50866080.62</f>
        <v>50866080.619999997</v>
      </c>
      <c r="I2791" s="369" t="s">
        <v>2067</v>
      </c>
      <c r="J2791" s="331">
        <f t="shared" si="160"/>
        <v>22237852.566978805</v>
      </c>
      <c r="K2791" s="347">
        <f t="shared" si="161"/>
        <v>8425493596.8114729</v>
      </c>
      <c r="L2791" s="39"/>
      <c r="M2791" s="333"/>
      <c r="N2791" s="333"/>
      <c r="O2791" s="332"/>
    </row>
    <row r="2792" spans="1:15" s="7" customFormat="1" ht="15">
      <c r="A2792" s="81"/>
      <c r="B2792" s="141"/>
      <c r="C2792" s="102" t="s">
        <v>162</v>
      </c>
      <c r="D2792" s="32" t="s">
        <v>74</v>
      </c>
      <c r="E2792" s="33"/>
      <c r="F2792" s="303">
        <v>9774320.1731070001</v>
      </c>
      <c r="G2792" s="75" t="s">
        <v>2064</v>
      </c>
      <c r="H2792" s="55">
        <v>7493657.21</v>
      </c>
      <c r="I2792" s="369" t="s">
        <v>2068</v>
      </c>
      <c r="J2792" s="331">
        <f t="shared" si="160"/>
        <v>2280662.9631070001</v>
      </c>
      <c r="K2792" s="347">
        <f t="shared" si="161"/>
        <v>8447731449.3784513</v>
      </c>
      <c r="L2792" s="39"/>
      <c r="M2792" s="333"/>
      <c r="N2792" s="333"/>
      <c r="O2792" s="332"/>
    </row>
    <row r="2793" spans="1:15" s="7" customFormat="1" ht="15">
      <c r="A2793" s="81"/>
      <c r="B2793" s="141"/>
      <c r="C2793" s="398" t="s">
        <v>181</v>
      </c>
      <c r="D2793" s="400" t="s">
        <v>296</v>
      </c>
      <c r="E2793" s="33"/>
      <c r="F2793" s="95">
        <v>24526689.867841873</v>
      </c>
      <c r="G2793" s="75" t="s">
        <v>2064</v>
      </c>
      <c r="H2793" s="47">
        <v>49965392.789999999</v>
      </c>
      <c r="I2793" s="369" t="s">
        <v>1101</v>
      </c>
      <c r="J2793" s="331">
        <f t="shared" si="160"/>
        <v>-25438702.922158126</v>
      </c>
      <c r="K2793" s="347">
        <f t="shared" si="161"/>
        <v>8450012112.3415585</v>
      </c>
      <c r="L2793" s="39"/>
      <c r="M2793" s="333"/>
      <c r="N2793" s="333"/>
      <c r="O2793" s="332"/>
    </row>
    <row r="2794" spans="1:15" s="7" customFormat="1" ht="15">
      <c r="A2794" s="81"/>
      <c r="B2794" s="141"/>
      <c r="C2794" s="102"/>
      <c r="D2794" s="32"/>
      <c r="E2794" s="33"/>
      <c r="F2794" s="95"/>
      <c r="G2794" s="75"/>
      <c r="H2794" s="208">
        <f>18478603+15748491.5+107358.78+1815219.04</f>
        <v>36149672.32</v>
      </c>
      <c r="I2794" s="330" t="s">
        <v>1330</v>
      </c>
      <c r="J2794" s="331">
        <f t="shared" si="160"/>
        <v>-36149672.32</v>
      </c>
      <c r="K2794" s="347">
        <f t="shared" si="161"/>
        <v>8424573409.4194002</v>
      </c>
      <c r="L2794" s="344"/>
      <c r="M2794" s="333"/>
      <c r="N2794" s="333"/>
      <c r="O2794" s="332"/>
    </row>
    <row r="2795" spans="1:15" s="7" customFormat="1" ht="15">
      <c r="A2795" s="81"/>
      <c r="B2795" s="141"/>
      <c r="C2795" s="102"/>
      <c r="D2795" s="32"/>
      <c r="E2795" s="33"/>
      <c r="F2795" s="95"/>
      <c r="G2795" s="75"/>
      <c r="H2795" s="208">
        <v>16819479.800000001</v>
      </c>
      <c r="I2795" s="330" t="s">
        <v>1070</v>
      </c>
      <c r="J2795" s="331">
        <f t="shared" si="160"/>
        <v>-16819479.800000001</v>
      </c>
      <c r="K2795" s="347">
        <f t="shared" si="161"/>
        <v>8388423737.0994005</v>
      </c>
      <c r="L2795" s="39" t="s">
        <v>2005</v>
      </c>
      <c r="M2795" s="333"/>
      <c r="N2795" s="333"/>
      <c r="O2795" s="332"/>
    </row>
    <row r="2796" spans="1:15" s="7" customFormat="1" ht="15">
      <c r="A2796" s="81"/>
      <c r="B2796" s="335" t="s">
        <v>2069</v>
      </c>
      <c r="C2796" s="313"/>
      <c r="D2796" s="327"/>
      <c r="E2796" s="328"/>
      <c r="F2796" s="329"/>
      <c r="G2796" s="70"/>
      <c r="H2796" s="87"/>
      <c r="I2796" s="336"/>
      <c r="J2796" s="331"/>
      <c r="K2796" s="349">
        <f t="shared" si="161"/>
        <v>8371604257.2994003</v>
      </c>
      <c r="L2796" s="39"/>
      <c r="M2796" s="338"/>
      <c r="N2796" s="338">
        <v>8388423737.0993996</v>
      </c>
      <c r="O2796" s="332"/>
    </row>
    <row r="2797" spans="1:15" s="7" customFormat="1" ht="15">
      <c r="B2797" s="57"/>
      <c r="D2797" s="200"/>
      <c r="E2797" s="52"/>
      <c r="F2797" s="163"/>
      <c r="G2797" s="76"/>
      <c r="H2797" s="47"/>
      <c r="I2797" s="386"/>
      <c r="J2797" s="393"/>
      <c r="K2797" s="320"/>
      <c r="L2797" s="344"/>
      <c r="M2797" s="345"/>
      <c r="N2797" s="345"/>
      <c r="O2797" s="316"/>
    </row>
    <row r="2798" spans="1:15" s="7" customFormat="1" ht="15.75">
      <c r="A2798" s="357">
        <v>56</v>
      </c>
      <c r="B2798" s="210" t="s">
        <v>17</v>
      </c>
      <c r="C2798" s="401" t="s">
        <v>2070</v>
      </c>
      <c r="D2798" s="200" t="s">
        <v>2071</v>
      </c>
      <c r="E2798" s="52"/>
      <c r="F2798" s="364">
        <v>25791657.835944001</v>
      </c>
      <c r="G2798" s="3"/>
      <c r="H2798" s="47">
        <v>25791552.809999999</v>
      </c>
      <c r="I2798" s="3"/>
      <c r="J2798" s="37">
        <f>F2798-H2798</f>
        <v>105.02594400197268</v>
      </c>
      <c r="K2798" s="3"/>
      <c r="L2798" s="4"/>
      <c r="M2798" s="402"/>
      <c r="N2798" s="333"/>
      <c r="O2798" s="316"/>
    </row>
    <row r="2799" spans="1:15" s="7" customFormat="1" ht="15.75">
      <c r="A2799" s="357"/>
      <c r="B2799" s="210"/>
      <c r="C2799" s="401" t="s">
        <v>2072</v>
      </c>
      <c r="D2799" s="200" t="s">
        <v>1092</v>
      </c>
      <c r="E2799" s="52"/>
      <c r="F2799" s="364">
        <v>132021829.98891601</v>
      </c>
      <c r="G2799" s="3"/>
      <c r="H2799" s="47">
        <v>125735076.23999999</v>
      </c>
      <c r="I2799" s="3"/>
      <c r="J2799" s="37">
        <f>F2799-H2799</f>
        <v>6286753.748916015</v>
      </c>
      <c r="K2799" s="37">
        <f t="shared" ref="K2799:K2862" si="162">K2798+J2798</f>
        <v>105.02594400197268</v>
      </c>
      <c r="L2799" s="4"/>
      <c r="M2799" s="402"/>
      <c r="N2799" s="333"/>
      <c r="O2799" s="316"/>
    </row>
    <row r="2800" spans="1:15" s="7" customFormat="1" ht="15.75">
      <c r="A2800" s="357"/>
      <c r="B2800" s="210"/>
      <c r="C2800" s="401" t="s">
        <v>2073</v>
      </c>
      <c r="D2800" s="200" t="s">
        <v>52</v>
      </c>
      <c r="E2800" s="52"/>
      <c r="F2800" s="364">
        <v>218823324.86879554</v>
      </c>
      <c r="G2800" s="3"/>
      <c r="H2800" s="47">
        <v>208403166.53999999</v>
      </c>
      <c r="I2800" s="3"/>
      <c r="J2800" s="37">
        <f t="shared" ref="J2800:J2863" si="163">F2800-H2800</f>
        <v>10420158.328795552</v>
      </c>
      <c r="K2800" s="37">
        <f t="shared" si="162"/>
        <v>6286858.774860017</v>
      </c>
      <c r="L2800" s="4"/>
      <c r="M2800" s="402"/>
      <c r="N2800" s="333"/>
      <c r="O2800" s="316"/>
    </row>
    <row r="2801" spans="1:15" s="7" customFormat="1" ht="15.75">
      <c r="A2801" s="357"/>
      <c r="B2801" s="210"/>
      <c r="C2801" s="401" t="s">
        <v>2074</v>
      </c>
      <c r="D2801" s="200" t="s">
        <v>215</v>
      </c>
      <c r="E2801" s="52"/>
      <c r="F2801" s="364">
        <v>351989082.61234194</v>
      </c>
      <c r="G2801" s="3"/>
      <c r="H2801" s="47">
        <v>335227697.73000002</v>
      </c>
      <c r="I2801" s="3"/>
      <c r="J2801" s="37">
        <f t="shared" si="163"/>
        <v>16761384.882341921</v>
      </c>
      <c r="K2801" s="37">
        <f t="shared" si="162"/>
        <v>16707017.103655569</v>
      </c>
      <c r="L2801" s="4"/>
      <c r="M2801" s="402"/>
      <c r="N2801" s="333"/>
      <c r="O2801" s="316"/>
    </row>
    <row r="2802" spans="1:15" s="7" customFormat="1" ht="15.75">
      <c r="A2802" s="357"/>
      <c r="B2802" s="403"/>
      <c r="C2802" s="401" t="s">
        <v>2075</v>
      </c>
      <c r="D2802" s="200" t="s">
        <v>65</v>
      </c>
      <c r="E2802" s="52"/>
      <c r="F2802" s="364">
        <v>261187241.54215774</v>
      </c>
      <c r="G2802" s="3"/>
      <c r="H2802" s="47">
        <v>248749753.84999999</v>
      </c>
      <c r="I2802" s="3"/>
      <c r="J2802" s="37">
        <f t="shared" si="163"/>
        <v>12437487.692157745</v>
      </c>
      <c r="K2802" s="37">
        <f t="shared" si="162"/>
        <v>33468401.985997491</v>
      </c>
      <c r="L2802" s="4"/>
      <c r="M2802" s="402"/>
      <c r="N2802" s="333"/>
      <c r="O2802" s="316"/>
    </row>
    <row r="2803" spans="1:15" s="7" customFormat="1" ht="15">
      <c r="A2803" s="357"/>
      <c r="B2803" s="210"/>
      <c r="C2803" s="7" t="s">
        <v>1276</v>
      </c>
      <c r="D2803" s="200" t="s">
        <v>71</v>
      </c>
      <c r="E2803" s="52"/>
      <c r="F2803" s="364">
        <v>349691425.38</v>
      </c>
      <c r="G2803" s="125" t="s">
        <v>1277</v>
      </c>
      <c r="H2803" s="47">
        <v>0</v>
      </c>
      <c r="I2803" s="369"/>
      <c r="J2803" s="37">
        <f t="shared" si="163"/>
        <v>349691425.38</v>
      </c>
      <c r="K2803" s="37">
        <f t="shared" si="162"/>
        <v>45905889.678155236</v>
      </c>
      <c r="L2803" s="39"/>
      <c r="M2803" s="402"/>
      <c r="N2803" s="333"/>
      <c r="O2803" s="316"/>
    </row>
    <row r="2804" spans="1:15" s="7" customFormat="1" ht="15">
      <c r="A2804" s="357"/>
      <c r="B2804" s="210"/>
      <c r="C2804" s="401" t="s">
        <v>2076</v>
      </c>
      <c r="D2804" s="200" t="s">
        <v>26</v>
      </c>
      <c r="E2804" s="52"/>
      <c r="F2804" s="364">
        <v>480762220.01694399</v>
      </c>
      <c r="G2804" s="125"/>
      <c r="H2804" s="47">
        <v>480762220.01999998</v>
      </c>
      <c r="I2804" s="369"/>
      <c r="J2804" s="37">
        <f t="shared" si="163"/>
        <v>-3.0559897422790527E-3</v>
      </c>
      <c r="K2804" s="37">
        <f t="shared" si="162"/>
        <v>395597315.05815524</v>
      </c>
      <c r="L2804" s="39" t="s">
        <v>1884</v>
      </c>
      <c r="M2804" s="402"/>
      <c r="N2804" s="333"/>
      <c r="O2804" s="316"/>
    </row>
    <row r="2805" spans="1:15" s="7" customFormat="1" ht="15">
      <c r="A2805" s="357"/>
      <c r="B2805" s="210"/>
      <c r="C2805" s="7" t="s">
        <v>1282</v>
      </c>
      <c r="D2805" s="200" t="s">
        <v>223</v>
      </c>
      <c r="E2805" s="52"/>
      <c r="F2805" s="364">
        <v>267307085.97999999</v>
      </c>
      <c r="G2805" s="404">
        <v>41885</v>
      </c>
      <c r="H2805" s="47">
        <v>0</v>
      </c>
      <c r="I2805" s="369"/>
      <c r="J2805" s="37">
        <f t="shared" si="163"/>
        <v>267307085.97999999</v>
      </c>
      <c r="K2805" s="37">
        <f t="shared" si="162"/>
        <v>395597315.05509925</v>
      </c>
      <c r="L2805" s="39"/>
      <c r="M2805" s="402"/>
      <c r="N2805" s="333"/>
      <c r="O2805" s="316"/>
    </row>
    <row r="2806" spans="1:15" s="7" customFormat="1" ht="15">
      <c r="A2806" s="357"/>
      <c r="B2806" s="210"/>
      <c r="C2806" s="7" t="s">
        <v>1285</v>
      </c>
      <c r="D2806" s="200" t="s">
        <v>367</v>
      </c>
      <c r="E2806" s="52"/>
      <c r="F2806" s="364">
        <v>433473652.00999999</v>
      </c>
      <c r="G2806" s="404">
        <v>41896</v>
      </c>
      <c r="H2806" s="47">
        <v>0</v>
      </c>
      <c r="I2806" s="365"/>
      <c r="J2806" s="37">
        <f t="shared" si="163"/>
        <v>433473652.00999999</v>
      </c>
      <c r="K2806" s="37">
        <f t="shared" si="162"/>
        <v>662904401.03509927</v>
      </c>
      <c r="L2806" s="39"/>
      <c r="M2806" s="402"/>
      <c r="N2806" s="333"/>
      <c r="O2806" s="316"/>
    </row>
    <row r="2807" spans="1:15" s="7" customFormat="1" ht="15">
      <c r="A2807" s="357"/>
      <c r="B2807" s="210"/>
      <c r="C2807" s="7" t="s">
        <v>1287</v>
      </c>
      <c r="D2807" s="200" t="s">
        <v>368</v>
      </c>
      <c r="E2807" s="52"/>
      <c r="F2807" s="364">
        <v>275190365.13</v>
      </c>
      <c r="G2807" s="125" t="s">
        <v>2077</v>
      </c>
      <c r="H2807" s="47"/>
      <c r="I2807" s="405"/>
      <c r="J2807" s="37">
        <f t="shared" si="163"/>
        <v>275190365.13</v>
      </c>
      <c r="K2807" s="37">
        <f t="shared" si="162"/>
        <v>1096378053.0450993</v>
      </c>
      <c r="L2807" s="39"/>
      <c r="M2807" s="402"/>
      <c r="N2807" s="333"/>
      <c r="O2807" s="316"/>
    </row>
    <row r="2808" spans="1:15" s="7" customFormat="1" ht="15">
      <c r="A2808" s="357"/>
      <c r="B2808" s="210"/>
      <c r="C2808" s="406"/>
      <c r="D2808" s="200"/>
      <c r="E2808" s="52"/>
      <c r="F2808" s="364">
        <v>-530642356.07722503</v>
      </c>
      <c r="G2808" s="404"/>
      <c r="H2808" s="47"/>
      <c r="I2808" s="365"/>
      <c r="J2808" s="37">
        <f t="shared" si="163"/>
        <v>-530642356.07722503</v>
      </c>
      <c r="K2808" s="37">
        <f t="shared" si="162"/>
        <v>1371568418.1750994</v>
      </c>
      <c r="L2808" s="39"/>
      <c r="M2808" s="402"/>
      <c r="N2808" s="333"/>
      <c r="O2808" s="316"/>
    </row>
    <row r="2809" spans="1:15" s="7" customFormat="1" ht="15">
      <c r="A2809" s="357"/>
      <c r="B2809" s="210"/>
      <c r="C2809" s="340" t="s">
        <v>1557</v>
      </c>
      <c r="D2809" s="200" t="s">
        <v>370</v>
      </c>
      <c r="E2809" s="52"/>
      <c r="F2809" s="364">
        <v>181994222.44999999</v>
      </c>
      <c r="G2809" s="404">
        <v>42035</v>
      </c>
      <c r="H2809" s="47">
        <v>238880306</v>
      </c>
      <c r="I2809" s="365"/>
      <c r="J2809" s="37">
        <f t="shared" si="163"/>
        <v>-56886083.550000012</v>
      </c>
      <c r="K2809" s="37">
        <f t="shared" si="162"/>
        <v>840926062.0978744</v>
      </c>
      <c r="L2809" s="39" t="s">
        <v>1884</v>
      </c>
      <c r="M2809" s="402"/>
      <c r="N2809" s="333"/>
      <c r="O2809" s="316"/>
    </row>
    <row r="2810" spans="1:15" s="7" customFormat="1" ht="15">
      <c r="A2810" s="357"/>
      <c r="B2810" s="210"/>
      <c r="C2810" s="7" t="s">
        <v>1559</v>
      </c>
      <c r="D2810" s="200" t="s">
        <v>371</v>
      </c>
      <c r="E2810" s="52"/>
      <c r="F2810" s="364">
        <v>148054341.09340876</v>
      </c>
      <c r="G2810" s="404">
        <v>42035</v>
      </c>
      <c r="H2810" s="47">
        <v>0</v>
      </c>
      <c r="I2810" s="365"/>
      <c r="J2810" s="37">
        <f t="shared" si="163"/>
        <v>148054341.09340876</v>
      </c>
      <c r="K2810" s="37">
        <f t="shared" si="162"/>
        <v>784039978.54787445</v>
      </c>
      <c r="L2810" s="39"/>
      <c r="M2810" s="402"/>
      <c r="N2810" s="333"/>
      <c r="O2810" s="316"/>
    </row>
    <row r="2811" spans="1:15" s="7" customFormat="1" ht="15">
      <c r="A2811" s="357"/>
      <c r="B2811" s="210"/>
      <c r="C2811" s="406" t="s">
        <v>1858</v>
      </c>
      <c r="D2811" s="200" t="s">
        <v>372</v>
      </c>
      <c r="E2811" s="52"/>
      <c r="F2811" s="364">
        <v>41179516.2426375</v>
      </c>
      <c r="G2811" s="404">
        <v>42035</v>
      </c>
      <c r="H2811" s="47">
        <v>54719053.5</v>
      </c>
      <c r="I2811" s="365"/>
      <c r="J2811" s="37">
        <f t="shared" si="163"/>
        <v>-13539537.2573625</v>
      </c>
      <c r="K2811" s="37">
        <f t="shared" si="162"/>
        <v>932094319.64128327</v>
      </c>
      <c r="L2811" s="39"/>
      <c r="M2811" s="402"/>
      <c r="N2811" s="333"/>
      <c r="O2811" s="316"/>
    </row>
    <row r="2812" spans="1:15" s="7" customFormat="1" ht="15">
      <c r="A2812" s="357"/>
      <c r="B2812" s="210"/>
      <c r="C2812" s="7" t="s">
        <v>1860</v>
      </c>
      <c r="D2812" s="200" t="s">
        <v>373</v>
      </c>
      <c r="E2812" s="52"/>
      <c r="F2812" s="364">
        <v>103858460</v>
      </c>
      <c r="G2812" s="125" t="s">
        <v>1861</v>
      </c>
      <c r="H2812" s="47">
        <v>164734458.84</v>
      </c>
      <c r="I2812" s="365" t="s">
        <v>2018</v>
      </c>
      <c r="J2812" s="37">
        <f t="shared" si="163"/>
        <v>-60875998.840000004</v>
      </c>
      <c r="K2812" s="37">
        <f t="shared" si="162"/>
        <v>918554782.38392079</v>
      </c>
      <c r="L2812" s="39"/>
      <c r="M2812" s="402"/>
      <c r="N2812" s="333"/>
      <c r="O2812" s="316"/>
    </row>
    <row r="2813" spans="1:15" s="7" customFormat="1" ht="15">
      <c r="A2813" s="357"/>
      <c r="B2813" s="210"/>
      <c r="C2813" s="401" t="s">
        <v>2078</v>
      </c>
      <c r="D2813" s="200" t="s">
        <v>92</v>
      </c>
      <c r="E2813" s="52"/>
      <c r="F2813" s="364">
        <v>366884394.21611255</v>
      </c>
      <c r="G2813" s="125"/>
      <c r="H2813" s="47">
        <v>349413708.77999997</v>
      </c>
      <c r="I2813" s="405">
        <v>42190</v>
      </c>
      <c r="J2813" s="37">
        <f t="shared" si="163"/>
        <v>17470685.436112583</v>
      </c>
      <c r="K2813" s="37">
        <f t="shared" si="162"/>
        <v>857678783.54392076</v>
      </c>
      <c r="L2813" s="39"/>
      <c r="M2813" s="402"/>
      <c r="N2813" s="333"/>
      <c r="O2813" s="316"/>
    </row>
    <row r="2814" spans="1:15" s="7" customFormat="1" ht="15.75">
      <c r="A2814" s="357"/>
      <c r="B2814" s="210"/>
      <c r="C2814" s="401" t="s">
        <v>2079</v>
      </c>
      <c r="D2814" s="200" t="s">
        <v>63</v>
      </c>
      <c r="E2814" s="52"/>
      <c r="F2814" s="364">
        <v>298407230.13804883</v>
      </c>
      <c r="G2814" s="125"/>
      <c r="H2814" s="47">
        <f>100000000+42098681.02+100000000+51788245.77</f>
        <v>293886926.79000002</v>
      </c>
      <c r="I2814" s="405">
        <v>42225</v>
      </c>
      <c r="J2814" s="37">
        <f t="shared" si="163"/>
        <v>4520303.3480488062</v>
      </c>
      <c r="K2814" s="37">
        <f t="shared" si="162"/>
        <v>875149468.9800334</v>
      </c>
      <c r="L2814" s="407"/>
      <c r="M2814" s="402"/>
      <c r="N2814" s="333"/>
      <c r="O2814" s="316"/>
    </row>
    <row r="2815" spans="1:15" s="7" customFormat="1" ht="15">
      <c r="A2815" s="357"/>
      <c r="B2815" s="210"/>
      <c r="C2815" s="401" t="s">
        <v>2080</v>
      </c>
      <c r="D2815" s="200" t="s">
        <v>374</v>
      </c>
      <c r="E2815" s="52"/>
      <c r="F2815" s="364">
        <v>318755316.11242408</v>
      </c>
      <c r="G2815" s="125"/>
      <c r="H2815" s="47">
        <f>51788245.77+100000000+100000000+42098681.02</f>
        <v>293886926.79000002</v>
      </c>
      <c r="I2815" s="365" t="s">
        <v>2081</v>
      </c>
      <c r="J2815" s="37">
        <f t="shared" si="163"/>
        <v>24868389.322424054</v>
      </c>
      <c r="K2815" s="37">
        <f t="shared" si="162"/>
        <v>879669772.3280822</v>
      </c>
      <c r="L2815" s="39"/>
      <c r="M2815" s="402"/>
      <c r="N2815" s="333"/>
      <c r="O2815" s="316"/>
    </row>
    <row r="2816" spans="1:15" s="7" customFormat="1" ht="15">
      <c r="A2816" s="357"/>
      <c r="B2816" s="210"/>
      <c r="C2816" s="7" t="s">
        <v>1888</v>
      </c>
      <c r="D2816" s="200" t="s">
        <v>376</v>
      </c>
      <c r="E2816" s="52"/>
      <c r="F2816" s="364">
        <v>288285302.97000003</v>
      </c>
      <c r="G2816" s="125" t="s">
        <v>2082</v>
      </c>
      <c r="H2816" s="47">
        <v>285783459.97000003</v>
      </c>
      <c r="I2816" s="369" t="s">
        <v>2083</v>
      </c>
      <c r="J2816" s="37">
        <f t="shared" si="163"/>
        <v>2501843</v>
      </c>
      <c r="K2816" s="37">
        <f t="shared" si="162"/>
        <v>904538161.65050626</v>
      </c>
      <c r="L2816" s="39"/>
      <c r="M2816" s="402"/>
      <c r="N2816" s="333"/>
    </row>
    <row r="2817" spans="1:15" s="7" customFormat="1" ht="15">
      <c r="A2817" s="357"/>
      <c r="B2817" s="210"/>
      <c r="C2817" s="7" t="s">
        <v>1892</v>
      </c>
      <c r="D2817" s="200" t="s">
        <v>54</v>
      </c>
      <c r="E2817" s="52"/>
      <c r="F2817" s="364">
        <v>184758511.78</v>
      </c>
      <c r="G2817" s="125" t="s">
        <v>2081</v>
      </c>
      <c r="H2817" s="47">
        <v>98621989.129999995</v>
      </c>
      <c r="I2817" s="365"/>
      <c r="J2817" s="37">
        <f t="shared" si="163"/>
        <v>86136522.650000006</v>
      </c>
      <c r="K2817" s="37">
        <f t="shared" si="162"/>
        <v>907040004.65050626</v>
      </c>
      <c r="L2817" s="39"/>
      <c r="M2817" s="402"/>
      <c r="N2817" s="333"/>
      <c r="O2817" s="350"/>
    </row>
    <row r="2818" spans="1:15" s="7" customFormat="1" ht="15">
      <c r="A2818" s="357"/>
      <c r="B2818" s="210"/>
      <c r="C2818" s="7" t="s">
        <v>1864</v>
      </c>
      <c r="D2818" s="200" t="s">
        <v>379</v>
      </c>
      <c r="E2818" s="52"/>
      <c r="F2818" s="364">
        <v>219286509.34</v>
      </c>
      <c r="G2818" s="125" t="s">
        <v>1865</v>
      </c>
      <c r="H2818" s="47">
        <v>62653288.380000003</v>
      </c>
      <c r="I2818" s="369" t="s">
        <v>1469</v>
      </c>
      <c r="J2818" s="37">
        <f t="shared" si="163"/>
        <v>156633220.96000001</v>
      </c>
      <c r="K2818" s="37">
        <f t="shared" si="162"/>
        <v>993176527.30050623</v>
      </c>
      <c r="L2818" s="39"/>
      <c r="M2818" s="402"/>
      <c r="N2818" s="333"/>
      <c r="O2818" s="350"/>
    </row>
    <row r="2819" spans="1:15" s="7" customFormat="1" ht="15">
      <c r="A2819" s="357"/>
      <c r="B2819" s="210"/>
      <c r="C2819" s="7" t="s">
        <v>1897</v>
      </c>
      <c r="D2819" s="200" t="s">
        <v>381</v>
      </c>
      <c r="E2819" s="52"/>
      <c r="F2819" s="364">
        <v>345176961.94</v>
      </c>
      <c r="G2819" s="125" t="s">
        <v>1898</v>
      </c>
      <c r="H2819" s="47">
        <v>83537717.5</v>
      </c>
      <c r="I2819" s="369" t="s">
        <v>2084</v>
      </c>
      <c r="J2819" s="37">
        <f t="shared" si="163"/>
        <v>261639244.44</v>
      </c>
      <c r="K2819" s="37">
        <f t="shared" si="162"/>
        <v>1149809748.2605062</v>
      </c>
      <c r="L2819" s="39"/>
      <c r="M2819" s="402"/>
      <c r="N2819" s="333"/>
      <c r="O2819" s="350"/>
    </row>
    <row r="2820" spans="1:15" s="7" customFormat="1" ht="15">
      <c r="A2820" s="357"/>
      <c r="B2820" s="210"/>
      <c r="C2820" s="7" t="s">
        <v>1171</v>
      </c>
      <c r="D2820" s="200" t="s">
        <v>383</v>
      </c>
      <c r="E2820" s="52"/>
      <c r="F2820" s="364">
        <v>220980792.97999999</v>
      </c>
      <c r="G2820" s="125" t="s">
        <v>1900</v>
      </c>
      <c r="H2820" s="47">
        <v>62653288.390000001</v>
      </c>
      <c r="I2820" s="369" t="s">
        <v>2085</v>
      </c>
      <c r="J2820" s="37">
        <f t="shared" si="163"/>
        <v>158327504.58999997</v>
      </c>
      <c r="K2820" s="37">
        <f t="shared" si="162"/>
        <v>1411448992.7005062</v>
      </c>
      <c r="L2820" s="39"/>
      <c r="M2820" s="402"/>
      <c r="N2820" s="333"/>
      <c r="O2820" s="350"/>
    </row>
    <row r="2821" spans="1:15" s="7" customFormat="1" ht="15">
      <c r="A2821" s="357"/>
      <c r="B2821" s="210"/>
      <c r="C2821" s="7" t="s">
        <v>461</v>
      </c>
      <c r="D2821" s="200" t="s">
        <v>384</v>
      </c>
      <c r="E2821" s="52"/>
      <c r="F2821" s="364">
        <v>295103318.67000002</v>
      </c>
      <c r="G2821" s="125" t="s">
        <v>2086</v>
      </c>
      <c r="H2821" s="47">
        <v>475450461.22000003</v>
      </c>
      <c r="I2821" s="369" t="s">
        <v>1914</v>
      </c>
      <c r="J2821" s="37">
        <f t="shared" si="163"/>
        <v>-180347142.55000001</v>
      </c>
      <c r="K2821" s="37">
        <f t="shared" si="162"/>
        <v>1569776497.2905061</v>
      </c>
      <c r="L2821" s="39" t="s">
        <v>1915</v>
      </c>
      <c r="M2821" s="402"/>
      <c r="N2821" s="333"/>
      <c r="O2821" s="350"/>
    </row>
    <row r="2822" spans="1:15" s="7" customFormat="1" ht="15">
      <c r="A2822" s="357"/>
      <c r="B2822" s="210"/>
      <c r="C2822" s="7" t="s">
        <v>465</v>
      </c>
      <c r="D2822" s="200" t="s">
        <v>385</v>
      </c>
      <c r="E2822" s="52"/>
      <c r="F2822" s="364">
        <v>249796741.05000001</v>
      </c>
      <c r="G2822" s="125" t="s">
        <v>1906</v>
      </c>
      <c r="H2822" s="47">
        <v>65747992.75</v>
      </c>
      <c r="I2822" s="369" t="s">
        <v>2087</v>
      </c>
      <c r="J2822" s="37">
        <f t="shared" si="163"/>
        <v>184048748.30000001</v>
      </c>
      <c r="K2822" s="37">
        <f t="shared" si="162"/>
        <v>1389429354.7405062</v>
      </c>
      <c r="L2822" s="39"/>
      <c r="M2822" s="402"/>
      <c r="N2822" s="333"/>
      <c r="O2822" s="350"/>
    </row>
    <row r="2823" spans="1:15" s="7" customFormat="1" ht="15">
      <c r="A2823" s="357"/>
      <c r="B2823" s="210"/>
      <c r="C2823" s="7" t="s">
        <v>467</v>
      </c>
      <c r="D2823" s="200" t="s">
        <v>386</v>
      </c>
      <c r="E2823" s="52"/>
      <c r="F2823" s="364">
        <v>333505629.13999999</v>
      </c>
      <c r="G2823" s="125" t="s">
        <v>1959</v>
      </c>
      <c r="H2823" s="47">
        <v>65747992.75</v>
      </c>
      <c r="I2823" s="369" t="s">
        <v>2088</v>
      </c>
      <c r="J2823" s="37">
        <f t="shared" si="163"/>
        <v>267757636.38999999</v>
      </c>
      <c r="K2823" s="37">
        <f t="shared" si="162"/>
        <v>1573478103.0405061</v>
      </c>
      <c r="L2823" s="39"/>
      <c r="M2823" s="402"/>
      <c r="N2823" s="333"/>
      <c r="O2823" s="350"/>
    </row>
    <row r="2824" spans="1:15" s="7" customFormat="1" ht="15">
      <c r="A2824" s="357"/>
      <c r="B2824" s="210"/>
      <c r="C2824" s="7" t="s">
        <v>469</v>
      </c>
      <c r="D2824" s="200" t="s">
        <v>388</v>
      </c>
      <c r="E2824" s="52"/>
      <c r="F2824" s="364">
        <v>423298701.50999999</v>
      </c>
      <c r="G2824" s="125" t="s">
        <v>1775</v>
      </c>
      <c r="H2824" s="47">
        <v>49310994.57</v>
      </c>
      <c r="I2824" s="369" t="s">
        <v>1622</v>
      </c>
      <c r="J2824" s="37">
        <f t="shared" si="163"/>
        <v>373987706.94</v>
      </c>
      <c r="K2824" s="37">
        <f t="shared" si="162"/>
        <v>1841235739.4305062</v>
      </c>
      <c r="L2824" s="39"/>
      <c r="M2824" s="402"/>
      <c r="N2824" s="333"/>
      <c r="O2824" s="350"/>
    </row>
    <row r="2825" spans="1:15" s="7" customFormat="1" ht="15">
      <c r="A2825" s="357"/>
      <c r="B2825" s="210"/>
      <c r="C2825" s="7" t="s">
        <v>471</v>
      </c>
      <c r="D2825" s="200" t="s">
        <v>39</v>
      </c>
      <c r="E2825" s="52"/>
      <c r="F2825" s="364">
        <v>1096974804.9000001</v>
      </c>
      <c r="G2825" s="125" t="s">
        <v>2089</v>
      </c>
      <c r="H2825" s="47">
        <v>52614474.520000003</v>
      </c>
      <c r="I2825" s="365" t="s">
        <v>2090</v>
      </c>
      <c r="J2825" s="37">
        <f t="shared" si="163"/>
        <v>1044360330.3800001</v>
      </c>
      <c r="K2825" s="37">
        <f t="shared" si="162"/>
        <v>2215223446.3705063</v>
      </c>
      <c r="L2825" s="39"/>
      <c r="M2825" s="402"/>
      <c r="N2825" s="333"/>
      <c r="O2825" s="350"/>
    </row>
    <row r="2826" spans="1:15" s="7" customFormat="1" ht="15">
      <c r="A2826" s="357"/>
      <c r="B2826" s="210"/>
      <c r="C2826" s="7" t="s">
        <v>398</v>
      </c>
      <c r="D2826" s="200" t="s">
        <v>390</v>
      </c>
      <c r="E2826" s="52"/>
      <c r="F2826" s="364">
        <v>257069005.03</v>
      </c>
      <c r="G2826" s="125" t="s">
        <v>1778</v>
      </c>
      <c r="H2826" s="47">
        <v>42091579.619999997</v>
      </c>
      <c r="I2826" s="369" t="s">
        <v>1185</v>
      </c>
      <c r="J2826" s="37">
        <f t="shared" si="163"/>
        <v>214977425.41</v>
      </c>
      <c r="K2826" s="37">
        <f t="shared" si="162"/>
        <v>3259583776.7505064</v>
      </c>
      <c r="L2826" s="39"/>
      <c r="M2826" s="402"/>
      <c r="N2826" s="333"/>
      <c r="O2826" s="350"/>
    </row>
    <row r="2827" spans="1:15" s="7" customFormat="1" ht="15">
      <c r="A2827" s="357"/>
      <c r="B2827" s="210"/>
      <c r="C2827" s="7" t="s">
        <v>1403</v>
      </c>
      <c r="D2827" s="200" t="s">
        <v>392</v>
      </c>
      <c r="E2827" s="52"/>
      <c r="F2827" s="364">
        <v>84389361.469999999</v>
      </c>
      <c r="G2827" s="125" t="s">
        <v>1912</v>
      </c>
      <c r="H2827" s="47">
        <v>52614474.520000003</v>
      </c>
      <c r="I2827" s="369" t="s">
        <v>2091</v>
      </c>
      <c r="J2827" s="37">
        <f t="shared" si="163"/>
        <v>31774886.949999996</v>
      </c>
      <c r="K2827" s="37">
        <f t="shared" si="162"/>
        <v>3474561202.1605062</v>
      </c>
      <c r="L2827" s="39"/>
      <c r="M2827" s="402"/>
      <c r="N2827" s="333"/>
      <c r="O2827" s="350"/>
    </row>
    <row r="2828" spans="1:15" s="7" customFormat="1" ht="15">
      <c r="A2828" s="357"/>
      <c r="B2828" s="210"/>
      <c r="C2828" s="7" t="s">
        <v>401</v>
      </c>
      <c r="D2828" s="200" t="s">
        <v>393</v>
      </c>
      <c r="E2828" s="52"/>
      <c r="F2828" s="364">
        <v>328721082.12</v>
      </c>
      <c r="G2828" s="125" t="s">
        <v>1180</v>
      </c>
      <c r="H2828" s="47">
        <v>37882421.649999999</v>
      </c>
      <c r="I2828" s="408" t="s">
        <v>2092</v>
      </c>
      <c r="J2828" s="37">
        <f t="shared" si="163"/>
        <v>290838660.47000003</v>
      </c>
      <c r="K2828" s="37">
        <f t="shared" si="162"/>
        <v>3506336089.1105061</v>
      </c>
      <c r="L2828" s="39"/>
      <c r="M2828" s="402"/>
      <c r="N2828" s="333"/>
      <c r="O2828" s="350"/>
    </row>
    <row r="2829" spans="1:15" s="7" customFormat="1" ht="15">
      <c r="A2829" s="357"/>
      <c r="B2829" s="210"/>
      <c r="C2829" s="7" t="s">
        <v>404</v>
      </c>
      <c r="D2829" s="200" t="s">
        <v>528</v>
      </c>
      <c r="E2829" s="52"/>
      <c r="F2829" s="364">
        <v>96087011.670000002</v>
      </c>
      <c r="G2829" s="125" t="s">
        <v>1780</v>
      </c>
      <c r="H2829" s="47">
        <f>23150368.79+27385941.68</f>
        <v>50536310.469999999</v>
      </c>
      <c r="I2829" s="365" t="s">
        <v>2093</v>
      </c>
      <c r="J2829" s="37">
        <f t="shared" si="163"/>
        <v>45550701.200000003</v>
      </c>
      <c r="K2829" s="37">
        <f t="shared" si="162"/>
        <v>3797174749.5805063</v>
      </c>
      <c r="L2829" s="39"/>
      <c r="M2829" s="402"/>
      <c r="N2829" s="333"/>
      <c r="O2829" s="350"/>
    </row>
    <row r="2830" spans="1:15" s="7" customFormat="1" ht="15">
      <c r="A2830" s="357"/>
      <c r="B2830" s="210"/>
      <c r="C2830" s="41" t="s">
        <v>409</v>
      </c>
      <c r="D2830" s="32" t="s">
        <v>35</v>
      </c>
      <c r="E2830" s="33"/>
      <c r="F2830" s="364">
        <v>83557325.709999993</v>
      </c>
      <c r="G2830" s="76" t="s">
        <v>1782</v>
      </c>
      <c r="H2830" s="47">
        <v>358700433.23000002</v>
      </c>
      <c r="I2830" s="365" t="s">
        <v>356</v>
      </c>
      <c r="J2830" s="37">
        <f t="shared" si="163"/>
        <v>-275143107.52000004</v>
      </c>
      <c r="K2830" s="37">
        <f t="shared" si="162"/>
        <v>3842725450.7805061</v>
      </c>
      <c r="L2830" s="39" t="s">
        <v>1853</v>
      </c>
      <c r="M2830" s="402"/>
      <c r="N2830" s="333"/>
      <c r="O2830" s="350"/>
    </row>
    <row r="2831" spans="1:15" s="7" customFormat="1" ht="15">
      <c r="A2831" s="357"/>
      <c r="B2831" s="210"/>
      <c r="C2831" s="41" t="s">
        <v>411</v>
      </c>
      <c r="D2831" s="32" t="s">
        <v>530</v>
      </c>
      <c r="E2831" s="33"/>
      <c r="F2831" s="364">
        <v>406419986.00999999</v>
      </c>
      <c r="G2831" s="76" t="s">
        <v>1409</v>
      </c>
      <c r="H2831" s="47">
        <v>529203893.94</v>
      </c>
      <c r="I2831" s="365" t="s">
        <v>358</v>
      </c>
      <c r="J2831" s="37">
        <f t="shared" si="163"/>
        <v>-122783907.93000001</v>
      </c>
      <c r="K2831" s="37">
        <f t="shared" si="162"/>
        <v>3567582343.2605062</v>
      </c>
      <c r="L2831" s="39" t="s">
        <v>1853</v>
      </c>
      <c r="M2831" s="402"/>
      <c r="N2831" s="333"/>
      <c r="O2831" s="350"/>
    </row>
    <row r="2832" spans="1:15" s="7" customFormat="1" ht="15">
      <c r="A2832" s="357"/>
      <c r="B2832" s="210"/>
      <c r="C2832" s="41" t="s">
        <v>414</v>
      </c>
      <c r="D2832" s="32" t="s">
        <v>532</v>
      </c>
      <c r="E2832" s="33"/>
      <c r="F2832" s="364">
        <v>499369822.64999998</v>
      </c>
      <c r="G2832" s="75">
        <v>42624</v>
      </c>
      <c r="H2832" s="47">
        <v>0</v>
      </c>
      <c r="I2832" s="365"/>
      <c r="J2832" s="37">
        <f t="shared" si="163"/>
        <v>499369822.64999998</v>
      </c>
      <c r="K2832" s="37">
        <f t="shared" si="162"/>
        <v>3444798435.3305063</v>
      </c>
      <c r="L2832" s="39"/>
      <c r="M2832" s="402"/>
      <c r="N2832" s="333"/>
      <c r="O2832" s="350"/>
    </row>
    <row r="2833" spans="1:15" s="7" customFormat="1" ht="15">
      <c r="A2833" s="357"/>
      <c r="B2833" s="210"/>
      <c r="C2833" s="41" t="s">
        <v>1412</v>
      </c>
      <c r="D2833" s="32" t="s">
        <v>534</v>
      </c>
      <c r="E2833" s="33"/>
      <c r="F2833" s="364">
        <v>621487849.20000005</v>
      </c>
      <c r="G2833" s="75">
        <v>42533</v>
      </c>
      <c r="H2833" s="47">
        <v>0</v>
      </c>
      <c r="I2833" s="365"/>
      <c r="J2833" s="37">
        <f t="shared" si="163"/>
        <v>621487849.20000005</v>
      </c>
      <c r="K2833" s="37">
        <f t="shared" si="162"/>
        <v>3944168257.9805064</v>
      </c>
      <c r="L2833" s="60"/>
      <c r="M2833" s="402"/>
      <c r="N2833" s="333"/>
      <c r="O2833" s="350"/>
    </row>
    <row r="2834" spans="1:15" s="7" customFormat="1" ht="15">
      <c r="A2834" s="357"/>
      <c r="B2834" s="210"/>
      <c r="C2834" s="41" t="s">
        <v>609</v>
      </c>
      <c r="D2834" s="32" t="s">
        <v>535</v>
      </c>
      <c r="E2834" s="33"/>
      <c r="F2834" s="364">
        <v>168597524.83000001</v>
      </c>
      <c r="G2834" s="75" t="s">
        <v>2094</v>
      </c>
      <c r="H2834" s="47"/>
      <c r="I2834" s="365"/>
      <c r="J2834" s="37">
        <f t="shared" si="163"/>
        <v>168597524.83000001</v>
      </c>
      <c r="K2834" s="37">
        <f t="shared" si="162"/>
        <v>4565656107.1805067</v>
      </c>
      <c r="L2834" s="39"/>
      <c r="M2834" s="402"/>
      <c r="N2834" s="333"/>
      <c r="O2834" s="350"/>
    </row>
    <row r="2835" spans="1:15" s="7" customFormat="1" ht="15">
      <c r="A2835" s="357"/>
      <c r="B2835" s="210"/>
      <c r="C2835" s="29" t="s">
        <v>1624</v>
      </c>
      <c r="D2835" s="32" t="s">
        <v>536</v>
      </c>
      <c r="E2835" s="33"/>
      <c r="F2835" s="364">
        <v>327204174.74000001</v>
      </c>
      <c r="G2835" s="76" t="s">
        <v>2095</v>
      </c>
      <c r="H2835" s="47"/>
      <c r="I2835" s="365"/>
      <c r="J2835" s="37">
        <f t="shared" si="163"/>
        <v>327204174.74000001</v>
      </c>
      <c r="K2835" s="37">
        <f t="shared" si="162"/>
        <v>4734253632.0105066</v>
      </c>
      <c r="L2835" s="39"/>
      <c r="M2835" s="402"/>
      <c r="N2835" s="333"/>
      <c r="O2835" s="350"/>
    </row>
    <row r="2836" spans="1:15" s="7" customFormat="1" ht="15">
      <c r="A2836" s="357"/>
      <c r="B2836" s="210"/>
      <c r="C2836" s="29" t="s">
        <v>614</v>
      </c>
      <c r="D2836" s="32" t="s">
        <v>43</v>
      </c>
      <c r="E2836" s="33"/>
      <c r="F2836" s="364">
        <v>509630678.20999998</v>
      </c>
      <c r="G2836" s="58" t="s">
        <v>2096</v>
      </c>
      <c r="H2836" s="59">
        <f>406611217.01+21400590.37</f>
        <v>428011807.38</v>
      </c>
      <c r="I2836" s="365"/>
      <c r="J2836" s="37">
        <f t="shared" si="163"/>
        <v>81618870.829999983</v>
      </c>
      <c r="K2836" s="37">
        <f t="shared" si="162"/>
        <v>5061457806.7505064</v>
      </c>
      <c r="L2836" s="55" t="s">
        <v>1917</v>
      </c>
      <c r="M2836" s="402"/>
      <c r="N2836" s="333"/>
      <c r="O2836" s="350"/>
    </row>
    <row r="2837" spans="1:15" s="7" customFormat="1" ht="15">
      <c r="A2837" s="357"/>
      <c r="B2837" s="210"/>
      <c r="C2837" s="29" t="s">
        <v>489</v>
      </c>
      <c r="D2837" s="32" t="s">
        <v>540</v>
      </c>
      <c r="E2837" s="33"/>
      <c r="F2837" s="364">
        <v>1019003542.59</v>
      </c>
      <c r="G2837" s="76" t="s">
        <v>556</v>
      </c>
      <c r="H2837" s="59">
        <f>829760028+43671580.4</f>
        <v>873431608.39999998</v>
      </c>
      <c r="I2837" s="365"/>
      <c r="J2837" s="37">
        <f t="shared" si="163"/>
        <v>145571934.19000006</v>
      </c>
      <c r="K2837" s="37">
        <f t="shared" si="162"/>
        <v>5143076677.5805063</v>
      </c>
      <c r="L2837" s="55" t="s">
        <v>1917</v>
      </c>
      <c r="M2837" s="402"/>
      <c r="N2837" s="333"/>
      <c r="O2837" s="350"/>
    </row>
    <row r="2838" spans="1:15" s="7" customFormat="1" ht="15">
      <c r="A2838" s="357"/>
      <c r="B2838" s="210"/>
      <c r="C2838" s="41" t="s">
        <v>490</v>
      </c>
      <c r="D2838" s="32" t="s">
        <v>542</v>
      </c>
      <c r="E2838" s="33"/>
      <c r="F2838" s="364">
        <v>1202356066.29</v>
      </c>
      <c r="G2838" s="76" t="s">
        <v>1038</v>
      </c>
      <c r="H2838" s="59">
        <f>51529545.7+979061368.3</f>
        <v>1030590914</v>
      </c>
      <c r="I2838" s="365"/>
      <c r="J2838" s="37">
        <f t="shared" si="163"/>
        <v>171765152.28999996</v>
      </c>
      <c r="K2838" s="37">
        <f t="shared" si="162"/>
        <v>5288648611.7705059</v>
      </c>
      <c r="L2838" s="55" t="s">
        <v>1917</v>
      </c>
      <c r="M2838" s="402"/>
      <c r="N2838" s="333"/>
      <c r="O2838" s="350"/>
    </row>
    <row r="2839" spans="1:15" s="7" customFormat="1" ht="15">
      <c r="A2839" s="357"/>
      <c r="B2839" s="210"/>
      <c r="C2839" s="41" t="s">
        <v>560</v>
      </c>
      <c r="D2839" s="32" t="s">
        <v>2097</v>
      </c>
      <c r="E2839" s="33"/>
      <c r="F2839" s="364">
        <v>1594830235.79</v>
      </c>
      <c r="G2839" s="76">
        <v>43014</v>
      </c>
      <c r="H2839" s="59">
        <f>1277361456.77+15926052.99</f>
        <v>1293287509.76</v>
      </c>
      <c r="I2839" s="365"/>
      <c r="J2839" s="37">
        <f t="shared" si="163"/>
        <v>301542726.02999997</v>
      </c>
      <c r="K2839" s="37">
        <f t="shared" si="162"/>
        <v>5460413764.0605059</v>
      </c>
      <c r="L2839" s="55" t="s">
        <v>1917</v>
      </c>
      <c r="M2839" s="402"/>
      <c r="N2839" s="333"/>
      <c r="O2839" s="350"/>
    </row>
    <row r="2840" spans="1:15" s="7" customFormat="1" ht="15">
      <c r="A2840" s="357"/>
      <c r="B2840" s="210"/>
      <c r="C2840" s="29" t="s">
        <v>562</v>
      </c>
      <c r="D2840" s="32" t="s">
        <v>2098</v>
      </c>
      <c r="E2840" s="33"/>
      <c r="F2840" s="364">
        <v>1631772051.3652005</v>
      </c>
      <c r="G2840" s="96">
        <v>42931</v>
      </c>
      <c r="H2840" s="59">
        <f>1371612016.7+10558014.46</f>
        <v>1382170031.1600001</v>
      </c>
      <c r="I2840" s="365"/>
      <c r="J2840" s="37">
        <f t="shared" si="163"/>
        <v>249602020.20520043</v>
      </c>
      <c r="K2840" s="37">
        <f t="shared" si="162"/>
        <v>5761956490.0905056</v>
      </c>
      <c r="L2840" s="55" t="s">
        <v>1917</v>
      </c>
      <c r="M2840" s="402"/>
      <c r="N2840" s="333"/>
      <c r="O2840" s="350"/>
    </row>
    <row r="2841" spans="1:15" s="7" customFormat="1" ht="15">
      <c r="A2841" s="357"/>
      <c r="B2841" s="210"/>
      <c r="C2841" s="29" t="s">
        <v>494</v>
      </c>
      <c r="D2841" s="32" t="s">
        <v>2099</v>
      </c>
      <c r="E2841" s="33"/>
      <c r="F2841" s="364">
        <v>1388202682.5999999</v>
      </c>
      <c r="G2841" s="96">
        <v>42964</v>
      </c>
      <c r="H2841" s="59">
        <f>1130393612.97+59494400.68</f>
        <v>1189888013.6500001</v>
      </c>
      <c r="I2841" s="365"/>
      <c r="J2841" s="37">
        <f t="shared" si="163"/>
        <v>198314668.94999981</v>
      </c>
      <c r="K2841" s="37">
        <f t="shared" si="162"/>
        <v>6011558510.2957058</v>
      </c>
      <c r="L2841" s="55" t="s">
        <v>1917</v>
      </c>
      <c r="M2841" s="402"/>
      <c r="N2841" s="333"/>
      <c r="O2841" s="350"/>
    </row>
    <row r="2842" spans="1:15" s="7" customFormat="1" ht="15">
      <c r="A2842" s="357"/>
      <c r="B2842" s="210"/>
      <c r="C2842" s="29" t="s">
        <v>497</v>
      </c>
      <c r="D2842" s="32" t="s">
        <v>2100</v>
      </c>
      <c r="E2842" s="33"/>
      <c r="F2842" s="364">
        <v>1370235526.8199999</v>
      </c>
      <c r="G2842" s="96">
        <v>42995</v>
      </c>
      <c r="H2842" s="59">
        <f>1115763214.7+58724379.72</f>
        <v>1174487594.4200001</v>
      </c>
      <c r="I2842" s="365"/>
      <c r="J2842" s="37">
        <f t="shared" si="163"/>
        <v>195747932.39999986</v>
      </c>
      <c r="K2842" s="37">
        <f t="shared" si="162"/>
        <v>6209873179.2457056</v>
      </c>
      <c r="L2842" s="55" t="s">
        <v>1917</v>
      </c>
      <c r="M2842" s="402"/>
      <c r="N2842" s="333"/>
      <c r="O2842" s="350"/>
    </row>
    <row r="2843" spans="1:15" s="7" customFormat="1" ht="15">
      <c r="A2843" s="357"/>
      <c r="B2843" s="210"/>
      <c r="C2843" s="29" t="s">
        <v>498</v>
      </c>
      <c r="D2843" s="32" t="s">
        <v>2101</v>
      </c>
      <c r="E2843" s="33"/>
      <c r="F2843" s="364">
        <v>1334961429.05</v>
      </c>
      <c r="G2843" s="96">
        <v>43013</v>
      </c>
      <c r="H2843" s="59">
        <f>1087040020.8+57212632.67</f>
        <v>1144252653.47</v>
      </c>
      <c r="I2843" s="365"/>
      <c r="J2843" s="37">
        <f t="shared" si="163"/>
        <v>190708775.57999992</v>
      </c>
      <c r="K2843" s="37">
        <f t="shared" si="162"/>
        <v>6405621111.6457052</v>
      </c>
      <c r="L2843" s="55" t="s">
        <v>1917</v>
      </c>
      <c r="M2843" s="402"/>
      <c r="N2843" s="333"/>
      <c r="O2843" s="350"/>
    </row>
    <row r="2844" spans="1:15" s="7" customFormat="1" ht="15">
      <c r="A2844" s="357"/>
      <c r="B2844" s="210"/>
      <c r="C2844" s="29" t="s">
        <v>564</v>
      </c>
      <c r="D2844" s="32" t="s">
        <v>2102</v>
      </c>
      <c r="E2844" s="33"/>
      <c r="F2844" s="364">
        <v>1608286287.3199999</v>
      </c>
      <c r="G2844" s="96">
        <v>43044</v>
      </c>
      <c r="H2844" s="59">
        <f>1309604548.25+68926555.17</f>
        <v>1378531103.4200001</v>
      </c>
      <c r="I2844" s="365"/>
      <c r="J2844" s="37">
        <f t="shared" si="163"/>
        <v>229755183.89999986</v>
      </c>
      <c r="K2844" s="37">
        <f t="shared" si="162"/>
        <v>6596329887.2257051</v>
      </c>
      <c r="L2844" s="55" t="s">
        <v>1917</v>
      </c>
      <c r="M2844" s="402"/>
      <c r="N2844" s="333"/>
      <c r="O2844" s="350"/>
    </row>
    <row r="2845" spans="1:15" s="7" customFormat="1" ht="15">
      <c r="A2845" s="357"/>
      <c r="B2845" s="210"/>
      <c r="C2845" s="29" t="s">
        <v>500</v>
      </c>
      <c r="D2845" s="32" t="s">
        <v>2103</v>
      </c>
      <c r="E2845" s="33"/>
      <c r="F2845" s="364">
        <v>2700933591.1700001</v>
      </c>
      <c r="G2845" s="96">
        <v>43044</v>
      </c>
      <c r="H2845" s="59">
        <f>2004574363.05+105503913.84</f>
        <v>2110078276.8899999</v>
      </c>
      <c r="I2845" s="365"/>
      <c r="J2845" s="37">
        <f t="shared" si="163"/>
        <v>590855314.28000021</v>
      </c>
      <c r="K2845" s="37">
        <f t="shared" si="162"/>
        <v>6826085071.1257048</v>
      </c>
      <c r="L2845" s="55" t="s">
        <v>1917</v>
      </c>
      <c r="M2845" s="402"/>
      <c r="N2845" s="333"/>
      <c r="O2845" s="350"/>
    </row>
    <row r="2846" spans="1:15" s="7" customFormat="1" ht="15">
      <c r="A2846" s="357"/>
      <c r="B2846" s="210"/>
      <c r="C2846" s="29" t="s">
        <v>501</v>
      </c>
      <c r="D2846" s="32" t="s">
        <v>2104</v>
      </c>
      <c r="E2846" s="33"/>
      <c r="F2846" s="364">
        <v>1543093549.2</v>
      </c>
      <c r="G2846" s="96" t="s">
        <v>502</v>
      </c>
      <c r="H2846" s="59">
        <v>1322651613.5999999</v>
      </c>
      <c r="I2846" s="365"/>
      <c r="J2846" s="37">
        <f t="shared" si="163"/>
        <v>220441935.60000014</v>
      </c>
      <c r="K2846" s="37">
        <f t="shared" si="162"/>
        <v>7416940385.4057045</v>
      </c>
      <c r="L2846" s="55" t="s">
        <v>1917</v>
      </c>
      <c r="M2846" s="402"/>
      <c r="N2846" s="333"/>
      <c r="O2846" s="350"/>
    </row>
    <row r="2847" spans="1:15" s="7" customFormat="1" ht="15">
      <c r="A2847" s="357"/>
      <c r="B2847" s="210"/>
      <c r="C2847" s="29" t="s">
        <v>504</v>
      </c>
      <c r="D2847" s="32" t="s">
        <v>2105</v>
      </c>
      <c r="E2847" s="33"/>
      <c r="F2847" s="364">
        <v>1849380220.74</v>
      </c>
      <c r="G2847" s="96">
        <v>43375</v>
      </c>
      <c r="H2847" s="59">
        <v>1585183046.3499999</v>
      </c>
      <c r="I2847" s="365"/>
      <c r="J2847" s="37">
        <f t="shared" si="163"/>
        <v>264197174.3900001</v>
      </c>
      <c r="K2847" s="37">
        <f t="shared" si="162"/>
        <v>7637382321.0057049</v>
      </c>
      <c r="L2847" s="55" t="s">
        <v>1917</v>
      </c>
      <c r="M2847" s="402"/>
      <c r="N2847" s="333"/>
      <c r="O2847" s="350"/>
    </row>
    <row r="2848" spans="1:15" s="7" customFormat="1" ht="15">
      <c r="A2848" s="357"/>
      <c r="B2848" s="109"/>
      <c r="C2848" s="29" t="s">
        <v>506</v>
      </c>
      <c r="D2848" s="32" t="s">
        <v>2106</v>
      </c>
      <c r="E2848" s="33"/>
      <c r="F2848" s="364">
        <v>1959085588.8800001</v>
      </c>
      <c r="G2848" s="96" t="s">
        <v>1302</v>
      </c>
      <c r="H2848" s="59">
        <v>1679216219.04</v>
      </c>
      <c r="I2848" s="365"/>
      <c r="J2848" s="37">
        <f t="shared" si="163"/>
        <v>279869369.84000015</v>
      </c>
      <c r="K2848" s="37">
        <f t="shared" si="162"/>
        <v>7901579495.3957052</v>
      </c>
      <c r="L2848" s="55" t="s">
        <v>1917</v>
      </c>
      <c r="M2848" s="402"/>
      <c r="N2848" s="333"/>
      <c r="O2848" s="350"/>
    </row>
    <row r="2849" spans="1:15" s="7" customFormat="1" ht="15">
      <c r="A2849" s="357"/>
      <c r="B2849" s="109"/>
      <c r="C2849" s="29" t="s">
        <v>508</v>
      </c>
      <c r="D2849" s="32" t="s">
        <v>2107</v>
      </c>
      <c r="E2849" s="33"/>
      <c r="F2849" s="364">
        <v>2758007819.9899998</v>
      </c>
      <c r="G2849" s="75" t="s">
        <v>509</v>
      </c>
      <c r="H2849" s="59">
        <v>1876714851.8099999</v>
      </c>
      <c r="I2849" s="365"/>
      <c r="J2849" s="37">
        <f t="shared" si="163"/>
        <v>881292968.17999983</v>
      </c>
      <c r="K2849" s="37">
        <f t="shared" si="162"/>
        <v>8181448865.2357054</v>
      </c>
      <c r="L2849" s="55" t="s">
        <v>1917</v>
      </c>
      <c r="M2849" s="402"/>
      <c r="N2849" s="333"/>
      <c r="O2849" s="350"/>
    </row>
    <row r="2850" spans="1:15" s="7" customFormat="1" ht="15">
      <c r="A2850" s="357"/>
      <c r="B2850" s="109"/>
      <c r="C2850" s="29" t="s">
        <v>355</v>
      </c>
      <c r="D2850" s="32" t="s">
        <v>2108</v>
      </c>
      <c r="E2850" s="33"/>
      <c r="F2850" s="364">
        <v>2950744372.2300992</v>
      </c>
      <c r="G2850" s="75" t="s">
        <v>1931</v>
      </c>
      <c r="H2850" s="59">
        <v>2506685905.5799999</v>
      </c>
      <c r="I2850" s="365"/>
      <c r="J2850" s="37">
        <f t="shared" si="163"/>
        <v>444058466.65009928</v>
      </c>
      <c r="K2850" s="37">
        <f t="shared" si="162"/>
        <v>9062741833.4157047</v>
      </c>
      <c r="L2850" s="55" t="s">
        <v>1917</v>
      </c>
      <c r="M2850" s="402"/>
      <c r="N2850" s="333"/>
      <c r="O2850" s="350"/>
    </row>
    <row r="2851" spans="1:15" s="7" customFormat="1" ht="15">
      <c r="A2851" s="357"/>
      <c r="B2851" s="109"/>
      <c r="C2851" s="31" t="s">
        <v>234</v>
      </c>
      <c r="D2851" s="32" t="s">
        <v>2109</v>
      </c>
      <c r="E2851" s="33"/>
      <c r="F2851" s="364">
        <v>2326907449.2607574</v>
      </c>
      <c r="G2851" s="75" t="s">
        <v>513</v>
      </c>
      <c r="H2851" s="59">
        <v>1994492099.3699999</v>
      </c>
      <c r="I2851" s="365"/>
      <c r="J2851" s="37">
        <f t="shared" si="163"/>
        <v>332415349.89075756</v>
      </c>
      <c r="K2851" s="37">
        <f t="shared" si="162"/>
        <v>9506800300.0658035</v>
      </c>
      <c r="L2851" s="55" t="s">
        <v>1917</v>
      </c>
      <c r="M2851" s="402"/>
      <c r="N2851" s="333"/>
      <c r="O2851" s="350"/>
    </row>
    <row r="2852" spans="1:15" s="7" customFormat="1" ht="15">
      <c r="A2852" s="357"/>
      <c r="B2852" s="109"/>
      <c r="C2852" s="31" t="s">
        <v>416</v>
      </c>
      <c r="D2852" s="32" t="s">
        <v>2110</v>
      </c>
      <c r="E2852" s="33"/>
      <c r="F2852" s="364">
        <v>2353613529.9242945</v>
      </c>
      <c r="G2852" s="75" t="s">
        <v>571</v>
      </c>
      <c r="H2852" s="59">
        <v>1844908974.26</v>
      </c>
      <c r="I2852" s="365"/>
      <c r="J2852" s="37">
        <f t="shared" si="163"/>
        <v>508704555.66429448</v>
      </c>
      <c r="K2852" s="37">
        <f t="shared" si="162"/>
        <v>9839215649.956562</v>
      </c>
      <c r="L2852" s="55" t="s">
        <v>1917</v>
      </c>
      <c r="M2852" s="402"/>
      <c r="N2852" s="333"/>
      <c r="O2852" s="350"/>
    </row>
    <row r="2853" spans="1:15" s="7" customFormat="1" ht="15">
      <c r="A2853" s="357"/>
      <c r="B2853" s="109"/>
      <c r="C2853" s="31" t="s">
        <v>238</v>
      </c>
      <c r="D2853" s="32" t="s">
        <v>2111</v>
      </c>
      <c r="E2853" s="33"/>
      <c r="F2853" s="364">
        <v>405714880.52834189</v>
      </c>
      <c r="G2853" s="75" t="s">
        <v>507</v>
      </c>
      <c r="H2853" s="59">
        <v>328289866.72000003</v>
      </c>
      <c r="I2853" s="365"/>
      <c r="J2853" s="37">
        <f t="shared" si="163"/>
        <v>77425013.808341861</v>
      </c>
      <c r="K2853" s="37">
        <f t="shared" si="162"/>
        <v>10347920205.620857</v>
      </c>
      <c r="L2853" s="55" t="s">
        <v>1917</v>
      </c>
      <c r="M2853" s="402"/>
      <c r="N2853" s="333"/>
      <c r="O2853" s="350"/>
    </row>
    <row r="2854" spans="1:15" s="7" customFormat="1" ht="15">
      <c r="A2854" s="357"/>
      <c r="B2854" s="109"/>
      <c r="C2854" s="31" t="s">
        <v>243</v>
      </c>
      <c r="D2854" s="32" t="s">
        <v>2112</v>
      </c>
      <c r="E2854" s="33"/>
      <c r="F2854" s="364">
        <v>610215850.66665304</v>
      </c>
      <c r="G2854" s="75" t="s">
        <v>2001</v>
      </c>
      <c r="H2854" s="59">
        <v>512232196.80000001</v>
      </c>
      <c r="I2854" s="365"/>
      <c r="J2854" s="37">
        <f t="shared" si="163"/>
        <v>97983653.866653025</v>
      </c>
      <c r="K2854" s="37">
        <f t="shared" si="162"/>
        <v>10425345219.429199</v>
      </c>
      <c r="L2854" s="55" t="s">
        <v>1917</v>
      </c>
      <c r="M2854" s="402"/>
      <c r="N2854" s="333"/>
      <c r="O2854" s="350"/>
    </row>
    <row r="2855" spans="1:15" s="7" customFormat="1" ht="15">
      <c r="A2855" s="357"/>
      <c r="B2855" s="109"/>
      <c r="C2855" s="102" t="s">
        <v>246</v>
      </c>
      <c r="D2855" s="103" t="s">
        <v>2113</v>
      </c>
      <c r="E2855" s="322"/>
      <c r="F2855" s="364">
        <v>241871410.77434999</v>
      </c>
      <c r="G2855" s="105" t="s">
        <v>1256</v>
      </c>
      <c r="H2855" s="59">
        <v>204256080.75999999</v>
      </c>
      <c r="I2855" s="365"/>
      <c r="J2855" s="37">
        <f t="shared" si="163"/>
        <v>37615330.014349997</v>
      </c>
      <c r="K2855" s="37">
        <f t="shared" si="162"/>
        <v>10523328873.295853</v>
      </c>
      <c r="L2855" s="55" t="s">
        <v>1917</v>
      </c>
      <c r="M2855" s="402"/>
      <c r="N2855" s="333"/>
      <c r="O2855" s="350"/>
    </row>
    <row r="2856" spans="1:15" s="7" customFormat="1" ht="15">
      <c r="A2856" s="357"/>
      <c r="B2856" s="109"/>
      <c r="C2856" s="102" t="s">
        <v>522</v>
      </c>
      <c r="D2856" s="103" t="s">
        <v>2114</v>
      </c>
      <c r="E2856" s="322"/>
      <c r="F2856" s="364">
        <v>354639844.80955017</v>
      </c>
      <c r="G2856" s="105" t="s">
        <v>1257</v>
      </c>
      <c r="H2856" s="59">
        <v>303553464.48000002</v>
      </c>
      <c r="I2856" s="369" t="s">
        <v>252</v>
      </c>
      <c r="J2856" s="37">
        <f t="shared" si="163"/>
        <v>51086380.329550147</v>
      </c>
      <c r="K2856" s="37">
        <f t="shared" si="162"/>
        <v>10560944203.310204</v>
      </c>
      <c r="L2856" s="55" t="s">
        <v>1917</v>
      </c>
      <c r="M2856" s="402"/>
      <c r="N2856" s="333"/>
      <c r="O2856" s="350"/>
    </row>
    <row r="2857" spans="1:15" s="7" customFormat="1" ht="15">
      <c r="A2857" s="357"/>
      <c r="B2857" s="109"/>
      <c r="C2857" s="102" t="s">
        <v>250</v>
      </c>
      <c r="D2857" s="103" t="s">
        <v>255</v>
      </c>
      <c r="E2857" s="322"/>
      <c r="F2857" s="364">
        <v>102417286.22</v>
      </c>
      <c r="G2857" s="105" t="s">
        <v>1137</v>
      </c>
      <c r="H2857" s="59">
        <v>87786245.329999998</v>
      </c>
      <c r="I2857" s="369" t="s">
        <v>2115</v>
      </c>
      <c r="J2857" s="37">
        <f t="shared" si="163"/>
        <v>14631040.890000001</v>
      </c>
      <c r="K2857" s="37">
        <f t="shared" si="162"/>
        <v>10612030583.639753</v>
      </c>
      <c r="L2857" s="55" t="s">
        <v>1917</v>
      </c>
      <c r="M2857" s="402"/>
      <c r="N2857" s="333"/>
      <c r="O2857" s="350"/>
    </row>
    <row r="2858" spans="1:15" s="7" customFormat="1" ht="15">
      <c r="A2858" s="357"/>
      <c r="B2858" s="109"/>
      <c r="C2858" s="111" t="s">
        <v>139</v>
      </c>
      <c r="D2858" s="103" t="s">
        <v>258</v>
      </c>
      <c r="E2858" s="322"/>
      <c r="F2858" s="364">
        <v>255944898.63</v>
      </c>
      <c r="G2858" s="105" t="s">
        <v>1137</v>
      </c>
      <c r="H2858" s="60">
        <v>216762319.44999999</v>
      </c>
      <c r="I2858" s="369" t="s">
        <v>527</v>
      </c>
      <c r="J2858" s="37">
        <f t="shared" si="163"/>
        <v>39182579.180000007</v>
      </c>
      <c r="K2858" s="37">
        <f t="shared" si="162"/>
        <v>10626661624.529753</v>
      </c>
      <c r="L2858" s="55" t="s">
        <v>1917</v>
      </c>
      <c r="M2858" s="402"/>
      <c r="N2858" s="333"/>
      <c r="O2858" s="350"/>
    </row>
    <row r="2859" spans="1:15" s="7" customFormat="1" ht="15">
      <c r="A2859" s="357"/>
      <c r="B2859" s="109"/>
      <c r="C2859" s="42" t="s">
        <v>142</v>
      </c>
      <c r="D2859" s="103" t="s">
        <v>2116</v>
      </c>
      <c r="E2859" s="322"/>
      <c r="F2859" s="364">
        <v>166434060.86190155</v>
      </c>
      <c r="G2859" s="105" t="s">
        <v>519</v>
      </c>
      <c r="H2859" s="59">
        <v>23129217.739999998</v>
      </c>
      <c r="I2859" s="369" t="s">
        <v>568</v>
      </c>
      <c r="J2859" s="37">
        <f t="shared" si="163"/>
        <v>143304843.12190154</v>
      </c>
      <c r="K2859" s="37">
        <f t="shared" si="162"/>
        <v>10665844203.709753</v>
      </c>
      <c r="L2859" s="55" t="s">
        <v>1917</v>
      </c>
      <c r="M2859" s="402"/>
      <c r="N2859" s="333"/>
      <c r="O2859" s="350"/>
    </row>
    <row r="2860" spans="1:15" s="7" customFormat="1" ht="15">
      <c r="A2860" s="357"/>
      <c r="B2860" s="109"/>
      <c r="C2860" s="42" t="s">
        <v>154</v>
      </c>
      <c r="D2860" s="103" t="s">
        <v>263</v>
      </c>
      <c r="E2860" s="322"/>
      <c r="F2860" s="364">
        <v>34562376.736692004</v>
      </c>
      <c r="G2860" s="105" t="s">
        <v>156</v>
      </c>
      <c r="H2860" s="409">
        <f>8887468.31+24029080.96</f>
        <v>32916549.270000003</v>
      </c>
      <c r="I2860" s="369" t="s">
        <v>1205</v>
      </c>
      <c r="J2860" s="37">
        <f t="shared" si="163"/>
        <v>1645827.4666920006</v>
      </c>
      <c r="K2860" s="37">
        <f t="shared" si="162"/>
        <v>10809149046.831656</v>
      </c>
      <c r="L2860" s="39"/>
      <c r="M2860" s="402"/>
      <c r="N2860" s="333"/>
      <c r="O2860" s="350"/>
    </row>
    <row r="2861" spans="1:15" s="7" customFormat="1" ht="15">
      <c r="A2861" s="357"/>
      <c r="B2861" s="109"/>
      <c r="C2861" s="42" t="s">
        <v>158</v>
      </c>
      <c r="D2861" s="103" t="s">
        <v>265</v>
      </c>
      <c r="E2861" s="322"/>
      <c r="F2861" s="364">
        <v>105362981.89199999</v>
      </c>
      <c r="G2861" s="105" t="s">
        <v>160</v>
      </c>
      <c r="H2861" s="409">
        <f>15252545.91+85093150.88</f>
        <v>100345696.78999999</v>
      </c>
      <c r="I2861" s="369" t="s">
        <v>1330</v>
      </c>
      <c r="J2861" s="37">
        <f t="shared" si="163"/>
        <v>5017285.1019999981</v>
      </c>
      <c r="K2861" s="37">
        <f t="shared" si="162"/>
        <v>10810794874.298347</v>
      </c>
      <c r="L2861" s="39"/>
      <c r="M2861" s="402"/>
      <c r="N2861" s="333"/>
      <c r="O2861" s="350"/>
    </row>
    <row r="2862" spans="1:15" s="7" customFormat="1" ht="15">
      <c r="A2862" s="357"/>
      <c r="B2862" s="109"/>
      <c r="C2862" s="42" t="s">
        <v>162</v>
      </c>
      <c r="D2862" s="103" t="s">
        <v>267</v>
      </c>
      <c r="E2862" s="322"/>
      <c r="F2862" s="364">
        <v>319791931.90485448</v>
      </c>
      <c r="G2862" s="105" t="s">
        <v>164</v>
      </c>
      <c r="H2862" s="409">
        <f>59389930.14+245173814.15</f>
        <v>304563744.29000002</v>
      </c>
      <c r="I2862" s="369" t="s">
        <v>320</v>
      </c>
      <c r="J2862" s="37">
        <f t="shared" si="163"/>
        <v>15228187.614854455</v>
      </c>
      <c r="K2862" s="37">
        <f t="shared" si="162"/>
        <v>10815812159.400347</v>
      </c>
      <c r="L2862" s="55"/>
      <c r="M2862" s="402"/>
      <c r="N2862" s="333"/>
      <c r="O2862" s="350"/>
    </row>
    <row r="2863" spans="1:15" s="7" customFormat="1" ht="15">
      <c r="A2863" s="357"/>
      <c r="B2863" s="109"/>
      <c r="C2863" s="42" t="s">
        <v>166</v>
      </c>
      <c r="D2863" s="103" t="s">
        <v>268</v>
      </c>
      <c r="E2863" s="322"/>
      <c r="F2863" s="364">
        <v>463983437.87249994</v>
      </c>
      <c r="G2863" s="105" t="s">
        <v>164</v>
      </c>
      <c r="H2863" s="409">
        <f>122403249.88+319485738.84</f>
        <v>441888988.71999997</v>
      </c>
      <c r="I2863" s="369" t="s">
        <v>581</v>
      </c>
      <c r="J2863" s="37">
        <f t="shared" si="163"/>
        <v>22094449.152499974</v>
      </c>
      <c r="K2863" s="37">
        <f t="shared" ref="K2863:K2869" si="164">K2862+J2862</f>
        <v>10831040347.015202</v>
      </c>
      <c r="L2863" s="410"/>
      <c r="M2863" s="402"/>
      <c r="N2863" s="333"/>
      <c r="O2863" s="350"/>
    </row>
    <row r="2864" spans="1:15" s="7" customFormat="1" ht="15">
      <c r="A2864" s="357"/>
      <c r="B2864" s="109"/>
      <c r="C2864" s="42"/>
      <c r="D2864" s="103"/>
      <c r="E2864" s="322"/>
      <c r="F2864" s="89"/>
      <c r="G2864" s="105"/>
      <c r="H2864" s="59">
        <v>135379411.65000001</v>
      </c>
      <c r="I2864" s="369" t="s">
        <v>701</v>
      </c>
      <c r="J2864" s="37">
        <f>F2864-H2864</f>
        <v>-135379411.65000001</v>
      </c>
      <c r="K2864" s="37">
        <f t="shared" si="164"/>
        <v>10853134796.167702</v>
      </c>
      <c r="L2864" s="410"/>
      <c r="M2864" s="402"/>
      <c r="N2864" s="333"/>
      <c r="O2864" s="350"/>
    </row>
    <row r="2865" spans="1:15" s="7" customFormat="1" ht="15">
      <c r="A2865" s="357"/>
      <c r="B2865" s="109"/>
      <c r="C2865" s="42"/>
      <c r="D2865" s="103"/>
      <c r="E2865" s="322"/>
      <c r="F2865" s="89"/>
      <c r="G2865" s="105"/>
      <c r="H2865" s="59">
        <v>127879537.46000001</v>
      </c>
      <c r="I2865" s="369" t="s">
        <v>1127</v>
      </c>
      <c r="J2865" s="37">
        <f>F2865-H2865</f>
        <v>-127879537.46000001</v>
      </c>
      <c r="K2865" s="37">
        <f t="shared" si="164"/>
        <v>10717755384.517702</v>
      </c>
      <c r="L2865" s="410"/>
      <c r="M2865" s="402"/>
      <c r="N2865" s="333"/>
      <c r="O2865" s="350"/>
    </row>
    <row r="2866" spans="1:15" s="7" customFormat="1" ht="15">
      <c r="A2866" s="357"/>
      <c r="B2866" s="109"/>
      <c r="C2866" s="42"/>
      <c r="D2866" s="103"/>
      <c r="E2866" s="322"/>
      <c r="F2866" s="89"/>
      <c r="G2866" s="105"/>
      <c r="H2866" s="59">
        <f>21400590.37+43671580.4+6381047.76</f>
        <v>71453218.530000001</v>
      </c>
      <c r="I2866" s="369" t="s">
        <v>883</v>
      </c>
      <c r="J2866" s="37">
        <f>F2866-H2866</f>
        <v>-71453218.530000001</v>
      </c>
      <c r="K2866" s="37">
        <f t="shared" si="164"/>
        <v>10589875847.057703</v>
      </c>
      <c r="L2866" s="410" t="s">
        <v>2005</v>
      </c>
      <c r="M2866" s="402"/>
      <c r="N2866" s="333"/>
      <c r="O2866" s="350"/>
    </row>
    <row r="2867" spans="1:15" s="7" customFormat="1" ht="15">
      <c r="A2867" s="357"/>
      <c r="B2867" s="109"/>
      <c r="C2867" s="42"/>
      <c r="D2867" s="103"/>
      <c r="E2867" s="322"/>
      <c r="F2867" s="89"/>
      <c r="G2867" s="105"/>
      <c r="H2867" s="59">
        <v>77411668.780000001</v>
      </c>
      <c r="I2867" s="369" t="s">
        <v>380</v>
      </c>
      <c r="J2867" s="37">
        <f>F2867-H2867</f>
        <v>-77411668.780000001</v>
      </c>
      <c r="K2867" s="37">
        <f t="shared" si="164"/>
        <v>10518422628.527702</v>
      </c>
      <c r="L2867" s="410"/>
      <c r="M2867" s="402"/>
      <c r="N2867" s="333"/>
      <c r="O2867" s="350"/>
    </row>
    <row r="2868" spans="1:15" s="7" customFormat="1" ht="15">
      <c r="A2868" s="357"/>
      <c r="B2868" s="109"/>
      <c r="C2868" s="42"/>
      <c r="D2868" s="103"/>
      <c r="E2868" s="322"/>
      <c r="F2868" s="89"/>
      <c r="G2868" s="105"/>
      <c r="H2868" s="47"/>
      <c r="J2868" s="37"/>
      <c r="K2868" s="37">
        <f t="shared" si="164"/>
        <v>10441010959.747702</v>
      </c>
      <c r="L2868" s="410"/>
      <c r="M2868" s="402"/>
      <c r="N2868" s="333"/>
      <c r="O2868" s="350"/>
    </row>
    <row r="2869" spans="1:15" s="7" customFormat="1" ht="15">
      <c r="A2869" s="357"/>
      <c r="B2869" s="335" t="s">
        <v>2117</v>
      </c>
      <c r="C2869" s="102"/>
      <c r="D2869" s="103"/>
      <c r="E2869" s="322"/>
      <c r="F2869" s="89"/>
      <c r="G2869" s="105"/>
      <c r="H2869" s="47"/>
      <c r="I2869" s="365"/>
      <c r="J2869" s="331"/>
      <c r="K2869" s="38">
        <f t="shared" si="164"/>
        <v>10441010959.747702</v>
      </c>
      <c r="L2869" s="39"/>
      <c r="M2869" s="402"/>
      <c r="N2869" s="333"/>
      <c r="O2869" s="350"/>
    </row>
    <row r="2870" spans="1:15" s="7" customFormat="1" ht="15">
      <c r="A2870" s="411"/>
      <c r="B2870" s="384"/>
      <c r="C2870" s="412"/>
      <c r="D2870" s="413"/>
      <c r="E2870" s="328"/>
      <c r="F2870" s="414"/>
      <c r="G2870" s="415"/>
      <c r="H2870" s="416"/>
      <c r="I2870" s="417"/>
      <c r="J2870" s="418"/>
      <c r="K2870" s="419"/>
      <c r="L2870" s="420"/>
      <c r="M2870" s="338"/>
      <c r="N2870" s="338"/>
      <c r="O2870" s="316"/>
    </row>
    <row r="2871" spans="1:15" s="7" customFormat="1" ht="15">
      <c r="A2871" s="411"/>
      <c r="B2871" s="384"/>
      <c r="C2871" s="412"/>
      <c r="D2871" s="413"/>
      <c r="E2871" s="328"/>
      <c r="F2871" s="414"/>
      <c r="G2871" s="415"/>
      <c r="H2871" s="416"/>
      <c r="I2871" s="417"/>
      <c r="J2871" s="418"/>
      <c r="K2871" s="419"/>
      <c r="L2871" s="420"/>
      <c r="M2871" s="338"/>
      <c r="N2871" s="338"/>
      <c r="O2871" s="316"/>
    </row>
    <row r="2872" spans="1:15" s="7" customFormat="1" ht="15">
      <c r="A2872" s="411"/>
      <c r="B2872" s="384" t="s">
        <v>2118</v>
      </c>
      <c r="C2872" s="412"/>
      <c r="D2872" s="413"/>
      <c r="E2872" s="328"/>
      <c r="F2872" s="414"/>
      <c r="G2872" s="415"/>
      <c r="H2872" s="416"/>
      <c r="I2872" s="417"/>
      <c r="J2872" s="418"/>
      <c r="K2872" s="421">
        <f>K2869+K2796+K2735+K2661+K2588+K2538+K2476</f>
        <v>112333155775.81049</v>
      </c>
      <c r="L2872" s="420"/>
      <c r="M2872" s="338"/>
      <c r="N2872" s="338"/>
      <c r="O2872" s="316"/>
    </row>
    <row r="2873" spans="1:15" s="7" customFormat="1" ht="15">
      <c r="A2873" s="411"/>
      <c r="B2873" s="384"/>
      <c r="C2873" s="412"/>
      <c r="D2873" s="413"/>
      <c r="E2873" s="328"/>
      <c r="F2873" s="414"/>
      <c r="G2873" s="415"/>
      <c r="H2873" s="416"/>
      <c r="I2873" s="417"/>
      <c r="J2873" s="418"/>
      <c r="K2873" s="419"/>
      <c r="L2873" s="420"/>
      <c r="M2873" s="338"/>
      <c r="N2873" s="338"/>
      <c r="O2873" s="316"/>
    </row>
    <row r="2874" spans="1:15" s="7" customFormat="1" ht="15">
      <c r="A2874" s="411"/>
      <c r="B2874" s="384"/>
      <c r="C2874" s="412"/>
      <c r="D2874" s="413"/>
      <c r="E2874" s="328"/>
      <c r="F2874" s="414"/>
      <c r="G2874" s="415"/>
      <c r="H2874" s="416"/>
      <c r="I2874" s="417"/>
      <c r="J2874" s="418"/>
      <c r="K2874" s="419"/>
      <c r="L2874" s="420"/>
      <c r="M2874" s="338"/>
      <c r="N2874" s="338"/>
      <c r="O2874" s="316"/>
    </row>
    <row r="2875" spans="1:15" s="7" customFormat="1" ht="15">
      <c r="A2875" s="81">
        <v>53</v>
      </c>
      <c r="B2875" s="141" t="s">
        <v>2119</v>
      </c>
      <c r="C2875" s="332" t="s">
        <v>1559</v>
      </c>
      <c r="D2875" s="327" t="s">
        <v>204</v>
      </c>
      <c r="E2875" s="328"/>
      <c r="F2875" s="364">
        <v>517046727.95999998</v>
      </c>
      <c r="G2875" s="336">
        <v>41981</v>
      </c>
      <c r="H2875" s="54">
        <v>0</v>
      </c>
      <c r="I2875" s="70"/>
      <c r="J2875" s="331">
        <f t="shared" ref="J2875:J2938" si="165">F2875-H2875</f>
        <v>517046727.95999998</v>
      </c>
      <c r="K2875" s="332">
        <v>0</v>
      </c>
      <c r="L2875" s="233"/>
      <c r="M2875" s="332"/>
      <c r="N2875" s="332"/>
      <c r="O2875" s="316"/>
    </row>
    <row r="2876" spans="1:15" s="7" customFormat="1" ht="15">
      <c r="A2876" s="81"/>
      <c r="B2876" s="141"/>
      <c r="C2876" s="332" t="s">
        <v>1858</v>
      </c>
      <c r="D2876" s="327" t="s">
        <v>208</v>
      </c>
      <c r="E2876" s="328"/>
      <c r="F2876" s="366">
        <v>535394617.37</v>
      </c>
      <c r="G2876" s="205" t="s">
        <v>2120</v>
      </c>
      <c r="H2876" s="54">
        <v>0</v>
      </c>
      <c r="I2876" s="70"/>
      <c r="J2876" s="331">
        <f t="shared" si="165"/>
        <v>535394617.37</v>
      </c>
      <c r="K2876" s="422">
        <f t="shared" ref="K2876:K2939" si="166">K2875+J2875</f>
        <v>517046727.95999998</v>
      </c>
      <c r="L2876" s="233"/>
      <c r="M2876" s="332"/>
      <c r="N2876" s="332"/>
      <c r="O2876" s="316"/>
    </row>
    <row r="2877" spans="1:15" s="7" customFormat="1" ht="15">
      <c r="A2877" s="81"/>
      <c r="B2877" s="141"/>
      <c r="C2877" s="332" t="s">
        <v>1860</v>
      </c>
      <c r="D2877" s="327" t="s">
        <v>52</v>
      </c>
      <c r="E2877" s="328"/>
      <c r="F2877" s="366">
        <v>446905998</v>
      </c>
      <c r="G2877" s="205" t="s">
        <v>2121</v>
      </c>
      <c r="H2877" s="54">
        <v>0</v>
      </c>
      <c r="I2877" s="70"/>
      <c r="J2877" s="331">
        <f t="shared" si="165"/>
        <v>446905998</v>
      </c>
      <c r="K2877" s="422">
        <f t="shared" si="166"/>
        <v>1052441345.3299999</v>
      </c>
      <c r="L2877" s="233"/>
      <c r="M2877" s="332"/>
      <c r="N2877" s="332"/>
      <c r="O2877" s="316"/>
    </row>
    <row r="2878" spans="1:15" s="7" customFormat="1" ht="15">
      <c r="A2878" s="81"/>
      <c r="B2878" s="141"/>
      <c r="C2878" s="332" t="s">
        <v>1862</v>
      </c>
      <c r="D2878" s="327" t="s">
        <v>215</v>
      </c>
      <c r="E2878" s="328"/>
      <c r="F2878" s="366">
        <v>329342019.74000001</v>
      </c>
      <c r="G2878" s="205" t="s">
        <v>2022</v>
      </c>
      <c r="H2878" s="47">
        <v>243545084.53</v>
      </c>
      <c r="I2878" s="369" t="s">
        <v>2122</v>
      </c>
      <c r="J2878" s="331">
        <f t="shared" si="165"/>
        <v>85796935.210000008</v>
      </c>
      <c r="K2878" s="422">
        <f t="shared" si="166"/>
        <v>1499347343.3299999</v>
      </c>
      <c r="L2878" s="233"/>
      <c r="M2878" s="332"/>
      <c r="N2878" s="332"/>
      <c r="O2878" s="59" t="s">
        <v>2123</v>
      </c>
    </row>
    <row r="2879" spans="1:15" s="7" customFormat="1" ht="15">
      <c r="A2879" s="81"/>
      <c r="B2879" s="141"/>
      <c r="C2879" s="332" t="s">
        <v>1886</v>
      </c>
      <c r="D2879" s="327" t="s">
        <v>65</v>
      </c>
      <c r="E2879" s="328"/>
      <c r="F2879" s="366">
        <v>374235147.30000001</v>
      </c>
      <c r="G2879" s="205" t="s">
        <v>2124</v>
      </c>
      <c r="H2879" s="47">
        <v>300000000</v>
      </c>
      <c r="I2879" s="336" t="s">
        <v>2125</v>
      </c>
      <c r="J2879" s="331">
        <f t="shared" si="165"/>
        <v>74235147.300000012</v>
      </c>
      <c r="K2879" s="422">
        <f t="shared" si="166"/>
        <v>1585144278.54</v>
      </c>
      <c r="L2879" s="233"/>
      <c r="M2879" s="332"/>
      <c r="N2879" s="332"/>
      <c r="O2879" s="59" t="s">
        <v>2123</v>
      </c>
    </row>
    <row r="2880" spans="1:15" s="7" customFormat="1" ht="15">
      <c r="A2880" s="81"/>
      <c r="B2880" s="141"/>
      <c r="C2880" s="332" t="s">
        <v>1887</v>
      </c>
      <c r="D2880" s="327" t="s">
        <v>71</v>
      </c>
      <c r="E2880" s="328"/>
      <c r="F2880" s="366">
        <v>556382537.34000003</v>
      </c>
      <c r="G2880" s="205" t="s">
        <v>2126</v>
      </c>
      <c r="H2880" s="47">
        <v>925469251.51803672</v>
      </c>
      <c r="I2880" s="205" t="s">
        <v>1914</v>
      </c>
      <c r="J2880" s="331">
        <f t="shared" si="165"/>
        <v>-369086714.17803669</v>
      </c>
      <c r="K2880" s="422">
        <f t="shared" si="166"/>
        <v>1659379425.8399999</v>
      </c>
      <c r="L2880" s="233" t="s">
        <v>2127</v>
      </c>
      <c r="M2880" s="332"/>
      <c r="N2880" s="332"/>
      <c r="O2880" s="59" t="s">
        <v>2123</v>
      </c>
    </row>
    <row r="2881" spans="1:15" s="7" customFormat="1" ht="15">
      <c r="A2881" s="81"/>
      <c r="B2881" s="141"/>
      <c r="C2881" s="332" t="s">
        <v>1888</v>
      </c>
      <c r="D2881" s="327" t="s">
        <v>26</v>
      </c>
      <c r="E2881" s="328"/>
      <c r="F2881" s="366">
        <v>404323443.72000003</v>
      </c>
      <c r="G2881" s="205" t="s">
        <v>2128</v>
      </c>
      <c r="H2881" s="423">
        <v>163723433.00999999</v>
      </c>
      <c r="I2881" s="248">
        <v>43259</v>
      </c>
      <c r="J2881" s="331">
        <f t="shared" si="165"/>
        <v>240600010.71000004</v>
      </c>
      <c r="K2881" s="422">
        <f t="shared" si="166"/>
        <v>1290292711.6619632</v>
      </c>
      <c r="L2881" s="233" t="s">
        <v>2129</v>
      </c>
      <c r="M2881" s="332"/>
      <c r="N2881" s="332"/>
      <c r="O2881" s="59"/>
    </row>
    <row r="2882" spans="1:15" s="7" customFormat="1" ht="15">
      <c r="A2882" s="81"/>
      <c r="B2882" s="141"/>
      <c r="C2882" s="332" t="s">
        <v>1892</v>
      </c>
      <c r="D2882" s="327" t="s">
        <v>223</v>
      </c>
      <c r="E2882" s="328"/>
      <c r="F2882" s="366">
        <v>267337807.91</v>
      </c>
      <c r="G2882" s="205" t="s">
        <v>1890</v>
      </c>
      <c r="H2882" s="47">
        <v>241547180.47</v>
      </c>
      <c r="I2882" s="70" t="s">
        <v>358</v>
      </c>
      <c r="J2882" s="331">
        <f t="shared" si="165"/>
        <v>25790627.439999998</v>
      </c>
      <c r="K2882" s="422">
        <f t="shared" si="166"/>
        <v>1530892722.3719633</v>
      </c>
      <c r="L2882" s="233" t="s">
        <v>2129</v>
      </c>
      <c r="M2882" s="332"/>
      <c r="N2882" s="332"/>
      <c r="O2882" s="59"/>
    </row>
    <row r="2883" spans="1:15" s="7" customFormat="1" ht="15">
      <c r="A2883" s="81"/>
      <c r="B2883" s="141"/>
      <c r="C2883" s="332" t="s">
        <v>1864</v>
      </c>
      <c r="D2883" s="327" t="s">
        <v>367</v>
      </c>
      <c r="E2883" s="328"/>
      <c r="F2883" s="366">
        <v>298941563.13</v>
      </c>
      <c r="G2883" s="205" t="s">
        <v>1865</v>
      </c>
      <c r="H2883" s="54">
        <v>0</v>
      </c>
      <c r="I2883" s="70"/>
      <c r="J2883" s="331">
        <f t="shared" si="165"/>
        <v>298941563.13</v>
      </c>
      <c r="K2883" s="422">
        <f t="shared" si="166"/>
        <v>1556683349.8119633</v>
      </c>
      <c r="L2883" s="233"/>
      <c r="M2883" s="332"/>
      <c r="N2883" s="332"/>
      <c r="O2883" s="59"/>
    </row>
    <row r="2884" spans="1:15" s="7" customFormat="1" ht="15">
      <c r="A2884" s="81"/>
      <c r="B2884" s="141"/>
      <c r="C2884" s="332" t="s">
        <v>1897</v>
      </c>
      <c r="D2884" s="327" t="s">
        <v>368</v>
      </c>
      <c r="E2884" s="328"/>
      <c r="F2884" s="364">
        <v>486424449.83999997</v>
      </c>
      <c r="G2884" s="205" t="s">
        <v>2017</v>
      </c>
      <c r="H2884" s="54">
        <v>0</v>
      </c>
      <c r="I2884" s="70"/>
      <c r="J2884" s="331">
        <f t="shared" si="165"/>
        <v>486424449.83999997</v>
      </c>
      <c r="K2884" s="422">
        <f t="shared" si="166"/>
        <v>1855624912.9419632</v>
      </c>
      <c r="L2884" s="233"/>
      <c r="M2884" s="332"/>
      <c r="N2884" s="332"/>
      <c r="O2884" s="59"/>
    </row>
    <row r="2885" spans="1:15" s="7" customFormat="1" ht="15">
      <c r="A2885" s="81"/>
      <c r="B2885" s="141"/>
      <c r="C2885" s="332" t="s">
        <v>1171</v>
      </c>
      <c r="D2885" s="327" t="s">
        <v>370</v>
      </c>
      <c r="E2885" s="328"/>
      <c r="F2885" s="364">
        <v>641837920.91999996</v>
      </c>
      <c r="G2885" s="205" t="s">
        <v>2130</v>
      </c>
      <c r="H2885" s="54">
        <v>0</v>
      </c>
      <c r="I2885" s="70"/>
      <c r="J2885" s="331">
        <f t="shared" si="165"/>
        <v>641837920.91999996</v>
      </c>
      <c r="K2885" s="422">
        <f t="shared" si="166"/>
        <v>2342049362.7819633</v>
      </c>
      <c r="L2885" s="233"/>
      <c r="M2885" s="332"/>
      <c r="N2885" s="332"/>
      <c r="O2885" s="59"/>
    </row>
    <row r="2886" spans="1:15" s="7" customFormat="1" ht="15">
      <c r="A2886" s="81"/>
      <c r="B2886" s="141"/>
      <c r="C2886" s="332" t="s">
        <v>461</v>
      </c>
      <c r="D2886" s="327" t="s">
        <v>371</v>
      </c>
      <c r="E2886" s="328"/>
      <c r="F2886" s="364">
        <v>439289296.31999999</v>
      </c>
      <c r="G2886" s="205" t="s">
        <v>1984</v>
      </c>
      <c r="H2886" s="54">
        <v>0</v>
      </c>
      <c r="I2886" s="70"/>
      <c r="J2886" s="331">
        <f t="shared" si="165"/>
        <v>439289296.31999999</v>
      </c>
      <c r="K2886" s="422">
        <f t="shared" si="166"/>
        <v>2983887283.7019634</v>
      </c>
      <c r="L2886" s="233"/>
      <c r="M2886" s="332"/>
      <c r="N2886" s="332"/>
      <c r="O2886" s="59"/>
    </row>
    <row r="2887" spans="1:15" s="7" customFormat="1" ht="15">
      <c r="A2887" s="81"/>
      <c r="B2887" s="141"/>
      <c r="C2887" s="332" t="s">
        <v>465</v>
      </c>
      <c r="D2887" s="327" t="s">
        <v>372</v>
      </c>
      <c r="E2887" s="328"/>
      <c r="F2887" s="364">
        <v>389129452.32999998</v>
      </c>
      <c r="G2887" s="205" t="s">
        <v>2131</v>
      </c>
      <c r="H2887" s="54">
        <v>0</v>
      </c>
      <c r="I2887" s="70"/>
      <c r="J2887" s="331">
        <f t="shared" si="165"/>
        <v>389129452.32999998</v>
      </c>
      <c r="K2887" s="422">
        <f t="shared" si="166"/>
        <v>3423176580.0219636</v>
      </c>
      <c r="L2887" s="233"/>
      <c r="M2887" s="332"/>
      <c r="N2887" s="332"/>
      <c r="O2887" s="59"/>
    </row>
    <row r="2888" spans="1:15" s="7" customFormat="1" ht="15">
      <c r="A2888" s="81"/>
      <c r="B2888" s="141"/>
      <c r="C2888" s="332" t="s">
        <v>467</v>
      </c>
      <c r="D2888" s="327" t="s">
        <v>373</v>
      </c>
      <c r="E2888" s="328"/>
      <c r="F2888" s="364">
        <v>302074508.39999998</v>
      </c>
      <c r="G2888" s="205" t="s">
        <v>2132</v>
      </c>
      <c r="H2888" s="54">
        <v>0</v>
      </c>
      <c r="I2888" s="70"/>
      <c r="J2888" s="331">
        <f t="shared" si="165"/>
        <v>302074508.39999998</v>
      </c>
      <c r="K2888" s="422">
        <f t="shared" si="166"/>
        <v>3812306032.3519635</v>
      </c>
      <c r="L2888" s="233"/>
      <c r="M2888" s="332"/>
      <c r="N2888" s="332"/>
      <c r="O2888" s="59"/>
    </row>
    <row r="2889" spans="1:15" s="7" customFormat="1" ht="15">
      <c r="A2889" s="81"/>
      <c r="B2889" s="141"/>
      <c r="C2889" s="332" t="s">
        <v>469</v>
      </c>
      <c r="D2889" s="327" t="s">
        <v>92</v>
      </c>
      <c r="E2889" s="328"/>
      <c r="F2889" s="364">
        <v>312585372.54000002</v>
      </c>
      <c r="G2889" s="205" t="s">
        <v>2133</v>
      </c>
      <c r="H2889" s="54">
        <v>0</v>
      </c>
      <c r="I2889" s="70"/>
      <c r="J2889" s="331">
        <f t="shared" si="165"/>
        <v>312585372.54000002</v>
      </c>
      <c r="K2889" s="422">
        <f t="shared" si="166"/>
        <v>4114380540.7519636</v>
      </c>
      <c r="L2889" s="233"/>
      <c r="M2889" s="332"/>
      <c r="N2889" s="332"/>
      <c r="O2889" s="59"/>
    </row>
    <row r="2890" spans="1:15" s="7" customFormat="1" ht="15">
      <c r="A2890" s="81"/>
      <c r="B2890" s="141"/>
      <c r="C2890" s="332" t="s">
        <v>398</v>
      </c>
      <c r="D2890" s="327" t="s">
        <v>374</v>
      </c>
      <c r="E2890" s="328"/>
      <c r="F2890" s="364">
        <v>560669226.23000002</v>
      </c>
      <c r="G2890" s="205" t="s">
        <v>1468</v>
      </c>
      <c r="H2890" s="54">
        <v>0</v>
      </c>
      <c r="I2890" s="70"/>
      <c r="J2890" s="331">
        <f t="shared" si="165"/>
        <v>560669226.23000002</v>
      </c>
      <c r="K2890" s="422">
        <f t="shared" si="166"/>
        <v>4426965913.2919636</v>
      </c>
      <c r="L2890" s="233"/>
      <c r="M2890" s="332"/>
      <c r="N2890" s="332"/>
      <c r="O2890" s="59"/>
    </row>
    <row r="2891" spans="1:15" s="7" customFormat="1" ht="15">
      <c r="A2891" s="81"/>
      <c r="B2891" s="141"/>
      <c r="C2891" s="332" t="s">
        <v>1403</v>
      </c>
      <c r="D2891" s="327" t="s">
        <v>376</v>
      </c>
      <c r="E2891" s="328"/>
      <c r="F2891" s="364">
        <v>275658040.35000002</v>
      </c>
      <c r="G2891" s="205" t="s">
        <v>1779</v>
      </c>
      <c r="H2891" s="47"/>
      <c r="I2891" s="205"/>
      <c r="J2891" s="331">
        <f t="shared" si="165"/>
        <v>275658040.35000002</v>
      </c>
      <c r="K2891" s="422">
        <f t="shared" si="166"/>
        <v>4987635139.5219631</v>
      </c>
      <c r="L2891" s="233"/>
      <c r="M2891" s="332"/>
      <c r="N2891" s="332"/>
      <c r="O2891" s="59"/>
    </row>
    <row r="2892" spans="1:15" s="7" customFormat="1" ht="15">
      <c r="A2892" s="81"/>
      <c r="B2892" s="141"/>
      <c r="C2892" s="396" t="s">
        <v>401</v>
      </c>
      <c r="D2892" s="327" t="s">
        <v>54</v>
      </c>
      <c r="E2892" s="328"/>
      <c r="F2892" s="364">
        <v>562666225.27999997</v>
      </c>
      <c r="G2892" s="205" t="s">
        <v>2134</v>
      </c>
      <c r="H2892" s="54">
        <v>0</v>
      </c>
      <c r="I2892" s="70"/>
      <c r="J2892" s="331">
        <f t="shared" si="165"/>
        <v>562666225.27999997</v>
      </c>
      <c r="K2892" s="422">
        <f t="shared" si="166"/>
        <v>5263293179.8719635</v>
      </c>
      <c r="L2892" s="233"/>
      <c r="M2892" s="332"/>
      <c r="N2892" s="332"/>
      <c r="O2892" s="59"/>
    </row>
    <row r="2893" spans="1:15" s="7" customFormat="1" ht="15">
      <c r="A2893" s="81"/>
      <c r="B2893" s="141"/>
      <c r="C2893" s="396" t="s">
        <v>404</v>
      </c>
      <c r="D2893" s="327" t="s">
        <v>379</v>
      </c>
      <c r="E2893" s="328"/>
      <c r="F2893" s="364">
        <v>394872006.38</v>
      </c>
      <c r="G2893" s="205" t="s">
        <v>2135</v>
      </c>
      <c r="H2893" s="54">
        <v>0</v>
      </c>
      <c r="I2893" s="70"/>
      <c r="J2893" s="331">
        <f t="shared" si="165"/>
        <v>394872006.38</v>
      </c>
      <c r="K2893" s="422">
        <f t="shared" si="166"/>
        <v>5825959405.1519632</v>
      </c>
      <c r="L2893" s="233"/>
      <c r="M2893" s="332"/>
      <c r="N2893" s="332"/>
      <c r="O2893" s="59"/>
    </row>
    <row r="2894" spans="1:15" s="7" customFormat="1" ht="15">
      <c r="A2894" s="81"/>
      <c r="B2894" s="141"/>
      <c r="C2894" s="74" t="s">
        <v>406</v>
      </c>
      <c r="D2894" s="32" t="s">
        <v>381</v>
      </c>
      <c r="E2894" s="33"/>
      <c r="F2894" s="34">
        <v>456733014.32999998</v>
      </c>
      <c r="G2894" s="76" t="s">
        <v>408</v>
      </c>
      <c r="H2894" s="54">
        <v>0</v>
      </c>
      <c r="I2894" s="70"/>
      <c r="J2894" s="331">
        <f t="shared" si="165"/>
        <v>456733014.32999998</v>
      </c>
      <c r="K2894" s="422">
        <f t="shared" si="166"/>
        <v>6220831411.5319633</v>
      </c>
      <c r="L2894" s="233"/>
      <c r="M2894" s="332"/>
      <c r="N2894" s="332"/>
      <c r="O2894" s="59"/>
    </row>
    <row r="2895" spans="1:15" s="7" customFormat="1" ht="15">
      <c r="A2895" s="81"/>
      <c r="B2895" s="141"/>
      <c r="C2895" s="74" t="s">
        <v>409</v>
      </c>
      <c r="D2895" s="32" t="s">
        <v>383</v>
      </c>
      <c r="E2895" s="33"/>
      <c r="F2895" s="34">
        <v>468378117.89999998</v>
      </c>
      <c r="G2895" s="76" t="s">
        <v>1782</v>
      </c>
      <c r="H2895" s="54">
        <v>0</v>
      </c>
      <c r="I2895" s="70"/>
      <c r="J2895" s="331">
        <f t="shared" si="165"/>
        <v>468378117.89999998</v>
      </c>
      <c r="K2895" s="422">
        <f t="shared" si="166"/>
        <v>6677564425.8619633</v>
      </c>
      <c r="L2895" s="233"/>
      <c r="M2895" s="332"/>
      <c r="N2895" s="332"/>
      <c r="O2895" s="59"/>
    </row>
    <row r="2896" spans="1:15" s="7" customFormat="1" ht="15">
      <c r="A2896" s="81"/>
      <c r="B2896" s="141"/>
      <c r="C2896" s="74" t="s">
        <v>411</v>
      </c>
      <c r="D2896" s="32" t="s">
        <v>384</v>
      </c>
      <c r="E2896" s="33"/>
      <c r="F2896" s="34">
        <v>691876906.88</v>
      </c>
      <c r="G2896" s="76" t="s">
        <v>1275</v>
      </c>
      <c r="H2896" s="54">
        <v>0</v>
      </c>
      <c r="I2896" s="70"/>
      <c r="J2896" s="331">
        <f t="shared" si="165"/>
        <v>691876906.88</v>
      </c>
      <c r="K2896" s="422">
        <f t="shared" si="166"/>
        <v>7145942543.7619629</v>
      </c>
      <c r="L2896" s="233"/>
      <c r="M2896" s="332"/>
      <c r="N2896" s="332"/>
      <c r="O2896" s="59"/>
    </row>
    <row r="2897" spans="1:15" s="7" customFormat="1" ht="15">
      <c r="A2897" s="81"/>
      <c r="B2897" s="141"/>
      <c r="C2897" s="74" t="s">
        <v>414</v>
      </c>
      <c r="D2897" s="32" t="s">
        <v>385</v>
      </c>
      <c r="E2897" s="33"/>
      <c r="F2897" s="34">
        <v>710654561.13</v>
      </c>
      <c r="G2897" s="76" t="s">
        <v>2136</v>
      </c>
      <c r="H2897" s="54">
        <v>0</v>
      </c>
      <c r="I2897" s="70"/>
      <c r="J2897" s="331">
        <f t="shared" si="165"/>
        <v>710654561.13</v>
      </c>
      <c r="K2897" s="422">
        <f t="shared" si="166"/>
        <v>7837819450.641963</v>
      </c>
      <c r="L2897" s="233"/>
      <c r="M2897" s="332"/>
      <c r="N2897" s="332"/>
      <c r="O2897" s="59"/>
    </row>
    <row r="2898" spans="1:15" s="7" customFormat="1" ht="15">
      <c r="A2898" s="81"/>
      <c r="B2898" s="141"/>
      <c r="C2898" s="74" t="s">
        <v>1412</v>
      </c>
      <c r="D2898" s="32" t="s">
        <v>386</v>
      </c>
      <c r="E2898" s="33"/>
      <c r="F2898" s="34">
        <v>763162821.62</v>
      </c>
      <c r="G2898" s="75">
        <v>42441</v>
      </c>
      <c r="H2898" s="54">
        <v>0</v>
      </c>
      <c r="I2898" s="70"/>
      <c r="J2898" s="331">
        <f t="shared" si="165"/>
        <v>763162821.62</v>
      </c>
      <c r="K2898" s="422">
        <f t="shared" si="166"/>
        <v>8548474011.7719631</v>
      </c>
      <c r="L2898" s="233"/>
      <c r="M2898" s="332"/>
      <c r="N2898" s="332"/>
      <c r="O2898" s="59"/>
    </row>
    <row r="2899" spans="1:15" s="7" customFormat="1" ht="15">
      <c r="A2899" s="81"/>
      <c r="B2899" s="141"/>
      <c r="C2899" s="41" t="s">
        <v>609</v>
      </c>
      <c r="D2899" s="32" t="s">
        <v>388</v>
      </c>
      <c r="E2899" s="33"/>
      <c r="F2899" s="34">
        <v>805681107</v>
      </c>
      <c r="G2899" s="75"/>
      <c r="H2899" s="54"/>
      <c r="I2899" s="70"/>
      <c r="J2899" s="331">
        <f t="shared" si="165"/>
        <v>805681107</v>
      </c>
      <c r="K2899" s="422">
        <f t="shared" si="166"/>
        <v>9311636833.391964</v>
      </c>
      <c r="L2899" s="233"/>
      <c r="M2899" s="332"/>
      <c r="N2899" s="332"/>
      <c r="O2899" s="59"/>
    </row>
    <row r="2900" spans="1:15" s="7" customFormat="1" ht="15">
      <c r="A2900" s="81"/>
      <c r="B2900" s="141"/>
      <c r="C2900" s="41" t="s">
        <v>611</v>
      </c>
      <c r="D2900" s="32" t="s">
        <v>39</v>
      </c>
      <c r="E2900" s="33"/>
      <c r="F2900" s="34">
        <v>995289857.10000002</v>
      </c>
      <c r="G2900" s="75"/>
      <c r="H2900" s="54"/>
      <c r="I2900" s="70"/>
      <c r="J2900" s="331">
        <f t="shared" si="165"/>
        <v>995289857.10000002</v>
      </c>
      <c r="K2900" s="422">
        <f t="shared" si="166"/>
        <v>10117317940.391964</v>
      </c>
      <c r="L2900" s="233"/>
      <c r="M2900" s="332"/>
      <c r="N2900" s="332"/>
      <c r="O2900" s="59"/>
    </row>
    <row r="2901" spans="1:15" s="7" customFormat="1" ht="15">
      <c r="A2901" s="81"/>
      <c r="B2901" s="141"/>
      <c r="C2901" s="29" t="s">
        <v>614</v>
      </c>
      <c r="D2901" s="32" t="s">
        <v>390</v>
      </c>
      <c r="E2901" s="33"/>
      <c r="F2901" s="118">
        <v>530162136.52999997</v>
      </c>
      <c r="G2901" s="58" t="s">
        <v>2137</v>
      </c>
      <c r="H2901" s="47">
        <f>334943989+17628625.92</f>
        <v>352572614.92000002</v>
      </c>
      <c r="I2901" s="70"/>
      <c r="J2901" s="331">
        <f t="shared" si="165"/>
        <v>177589521.60999995</v>
      </c>
      <c r="K2901" s="422">
        <f t="shared" si="166"/>
        <v>11112607797.491964</v>
      </c>
      <c r="L2901" s="233" t="s">
        <v>1917</v>
      </c>
      <c r="M2901" s="332"/>
      <c r="N2901" s="332"/>
      <c r="O2901" s="59"/>
    </row>
    <row r="2902" spans="1:15" s="7" customFormat="1" ht="15">
      <c r="A2902" s="81">
        <v>55</v>
      </c>
      <c r="B2902" s="109"/>
      <c r="C2902" s="29" t="s">
        <v>489</v>
      </c>
      <c r="D2902" s="32" t="s">
        <v>392</v>
      </c>
      <c r="E2902" s="33"/>
      <c r="F2902" s="118">
        <v>823955582.30999994</v>
      </c>
      <c r="G2902" s="96">
        <v>43012</v>
      </c>
      <c r="H2902" s="47">
        <f>497440243+26181065.43</f>
        <v>523621308.43000001</v>
      </c>
      <c r="I2902" s="70"/>
      <c r="J2902" s="331">
        <f t="shared" si="165"/>
        <v>300334273.87999994</v>
      </c>
      <c r="K2902" s="422">
        <f t="shared" si="166"/>
        <v>11290197319.101965</v>
      </c>
      <c r="L2902" s="233" t="s">
        <v>1917</v>
      </c>
      <c r="M2902" s="332"/>
      <c r="N2902" s="332"/>
      <c r="O2902" s="59"/>
    </row>
    <row r="2903" spans="1:15" s="7" customFormat="1" ht="15">
      <c r="A2903" s="81"/>
      <c r="B2903" s="109"/>
      <c r="C2903" s="41" t="s">
        <v>490</v>
      </c>
      <c r="D2903" s="32" t="s">
        <v>393</v>
      </c>
      <c r="E2903" s="33"/>
      <c r="F2903" s="118">
        <v>844999217.15999997</v>
      </c>
      <c r="G2903" s="96" t="s">
        <v>1038</v>
      </c>
      <c r="H2903" s="47">
        <f>27470738.04+521676862.99</f>
        <v>549147601.02999997</v>
      </c>
      <c r="I2903" s="70"/>
      <c r="J2903" s="331">
        <f t="shared" si="165"/>
        <v>295851616.13</v>
      </c>
      <c r="K2903" s="422">
        <f t="shared" si="166"/>
        <v>11590531592.981964</v>
      </c>
      <c r="L2903" s="233" t="s">
        <v>1917</v>
      </c>
      <c r="M2903" s="332"/>
      <c r="N2903" s="332"/>
      <c r="O2903" s="59"/>
    </row>
    <row r="2904" spans="1:15" s="7" customFormat="1" ht="15">
      <c r="A2904" s="81"/>
      <c r="B2904" s="109"/>
      <c r="C2904" s="29" t="s">
        <v>560</v>
      </c>
      <c r="D2904" s="32" t="s">
        <v>1364</v>
      </c>
      <c r="E2904" s="33"/>
      <c r="F2904" s="95">
        <v>912753001.62</v>
      </c>
      <c r="G2904" s="96">
        <v>43014</v>
      </c>
      <c r="H2904" s="47">
        <f>589700629.48+7352343.25</f>
        <v>597052972.73000002</v>
      </c>
      <c r="I2904" s="70"/>
      <c r="J2904" s="331">
        <f t="shared" si="165"/>
        <v>315700028.88999999</v>
      </c>
      <c r="K2904" s="422">
        <f t="shared" si="166"/>
        <v>11886383209.111963</v>
      </c>
      <c r="L2904" s="233" t="s">
        <v>1917</v>
      </c>
      <c r="M2904" s="332"/>
      <c r="N2904" s="332"/>
      <c r="O2904" s="59"/>
    </row>
    <row r="2905" spans="1:15" s="7" customFormat="1" ht="15">
      <c r="A2905" s="81"/>
      <c r="B2905" s="109"/>
      <c r="C2905" s="29" t="s">
        <v>562</v>
      </c>
      <c r="D2905" s="32" t="s">
        <v>1583</v>
      </c>
      <c r="E2905" s="33"/>
      <c r="F2905" s="95">
        <v>869114297.94000006</v>
      </c>
      <c r="G2905" s="98">
        <v>42931</v>
      </c>
      <c r="H2905" s="47">
        <f>581162712.15+3481559.56</f>
        <v>584644271.70999992</v>
      </c>
      <c r="I2905" s="70"/>
      <c r="J2905" s="331">
        <f t="shared" si="165"/>
        <v>284470026.23000014</v>
      </c>
      <c r="K2905" s="422">
        <f t="shared" si="166"/>
        <v>12202083238.001963</v>
      </c>
      <c r="L2905" s="233" t="s">
        <v>1917</v>
      </c>
      <c r="M2905" s="332"/>
      <c r="N2905" s="332"/>
      <c r="O2905" s="59"/>
    </row>
    <row r="2906" spans="1:15" s="7" customFormat="1" ht="15">
      <c r="A2906" s="81"/>
      <c r="B2906" s="109"/>
      <c r="C2906" s="29" t="s">
        <v>494</v>
      </c>
      <c r="D2906" s="32" t="s">
        <v>1584</v>
      </c>
      <c r="E2906" s="33"/>
      <c r="F2906" s="95">
        <v>1024614355.28</v>
      </c>
      <c r="G2906" s="98">
        <v>42967</v>
      </c>
      <c r="H2906" s="47">
        <f>775496221.97+40815590.63</f>
        <v>816311812.60000002</v>
      </c>
      <c r="I2906" s="70"/>
      <c r="J2906" s="331">
        <f t="shared" si="165"/>
        <v>208302542.67999995</v>
      </c>
      <c r="K2906" s="422">
        <f t="shared" si="166"/>
        <v>12486553264.231962</v>
      </c>
      <c r="L2906" s="233" t="s">
        <v>1917</v>
      </c>
      <c r="M2906" s="332"/>
      <c r="N2906" s="332"/>
      <c r="O2906" s="59"/>
    </row>
    <row r="2907" spans="1:15" s="7" customFormat="1" ht="15">
      <c r="A2907" s="81"/>
      <c r="B2907" s="109"/>
      <c r="C2907" s="29" t="s">
        <v>497</v>
      </c>
      <c r="D2907" s="32" t="s">
        <v>1585</v>
      </c>
      <c r="E2907" s="33"/>
      <c r="F2907" s="95">
        <v>933772994.27999997</v>
      </c>
      <c r="G2907" s="98">
        <v>42998</v>
      </c>
      <c r="H2907" s="47">
        <f>689513420.3+36290180.02</f>
        <v>725803600.31999993</v>
      </c>
      <c r="I2907" s="70"/>
      <c r="J2907" s="331">
        <f t="shared" si="165"/>
        <v>207969393.96000004</v>
      </c>
      <c r="K2907" s="422">
        <f t="shared" si="166"/>
        <v>12694855806.911963</v>
      </c>
      <c r="L2907" s="233" t="s">
        <v>1917</v>
      </c>
      <c r="M2907" s="332"/>
      <c r="N2907" s="332"/>
      <c r="O2907" s="59"/>
    </row>
    <row r="2908" spans="1:15" s="7" customFormat="1" ht="15">
      <c r="A2908" s="81"/>
      <c r="B2908" s="109"/>
      <c r="C2908" s="29" t="s">
        <v>498</v>
      </c>
      <c r="D2908" s="32" t="s">
        <v>1586</v>
      </c>
      <c r="E2908" s="33"/>
      <c r="F2908" s="95">
        <v>846075541.5</v>
      </c>
      <c r="G2908" s="98" t="s">
        <v>493</v>
      </c>
      <c r="H2908" s="47">
        <f>543635178.48+28612377.81</f>
        <v>572247556.28999996</v>
      </c>
      <c r="I2908" s="70"/>
      <c r="J2908" s="331">
        <f t="shared" si="165"/>
        <v>273827985.21000004</v>
      </c>
      <c r="K2908" s="422">
        <f t="shared" si="166"/>
        <v>12902825200.871964</v>
      </c>
      <c r="L2908" s="233" t="s">
        <v>1917</v>
      </c>
      <c r="M2908" s="332"/>
      <c r="N2908" s="332"/>
      <c r="O2908" s="59"/>
    </row>
    <row r="2909" spans="1:15" s="7" customFormat="1" ht="15">
      <c r="A2909" s="81"/>
      <c r="B2909" s="109"/>
      <c r="C2909" s="29" t="s">
        <v>564</v>
      </c>
      <c r="D2909" s="32" t="s">
        <v>1587</v>
      </c>
      <c r="E2909" s="33"/>
      <c r="F2909" s="95">
        <v>806861529.60000002</v>
      </c>
      <c r="G2909" s="98">
        <v>43044</v>
      </c>
      <c r="H2909" s="47">
        <f>547524092.32+28817057.49</f>
        <v>576341149.81000006</v>
      </c>
      <c r="I2909" s="70"/>
      <c r="J2909" s="331">
        <f t="shared" si="165"/>
        <v>230520379.78999996</v>
      </c>
      <c r="K2909" s="422">
        <f t="shared" si="166"/>
        <v>13176653186.081963</v>
      </c>
      <c r="L2909" s="233" t="s">
        <v>1917</v>
      </c>
      <c r="M2909" s="332"/>
      <c r="N2909" s="332"/>
      <c r="O2909" s="59"/>
    </row>
    <row r="2910" spans="1:15" s="7" customFormat="1" ht="15">
      <c r="A2910" s="81"/>
      <c r="B2910" s="109"/>
      <c r="C2910" s="29" t="s">
        <v>500</v>
      </c>
      <c r="D2910" s="32" t="s">
        <v>1628</v>
      </c>
      <c r="E2910" s="33"/>
      <c r="F2910" s="95">
        <v>908286978.38</v>
      </c>
      <c r="G2910" s="98">
        <v>43044</v>
      </c>
      <c r="H2910" s="47">
        <f>692395601.42+36441873.76</f>
        <v>728837475.17999995</v>
      </c>
      <c r="I2910" s="70"/>
      <c r="J2910" s="331">
        <f t="shared" si="165"/>
        <v>179449503.20000005</v>
      </c>
      <c r="K2910" s="422">
        <f t="shared" si="166"/>
        <v>13407173565.871964</v>
      </c>
      <c r="L2910" s="233" t="s">
        <v>1917</v>
      </c>
      <c r="M2910" s="332"/>
      <c r="N2910" s="332"/>
      <c r="O2910" s="59"/>
    </row>
    <row r="2911" spans="1:15" s="7" customFormat="1" ht="15">
      <c r="A2911" s="81"/>
      <c r="B2911" s="109"/>
      <c r="C2911" s="29" t="s">
        <v>501</v>
      </c>
      <c r="D2911" s="32" t="s">
        <v>1629</v>
      </c>
      <c r="E2911" s="33"/>
      <c r="F2911" s="95">
        <v>966412601.70000005</v>
      </c>
      <c r="G2911" s="98">
        <v>43405</v>
      </c>
      <c r="H2911" s="47">
        <v>703906603.22000003</v>
      </c>
      <c r="I2911" s="70"/>
      <c r="J2911" s="331">
        <f t="shared" si="165"/>
        <v>262505998.48000002</v>
      </c>
      <c r="K2911" s="422">
        <f t="shared" si="166"/>
        <v>13586623069.071964</v>
      </c>
      <c r="L2911" s="233" t="s">
        <v>1917</v>
      </c>
      <c r="M2911" s="332"/>
      <c r="N2911" s="332"/>
      <c r="O2911" s="59"/>
    </row>
    <row r="2912" spans="1:15" s="7" customFormat="1" ht="15">
      <c r="A2912" s="81"/>
      <c r="B2912" s="109"/>
      <c r="C2912" s="29" t="s">
        <v>504</v>
      </c>
      <c r="D2912" s="32" t="s">
        <v>1631</v>
      </c>
      <c r="E2912" s="33"/>
      <c r="F2912" s="95">
        <v>1055340931.05</v>
      </c>
      <c r="G2912" s="98">
        <v>43375</v>
      </c>
      <c r="H2912" s="47">
        <v>904577940.89999998</v>
      </c>
      <c r="I2912" s="70"/>
      <c r="J2912" s="331">
        <f t="shared" si="165"/>
        <v>150762990.14999998</v>
      </c>
      <c r="K2912" s="422">
        <f t="shared" si="166"/>
        <v>13849129067.551964</v>
      </c>
      <c r="L2912" s="233" t="s">
        <v>1917</v>
      </c>
      <c r="M2912" s="332"/>
      <c r="N2912" s="332"/>
      <c r="O2912" s="59"/>
    </row>
    <row r="2913" spans="1:15" s="7" customFormat="1" ht="15">
      <c r="A2913" s="81"/>
      <c r="B2913" s="109"/>
      <c r="C2913" s="29" t="s">
        <v>506</v>
      </c>
      <c r="D2913" s="32" t="s">
        <v>1632</v>
      </c>
      <c r="E2913" s="33"/>
      <c r="F2913" s="95">
        <v>1105661181.24</v>
      </c>
      <c r="G2913" s="98" t="s">
        <v>1302</v>
      </c>
      <c r="H2913" s="47">
        <v>947709583.91999996</v>
      </c>
      <c r="I2913" s="70"/>
      <c r="J2913" s="331">
        <f t="shared" si="165"/>
        <v>157951597.32000005</v>
      </c>
      <c r="K2913" s="422">
        <f t="shared" si="166"/>
        <v>13999892057.701963</v>
      </c>
      <c r="L2913" s="233" t="s">
        <v>1917</v>
      </c>
      <c r="M2913" s="332"/>
      <c r="N2913" s="332"/>
      <c r="O2913" s="59"/>
    </row>
    <row r="2914" spans="1:15" s="7" customFormat="1" ht="15">
      <c r="A2914" s="81"/>
      <c r="B2914" s="109"/>
      <c r="C2914" s="29" t="s">
        <v>508</v>
      </c>
      <c r="D2914" s="32" t="s">
        <v>1633</v>
      </c>
      <c r="E2914" s="33"/>
      <c r="F2914" s="95">
        <v>1173340988.8199999</v>
      </c>
      <c r="G2914" s="75" t="s">
        <v>509</v>
      </c>
      <c r="H2914" s="47">
        <v>782227325.88</v>
      </c>
      <c r="I2914" s="70"/>
      <c r="J2914" s="331">
        <f t="shared" si="165"/>
        <v>391113662.93999994</v>
      </c>
      <c r="K2914" s="422">
        <f t="shared" si="166"/>
        <v>14157843655.021963</v>
      </c>
      <c r="L2914" s="233" t="s">
        <v>1917</v>
      </c>
      <c r="M2914" s="332"/>
      <c r="N2914" s="332"/>
      <c r="O2914" s="59"/>
    </row>
    <row r="2915" spans="1:15" s="7" customFormat="1" ht="15">
      <c r="A2915" s="81"/>
      <c r="B2915" s="109"/>
      <c r="C2915" s="29" t="s">
        <v>2138</v>
      </c>
      <c r="D2915" s="32" t="s">
        <v>1366</v>
      </c>
      <c r="E2915" s="33"/>
      <c r="F2915" s="95">
        <v>1326887664.7950001</v>
      </c>
      <c r="G2915" s="75" t="s">
        <v>1931</v>
      </c>
      <c r="H2915" s="47">
        <f>477858749.99+347293342.64</f>
        <v>825152092.63</v>
      </c>
      <c r="I2915" s="70"/>
      <c r="J2915" s="331">
        <f t="shared" si="165"/>
        <v>501735572.16500008</v>
      </c>
      <c r="K2915" s="422">
        <f t="shared" si="166"/>
        <v>14548957317.961964</v>
      </c>
      <c r="L2915" s="233" t="s">
        <v>1917</v>
      </c>
      <c r="M2915" s="332"/>
      <c r="N2915" s="332"/>
      <c r="O2915" s="59"/>
    </row>
    <row r="2916" spans="1:15" s="7" customFormat="1" ht="15">
      <c r="A2916" s="81"/>
      <c r="B2916" s="109"/>
      <c r="C2916" s="31" t="s">
        <v>234</v>
      </c>
      <c r="D2916" s="32" t="s">
        <v>1369</v>
      </c>
      <c r="E2916" s="33"/>
      <c r="F2916" s="95">
        <v>1241716485.24</v>
      </c>
      <c r="G2916" s="75" t="s">
        <v>513</v>
      </c>
      <c r="H2916" s="47">
        <v>827810990.15999997</v>
      </c>
      <c r="I2916" s="70"/>
      <c r="J2916" s="331">
        <f t="shared" si="165"/>
        <v>413905495.08000004</v>
      </c>
      <c r="K2916" s="422">
        <f t="shared" si="166"/>
        <v>15050692890.126965</v>
      </c>
      <c r="L2916" s="233" t="s">
        <v>1917</v>
      </c>
      <c r="M2916" s="332"/>
      <c r="N2916" s="332"/>
      <c r="O2916" s="59"/>
    </row>
    <row r="2917" spans="1:15" s="7" customFormat="1" ht="15">
      <c r="A2917" s="81"/>
      <c r="B2917" s="109"/>
      <c r="C2917" s="31" t="s">
        <v>416</v>
      </c>
      <c r="D2917" s="32" t="s">
        <v>1246</v>
      </c>
      <c r="E2917" s="33"/>
      <c r="F2917" s="95">
        <v>339182994.14999998</v>
      </c>
      <c r="G2917" s="75" t="s">
        <v>571</v>
      </c>
      <c r="H2917" s="47">
        <f>215999006.99+6236702.64</f>
        <v>222235709.63</v>
      </c>
      <c r="I2917" s="70"/>
      <c r="J2917" s="331">
        <f t="shared" si="165"/>
        <v>116947284.51999998</v>
      </c>
      <c r="K2917" s="422">
        <f t="shared" si="166"/>
        <v>15464598385.206964</v>
      </c>
      <c r="L2917" s="233" t="s">
        <v>1917</v>
      </c>
      <c r="M2917" s="332"/>
      <c r="N2917" s="332"/>
      <c r="O2917" s="59"/>
    </row>
    <row r="2918" spans="1:15" s="7" customFormat="1" ht="15">
      <c r="A2918" s="81"/>
      <c r="B2918" s="109"/>
      <c r="C2918" s="102" t="s">
        <v>238</v>
      </c>
      <c r="D2918" s="32" t="s">
        <v>1247</v>
      </c>
      <c r="E2918" s="33"/>
      <c r="F2918" s="95">
        <v>248588833.50000003</v>
      </c>
      <c r="G2918" s="75" t="s">
        <v>572</v>
      </c>
      <c r="H2918" s="47">
        <f>205909972.16+5256374.77</f>
        <v>211166346.93000001</v>
      </c>
      <c r="I2918" s="70"/>
      <c r="J2918" s="331">
        <f t="shared" si="165"/>
        <v>37422486.570000023</v>
      </c>
      <c r="K2918" s="422">
        <f t="shared" si="166"/>
        <v>15581545669.726965</v>
      </c>
      <c r="L2918" s="233" t="s">
        <v>1917</v>
      </c>
      <c r="M2918" s="332"/>
      <c r="N2918" s="332"/>
      <c r="O2918" s="59"/>
    </row>
    <row r="2919" spans="1:15" s="7" customFormat="1" ht="15">
      <c r="A2919" s="81"/>
      <c r="B2919" s="109"/>
      <c r="C2919" s="102" t="s">
        <v>517</v>
      </c>
      <c r="D2919" s="32" t="s">
        <v>1248</v>
      </c>
      <c r="E2919" s="33"/>
      <c r="F2919" s="95">
        <v>728959140</v>
      </c>
      <c r="G2919" s="75" t="s">
        <v>956</v>
      </c>
      <c r="H2919" s="47">
        <v>641433156</v>
      </c>
      <c r="I2919" s="70"/>
      <c r="J2919" s="331">
        <f t="shared" si="165"/>
        <v>87525984</v>
      </c>
      <c r="K2919" s="422">
        <f t="shared" si="166"/>
        <v>15618968156.296965</v>
      </c>
      <c r="L2919" s="233" t="s">
        <v>1917</v>
      </c>
      <c r="M2919" s="332"/>
      <c r="N2919" s="332"/>
      <c r="O2919" s="59"/>
    </row>
    <row r="2920" spans="1:15" s="7" customFormat="1" ht="15">
      <c r="A2920" s="81"/>
      <c r="B2920" s="109"/>
      <c r="C2920" s="102" t="s">
        <v>243</v>
      </c>
      <c r="D2920" s="32" t="s">
        <v>1250</v>
      </c>
      <c r="E2920" s="33"/>
      <c r="F2920" s="95">
        <v>119470617</v>
      </c>
      <c r="G2920" s="75" t="s">
        <v>424</v>
      </c>
      <c r="H2920" s="47">
        <v>104003147.22</v>
      </c>
      <c r="I2920" s="70"/>
      <c r="J2920" s="331">
        <f t="shared" si="165"/>
        <v>15467469.780000001</v>
      </c>
      <c r="K2920" s="422">
        <f t="shared" si="166"/>
        <v>15706494140.296965</v>
      </c>
      <c r="L2920" s="233" t="s">
        <v>1917</v>
      </c>
      <c r="M2920" s="332"/>
      <c r="N2920" s="332"/>
      <c r="O2920" s="59"/>
    </row>
    <row r="2921" spans="1:15" s="7" customFormat="1" ht="15">
      <c r="A2921" s="81"/>
      <c r="B2921" s="109"/>
      <c r="C2921" s="102" t="s">
        <v>250</v>
      </c>
      <c r="D2921" s="32" t="s">
        <v>113</v>
      </c>
      <c r="E2921" s="33"/>
      <c r="F2921" s="95">
        <v>295340943.24000001</v>
      </c>
      <c r="G2921" s="75" t="s">
        <v>578</v>
      </c>
      <c r="H2921" s="47">
        <v>259899618.72</v>
      </c>
      <c r="J2921" s="331">
        <f t="shared" si="165"/>
        <v>35441324.520000011</v>
      </c>
      <c r="K2921" s="422">
        <f t="shared" si="166"/>
        <v>15721961610.076965</v>
      </c>
      <c r="L2921" s="233" t="s">
        <v>1917</v>
      </c>
      <c r="M2921" s="332"/>
      <c r="N2921" s="332"/>
      <c r="O2921" s="59"/>
    </row>
    <row r="2922" spans="1:15" s="7" customFormat="1" ht="15">
      <c r="A2922" s="81"/>
      <c r="B2922" s="109"/>
      <c r="C2922" s="111" t="s">
        <v>139</v>
      </c>
      <c r="D2922" s="103" t="s">
        <v>229</v>
      </c>
      <c r="E2922" s="322"/>
      <c r="F2922" s="104">
        <v>1128022707</v>
      </c>
      <c r="G2922" s="105" t="s">
        <v>579</v>
      </c>
      <c r="H2922" s="47">
        <v>752015138</v>
      </c>
      <c r="I2922" s="205" t="s">
        <v>1352</v>
      </c>
      <c r="J2922" s="331">
        <f t="shared" si="165"/>
        <v>376007569</v>
      </c>
      <c r="K2922" s="422">
        <f t="shared" si="166"/>
        <v>15757402934.596966</v>
      </c>
      <c r="L2922" s="233" t="s">
        <v>1917</v>
      </c>
      <c r="M2922" s="332"/>
      <c r="N2922" s="332"/>
      <c r="O2922" s="59"/>
    </row>
    <row r="2923" spans="1:15" s="7" customFormat="1" ht="15">
      <c r="A2923" s="81"/>
      <c r="B2923" s="109"/>
      <c r="C2923" s="42" t="s">
        <v>142</v>
      </c>
      <c r="D2923" s="32" t="s">
        <v>232</v>
      </c>
      <c r="E2923" s="33"/>
      <c r="F2923" s="95">
        <v>1179213411.684</v>
      </c>
      <c r="G2923" s="75"/>
      <c r="H2923" s="47">
        <v>786142274.45000005</v>
      </c>
      <c r="I2923" s="205" t="s">
        <v>527</v>
      </c>
      <c r="J2923" s="331">
        <f t="shared" si="165"/>
        <v>393071137.23399997</v>
      </c>
      <c r="K2923" s="422">
        <f t="shared" si="166"/>
        <v>16133410503.596966</v>
      </c>
      <c r="L2923" s="233" t="s">
        <v>1917</v>
      </c>
      <c r="M2923" s="332"/>
      <c r="N2923" s="332"/>
      <c r="O2923" s="59"/>
    </row>
    <row r="2924" spans="1:15" s="7" customFormat="1" ht="15">
      <c r="A2924" s="81"/>
      <c r="B2924" s="109"/>
      <c r="C2924" s="42" t="s">
        <v>145</v>
      </c>
      <c r="D2924" s="32" t="s">
        <v>235</v>
      </c>
      <c r="E2924" s="33"/>
      <c r="F2924" s="95">
        <v>1191345246</v>
      </c>
      <c r="G2924" s="75" t="s">
        <v>579</v>
      </c>
      <c r="H2924" s="47">
        <v>641957514.05999994</v>
      </c>
      <c r="I2924" s="70" t="s">
        <v>527</v>
      </c>
      <c r="J2924" s="331">
        <f t="shared" si="165"/>
        <v>549387731.94000006</v>
      </c>
      <c r="K2924" s="422">
        <f t="shared" si="166"/>
        <v>16526481640.830965</v>
      </c>
      <c r="L2924" s="233" t="s">
        <v>1917</v>
      </c>
      <c r="M2924" s="332"/>
      <c r="N2924" s="332"/>
      <c r="O2924" s="59"/>
    </row>
    <row r="2925" spans="1:15" s="7" customFormat="1" ht="15">
      <c r="A2925" s="81"/>
      <c r="B2925" s="109"/>
      <c r="C2925" s="42" t="s">
        <v>148</v>
      </c>
      <c r="D2925" s="32" t="s">
        <v>237</v>
      </c>
      <c r="E2925" s="33"/>
      <c r="F2925" s="95">
        <v>899605468.125</v>
      </c>
      <c r="G2925" s="75" t="s">
        <v>147</v>
      </c>
      <c r="H2925" s="47">
        <v>856767112.5</v>
      </c>
      <c r="I2925" s="70"/>
      <c r="J2925" s="331">
        <f t="shared" si="165"/>
        <v>42838355.625</v>
      </c>
      <c r="K2925" s="422">
        <f t="shared" si="166"/>
        <v>17075869372.770966</v>
      </c>
      <c r="L2925" s="233"/>
      <c r="M2925" s="332"/>
      <c r="N2925" s="332"/>
      <c r="O2925" s="59"/>
    </row>
    <row r="2926" spans="1:15" s="7" customFormat="1" ht="15">
      <c r="A2926" s="81"/>
      <c r="B2926" s="109"/>
      <c r="C2926" s="42" t="s">
        <v>151</v>
      </c>
      <c r="D2926" s="32" t="s">
        <v>33</v>
      </c>
      <c r="E2926" s="33"/>
      <c r="F2926" s="95">
        <v>1138808575.5899999</v>
      </c>
      <c r="G2926" s="75" t="s">
        <v>152</v>
      </c>
      <c r="H2926" s="47">
        <v>1084579595.8</v>
      </c>
      <c r="I2926" s="205" t="s">
        <v>1358</v>
      </c>
      <c r="J2926" s="331">
        <f t="shared" si="165"/>
        <v>54228979.789999962</v>
      </c>
      <c r="K2926" s="422">
        <f t="shared" si="166"/>
        <v>17118707728.395966</v>
      </c>
      <c r="L2926" s="233"/>
      <c r="M2926" s="332"/>
      <c r="N2926" s="332"/>
      <c r="O2926" s="59"/>
    </row>
    <row r="2927" spans="1:15" s="7" customFormat="1" ht="15">
      <c r="A2927" s="81"/>
      <c r="B2927" s="109"/>
      <c r="C2927" s="42" t="s">
        <v>154</v>
      </c>
      <c r="D2927" s="32" t="s">
        <v>241</v>
      </c>
      <c r="E2927" s="33"/>
      <c r="F2927" s="95">
        <v>1163783565</v>
      </c>
      <c r="G2927" s="75" t="s">
        <v>156</v>
      </c>
      <c r="H2927" s="47">
        <v>886692240</v>
      </c>
      <c r="I2927" s="70" t="s">
        <v>527</v>
      </c>
      <c r="J2927" s="331">
        <f t="shared" si="165"/>
        <v>277091325</v>
      </c>
      <c r="K2927" s="422">
        <f t="shared" si="166"/>
        <v>17172936708.185966</v>
      </c>
      <c r="L2927" s="233"/>
      <c r="M2927" s="332"/>
      <c r="N2927" s="332"/>
      <c r="O2927" s="59"/>
    </row>
    <row r="2928" spans="1:15" s="7" customFormat="1" ht="15">
      <c r="A2928" s="81"/>
      <c r="B2928" s="109"/>
      <c r="C2928" s="42" t="s">
        <v>158</v>
      </c>
      <c r="D2928" s="32" t="s">
        <v>244</v>
      </c>
      <c r="E2928" s="33"/>
      <c r="F2928" s="95">
        <v>916928900.15999997</v>
      </c>
      <c r="G2928" s="75" t="s">
        <v>160</v>
      </c>
      <c r="H2928" s="47">
        <f>87326561.91+785939057.29</f>
        <v>873265619.19999993</v>
      </c>
      <c r="I2928" s="205" t="s">
        <v>1607</v>
      </c>
      <c r="J2928" s="331">
        <f t="shared" si="165"/>
        <v>43663280.960000038</v>
      </c>
      <c r="K2928" s="422">
        <f t="shared" si="166"/>
        <v>17450028033.185966</v>
      </c>
      <c r="L2928" s="233"/>
      <c r="M2928" s="332"/>
      <c r="N2928" s="332"/>
      <c r="O2928" s="59"/>
    </row>
    <row r="2929" spans="1:15" s="7" customFormat="1" ht="15">
      <c r="A2929" s="81"/>
      <c r="B2929" s="109"/>
      <c r="C2929" s="42" t="s">
        <v>162</v>
      </c>
      <c r="D2929" s="32" t="s">
        <v>57</v>
      </c>
      <c r="E2929" s="33"/>
      <c r="F2929" s="95">
        <v>790229622.83999991</v>
      </c>
      <c r="G2929" s="75" t="s">
        <v>164</v>
      </c>
      <c r="H2929" s="47">
        <f>75259964.08+677339676.72</f>
        <v>752599640.80000007</v>
      </c>
      <c r="I2929" s="205" t="s">
        <v>1205</v>
      </c>
      <c r="J2929" s="331">
        <f t="shared" si="165"/>
        <v>37629982.039999843</v>
      </c>
      <c r="K2929" s="422">
        <f t="shared" si="166"/>
        <v>17493691314.145966</v>
      </c>
      <c r="L2929" s="233"/>
      <c r="M2929" s="332"/>
      <c r="N2929" s="332"/>
      <c r="O2929" s="59"/>
    </row>
    <row r="2930" spans="1:15" s="7" customFormat="1" ht="15">
      <c r="A2930" s="81"/>
      <c r="B2930" s="109"/>
      <c r="C2930" s="42" t="s">
        <v>166</v>
      </c>
      <c r="D2930" s="32" t="s">
        <v>249</v>
      </c>
      <c r="E2930" s="33"/>
      <c r="F2930" s="95">
        <v>682311819</v>
      </c>
      <c r="G2930" s="75" t="s">
        <v>164</v>
      </c>
      <c r="H2930" s="47">
        <f>81237597.5+568583182.5</f>
        <v>649820780</v>
      </c>
      <c r="J2930" s="331">
        <f t="shared" si="165"/>
        <v>32491039</v>
      </c>
      <c r="K2930" s="422">
        <f t="shared" si="166"/>
        <v>17531321296.185966</v>
      </c>
      <c r="L2930" s="55"/>
      <c r="M2930" s="332"/>
      <c r="N2930" s="332"/>
      <c r="O2930" s="59"/>
    </row>
    <row r="2931" spans="1:15" s="7" customFormat="1" ht="15">
      <c r="A2931" s="81"/>
      <c r="B2931" s="109"/>
      <c r="C2931" s="42" t="s">
        <v>170</v>
      </c>
      <c r="D2931" s="32" t="s">
        <v>251</v>
      </c>
      <c r="E2931" s="33"/>
      <c r="F2931" s="95">
        <v>624461184.375</v>
      </c>
      <c r="G2931" s="75" t="s">
        <v>172</v>
      </c>
      <c r="H2931" s="47">
        <f>74340617.19+520384320.31</f>
        <v>594724937.5</v>
      </c>
      <c r="I2931" s="205" t="s">
        <v>165</v>
      </c>
      <c r="J2931" s="331">
        <f t="shared" si="165"/>
        <v>29736246.875</v>
      </c>
      <c r="K2931" s="422">
        <f t="shared" si="166"/>
        <v>17563812335.185966</v>
      </c>
      <c r="L2931" s="39"/>
      <c r="M2931" s="332"/>
      <c r="N2931" s="332"/>
      <c r="O2931" s="59"/>
    </row>
    <row r="2932" spans="1:15" s="7" customFormat="1" ht="15">
      <c r="A2932" s="81"/>
      <c r="B2932" s="109"/>
      <c r="C2932" s="42" t="s">
        <v>174</v>
      </c>
      <c r="D2932" s="32" t="s">
        <v>253</v>
      </c>
      <c r="E2932" s="33"/>
      <c r="F2932" s="95">
        <v>612432975</v>
      </c>
      <c r="G2932" s="75" t="s">
        <v>176</v>
      </c>
      <c r="H2932" s="47">
        <f>116653900+466615600</f>
        <v>583269500</v>
      </c>
      <c r="I2932" s="205" t="s">
        <v>1016</v>
      </c>
      <c r="J2932" s="331">
        <f t="shared" si="165"/>
        <v>29163475</v>
      </c>
      <c r="K2932" s="422">
        <f t="shared" si="166"/>
        <v>17593548582.060966</v>
      </c>
      <c r="L2932" s="39"/>
      <c r="M2932" s="332"/>
      <c r="N2932" s="332"/>
      <c r="O2932" s="59"/>
    </row>
    <row r="2933" spans="1:15" s="7" customFormat="1" ht="15">
      <c r="A2933" s="81"/>
      <c r="B2933" s="109"/>
      <c r="C2933" s="42" t="s">
        <v>778</v>
      </c>
      <c r="D2933" s="32" t="s">
        <v>255</v>
      </c>
      <c r="E2933" s="33"/>
      <c r="F2933" s="95">
        <v>895418268.14999998</v>
      </c>
      <c r="G2933" s="75" t="s">
        <v>179</v>
      </c>
      <c r="H2933" s="47">
        <f>170555860.6+682223442.4</f>
        <v>852779303</v>
      </c>
      <c r="I2933" s="205" t="s">
        <v>1066</v>
      </c>
      <c r="J2933" s="331">
        <f t="shared" si="165"/>
        <v>42638965.149999976</v>
      </c>
      <c r="K2933" s="422">
        <f t="shared" si="166"/>
        <v>17622712057.060966</v>
      </c>
      <c r="L2933" s="39"/>
      <c r="M2933" s="332"/>
      <c r="N2933" s="332"/>
      <c r="O2933" s="59"/>
    </row>
    <row r="2934" spans="1:15" s="7" customFormat="1" ht="15">
      <c r="A2934" s="81"/>
      <c r="B2934" s="109"/>
      <c r="C2934" s="42" t="s">
        <v>1566</v>
      </c>
      <c r="D2934" s="32" t="s">
        <v>258</v>
      </c>
      <c r="E2934" s="33"/>
      <c r="F2934" s="95">
        <v>619248891.38831246</v>
      </c>
      <c r="G2934" s="75" t="s">
        <v>183</v>
      </c>
      <c r="H2934" s="47">
        <f>88464158.37+501296897.46</f>
        <v>589761055.82999992</v>
      </c>
      <c r="I2934" s="205" t="s">
        <v>2139</v>
      </c>
      <c r="J2934" s="331">
        <f t="shared" si="165"/>
        <v>29487835.558312535</v>
      </c>
      <c r="K2934" s="422">
        <f t="shared" si="166"/>
        <v>17665351022.210968</v>
      </c>
      <c r="L2934" s="39"/>
      <c r="M2934" s="332"/>
      <c r="N2934" s="332"/>
      <c r="O2934" s="59"/>
    </row>
    <row r="2935" spans="1:15" s="7" customFormat="1" ht="15">
      <c r="A2935" s="81"/>
      <c r="B2935" s="109"/>
      <c r="C2935" s="42"/>
      <c r="D2935" s="32"/>
      <c r="E2935" s="33"/>
      <c r="F2935" s="95"/>
      <c r="G2935" s="75"/>
      <c r="H2935" s="47">
        <f>17628631+26181065.5+23892937.5+9538175.43+311835.13+262818.74</f>
        <v>77815463.299999997</v>
      </c>
      <c r="I2935" s="205" t="s">
        <v>2140</v>
      </c>
      <c r="J2935" s="331">
        <f t="shared" si="165"/>
        <v>-77815463.299999997</v>
      </c>
      <c r="K2935" s="422">
        <f t="shared" si="166"/>
        <v>17694838857.769279</v>
      </c>
      <c r="L2935" s="39" t="s">
        <v>2005</v>
      </c>
      <c r="M2935" s="332"/>
      <c r="N2935" s="332"/>
      <c r="O2935" s="59"/>
    </row>
    <row r="2936" spans="1:15" s="7" customFormat="1" ht="15">
      <c r="A2936" s="81"/>
      <c r="B2936" s="109"/>
      <c r="C2936" s="42"/>
      <c r="D2936" s="32"/>
      <c r="E2936" s="33"/>
      <c r="F2936" s="95"/>
      <c r="G2936" s="75"/>
      <c r="H2936" s="55">
        <v>223749894.58000565</v>
      </c>
      <c r="J2936" s="331">
        <f t="shared" si="165"/>
        <v>-223749894.58000565</v>
      </c>
      <c r="K2936" s="422">
        <f t="shared" si="166"/>
        <v>17617023394.46928</v>
      </c>
      <c r="L2936" s="39"/>
      <c r="M2936" s="424"/>
      <c r="N2936" s="332"/>
      <c r="O2936" s="59"/>
    </row>
    <row r="2937" spans="1:15" s="7" customFormat="1" ht="15">
      <c r="A2937" s="81"/>
      <c r="B2937" s="109"/>
      <c r="C2937" s="42"/>
      <c r="D2937" s="32"/>
      <c r="E2937" s="33"/>
      <c r="F2937" s="95"/>
      <c r="G2937" s="75"/>
      <c r="H2937" s="47">
        <v>1623094801.3399999</v>
      </c>
      <c r="I2937" s="205" t="s">
        <v>2141</v>
      </c>
      <c r="J2937" s="331">
        <f t="shared" si="165"/>
        <v>-1623094801.3399999</v>
      </c>
      <c r="K2937" s="422">
        <f t="shared" si="166"/>
        <v>17393273499.889275</v>
      </c>
      <c r="L2937" s="39"/>
      <c r="M2937" s="332"/>
      <c r="N2937" s="332"/>
      <c r="O2937" s="59"/>
    </row>
    <row r="2938" spans="1:15" s="7" customFormat="1" ht="15">
      <c r="A2938" s="81"/>
      <c r="B2938" s="109"/>
      <c r="C2938" s="42"/>
      <c r="D2938" s="32"/>
      <c r="E2938" s="33"/>
      <c r="F2938" s="95"/>
      <c r="G2938" s="75"/>
      <c r="H2938" s="47">
        <v>221673060</v>
      </c>
      <c r="I2938" s="207">
        <v>43927</v>
      </c>
      <c r="J2938" s="331">
        <f t="shared" si="165"/>
        <v>-221673060</v>
      </c>
      <c r="K2938" s="422">
        <f t="shared" si="166"/>
        <v>15770178698.549274</v>
      </c>
      <c r="L2938" s="39"/>
      <c r="M2938" s="332"/>
      <c r="N2938" s="332"/>
      <c r="O2938" s="59"/>
    </row>
    <row r="2939" spans="1:15" s="7" customFormat="1" ht="15">
      <c r="A2939" s="81"/>
      <c r="B2939" s="109"/>
      <c r="C2939" s="42"/>
      <c r="D2939" s="32"/>
      <c r="E2939" s="33"/>
      <c r="F2939" s="95"/>
      <c r="G2939" s="75"/>
      <c r="H2939" s="47">
        <v>393529449.47000003</v>
      </c>
      <c r="I2939" s="207" t="s">
        <v>887</v>
      </c>
      <c r="J2939" s="331">
        <f>F2939-H2939</f>
        <v>-393529449.47000003</v>
      </c>
      <c r="K2939" s="422">
        <f t="shared" si="166"/>
        <v>15548505638.549274</v>
      </c>
      <c r="L2939" s="39"/>
      <c r="M2939" s="332"/>
      <c r="N2939" s="332"/>
      <c r="O2939" s="59"/>
    </row>
    <row r="2940" spans="1:15" s="7" customFormat="1" ht="15">
      <c r="A2940" s="81"/>
      <c r="B2940" s="109"/>
      <c r="C2940" s="42"/>
      <c r="D2940" s="32"/>
      <c r="E2940" s="33"/>
      <c r="F2940" s="95"/>
      <c r="G2940" s="75"/>
      <c r="H2940" s="47">
        <v>115603211.08</v>
      </c>
      <c r="I2940" s="207"/>
      <c r="J2940" s="331">
        <f>F2940-H2940</f>
        <v>-115603211.08</v>
      </c>
      <c r="K2940" s="422">
        <f>K2939+J2939</f>
        <v>15154976189.079275</v>
      </c>
      <c r="L2940" s="39"/>
      <c r="M2940" s="332"/>
      <c r="N2940" s="332"/>
      <c r="O2940" s="59"/>
    </row>
    <row r="2941" spans="1:15" s="7" customFormat="1" ht="15">
      <c r="A2941" s="81"/>
      <c r="B2941" s="109"/>
      <c r="C2941" s="42"/>
      <c r="D2941" s="32"/>
      <c r="E2941" s="33"/>
      <c r="F2941" s="95"/>
      <c r="G2941" s="75"/>
      <c r="H2941" s="47">
        <v>393529449.47000003</v>
      </c>
      <c r="I2941" s="207"/>
      <c r="J2941" s="331">
        <f>F2941-H2941</f>
        <v>-393529449.47000003</v>
      </c>
      <c r="K2941" s="422">
        <f>K2940+J2940</f>
        <v>15039372977.999275</v>
      </c>
      <c r="L2941" s="39"/>
      <c r="M2941" s="332"/>
      <c r="N2941" s="331"/>
      <c r="O2941" s="59"/>
    </row>
    <row r="2942" spans="1:15" s="7" customFormat="1" ht="15">
      <c r="A2942" s="81"/>
      <c r="B2942" s="109"/>
      <c r="C2942" s="42"/>
      <c r="D2942" s="32"/>
      <c r="E2942" s="33"/>
      <c r="F2942" s="95"/>
      <c r="G2942" s="75"/>
      <c r="H2942" s="47">
        <v>210337838.47</v>
      </c>
      <c r="I2942" s="207"/>
      <c r="J2942" s="331">
        <f>F2942-H2942</f>
        <v>-210337838.47</v>
      </c>
      <c r="K2942" s="422">
        <f>K2941+J2941</f>
        <v>14645843528.529276</v>
      </c>
      <c r="L2942" s="39"/>
      <c r="M2942" s="332"/>
      <c r="N2942" s="332"/>
      <c r="O2942" s="59"/>
    </row>
    <row r="2943" spans="1:15" s="7" customFormat="1" ht="15">
      <c r="A2943" s="81"/>
      <c r="B2943" s="109"/>
      <c r="C2943" s="42"/>
      <c r="D2943" s="32"/>
      <c r="E2943" s="33"/>
      <c r="F2943" s="95"/>
      <c r="G2943" s="75"/>
      <c r="H2943" s="47">
        <v>67523357.049999997</v>
      </c>
      <c r="I2943" s="207"/>
      <c r="J2943" s="331">
        <f>F2943-H2943</f>
        <v>-67523357.049999997</v>
      </c>
      <c r="K2943" s="422">
        <f>K2942+J2942</f>
        <v>14435505690.059277</v>
      </c>
      <c r="L2943" s="39"/>
      <c r="M2943" s="332"/>
      <c r="N2943" s="332"/>
      <c r="O2943" s="59"/>
    </row>
    <row r="2944" spans="1:15" s="7" customFormat="1" ht="15">
      <c r="A2944" s="81"/>
      <c r="B2944" s="141" t="s">
        <v>2142</v>
      </c>
      <c r="C2944" s="313"/>
      <c r="D2944" s="327"/>
      <c r="E2944" s="328"/>
      <c r="F2944" s="364"/>
      <c r="G2944" s="336"/>
      <c r="H2944" s="87"/>
      <c r="I2944" s="336"/>
      <c r="J2944" s="331"/>
      <c r="K2944" s="425">
        <f>K2943+J2943</f>
        <v>14367982333.009277</v>
      </c>
      <c r="L2944" s="39"/>
      <c r="M2944" s="338"/>
      <c r="N2944" s="338"/>
      <c r="O2944" s="59"/>
    </row>
    <row r="2945" spans="1:15" s="7" customFormat="1" ht="15">
      <c r="A2945" s="81"/>
      <c r="B2945" s="426"/>
      <c r="C2945" s="313"/>
      <c r="D2945" s="327"/>
      <c r="E2945" s="328"/>
      <c r="F2945" s="364"/>
      <c r="G2945" s="336"/>
      <c r="H2945" s="87"/>
      <c r="I2945" s="336"/>
      <c r="J2945" s="331"/>
      <c r="K2945" s="425"/>
      <c r="L2945" s="39"/>
      <c r="M2945" s="338"/>
      <c r="N2945" s="338"/>
      <c r="O2945" s="59"/>
    </row>
    <row r="2946" spans="1:15" s="7" customFormat="1" ht="15">
      <c r="A2946" s="81"/>
      <c r="B2946" s="57"/>
      <c r="D2946" s="200"/>
      <c r="E2946" s="52"/>
      <c r="F2946" s="219"/>
      <c r="G2946" s="76"/>
      <c r="H2946" s="208"/>
      <c r="I2946" s="343"/>
      <c r="J2946" s="393"/>
      <c r="K2946" s="349"/>
      <c r="L2946" s="344"/>
      <c r="M2946" s="345"/>
      <c r="N2946" s="345"/>
      <c r="O2946" s="332"/>
    </row>
    <row r="2947" spans="1:15" s="7" customFormat="1" ht="15">
      <c r="A2947" s="81"/>
      <c r="B2947" s="335"/>
      <c r="C2947" s="313"/>
      <c r="D2947" s="327"/>
      <c r="E2947" s="328"/>
      <c r="F2947" s="329"/>
      <c r="G2947" s="70"/>
      <c r="H2947" s="87"/>
      <c r="I2947" s="336"/>
      <c r="J2947" s="331"/>
      <c r="K2947" s="349"/>
      <c r="L2947" s="39"/>
      <c r="M2947" s="338"/>
      <c r="N2947" s="338"/>
      <c r="O2947" s="332"/>
    </row>
    <row r="2948" spans="1:15" s="7" customFormat="1" ht="15">
      <c r="A2948" s="81">
        <v>50</v>
      </c>
      <c r="B2948" s="141" t="s">
        <v>19</v>
      </c>
      <c r="C2948" s="313" t="s">
        <v>2143</v>
      </c>
      <c r="D2948" s="327" t="s">
        <v>374</v>
      </c>
      <c r="E2948" s="328"/>
      <c r="F2948" s="329">
        <f>125033248.95-60122745.92+671859050.01+27311314.65-7409827.99</f>
        <v>756671039.69999993</v>
      </c>
      <c r="G2948" s="336" t="s">
        <v>2144</v>
      </c>
      <c r="H2948" s="208">
        <f>129436191.56+71963262.1+66228078.55+270672591.86</f>
        <v>538300124.06999993</v>
      </c>
      <c r="I2948" s="330" t="s">
        <v>1914</v>
      </c>
      <c r="J2948" s="331">
        <f>F2948-H2948</f>
        <v>218370915.63</v>
      </c>
      <c r="K2948" s="332">
        <v>0</v>
      </c>
      <c r="L2948" s="39" t="s">
        <v>2145</v>
      </c>
      <c r="M2948" s="338"/>
      <c r="N2948" s="208">
        <f>129436191.56+70068912.8696211+66228078.55+270672591.86</f>
        <v>536405774.83962113</v>
      </c>
      <c r="O2948" s="332"/>
    </row>
    <row r="2949" spans="1:15" s="7" customFormat="1" ht="15">
      <c r="A2949" s="81"/>
      <c r="B2949" s="335" t="s">
        <v>2146</v>
      </c>
      <c r="C2949" s="313"/>
      <c r="D2949" s="327"/>
      <c r="E2949" s="328"/>
      <c r="F2949" s="329"/>
      <c r="G2949" s="336"/>
      <c r="H2949" s="87"/>
      <c r="I2949" s="336"/>
      <c r="J2949" s="332"/>
      <c r="K2949" s="337">
        <f>K2948+J2948</f>
        <v>218370915.63</v>
      </c>
      <c r="L2949" s="39"/>
      <c r="M2949" s="338"/>
      <c r="N2949" s="338"/>
      <c r="O2949" s="332"/>
    </row>
    <row r="2950" spans="1:15" s="7" customFormat="1" ht="15">
      <c r="A2950" s="81"/>
      <c r="B2950" s="335"/>
      <c r="C2950" s="313"/>
      <c r="D2950" s="327"/>
      <c r="E2950" s="328"/>
      <c r="F2950" s="329"/>
      <c r="G2950" s="336"/>
      <c r="H2950" s="87"/>
      <c r="I2950" s="336"/>
      <c r="J2950" s="332"/>
      <c r="K2950" s="337"/>
      <c r="L2950" s="39"/>
      <c r="M2950" s="338"/>
      <c r="N2950" s="338"/>
      <c r="O2950" s="332"/>
    </row>
    <row r="2951" spans="1:15" s="7" customFormat="1" ht="15">
      <c r="A2951" s="81">
        <v>48</v>
      </c>
      <c r="B2951" s="141" t="s">
        <v>2147</v>
      </c>
      <c r="C2951" s="313" t="s">
        <v>2148</v>
      </c>
      <c r="D2951" s="327" t="s">
        <v>140</v>
      </c>
      <c r="E2951" s="328"/>
      <c r="F2951" s="329">
        <v>665701.35</v>
      </c>
      <c r="G2951" s="336" t="s">
        <v>2149</v>
      </c>
      <c r="H2951" s="208">
        <v>0</v>
      </c>
      <c r="I2951" s="336"/>
      <c r="J2951" s="331">
        <f t="shared" ref="J2951:J2971" si="167">F2951-H2951</f>
        <v>665701.35</v>
      </c>
      <c r="K2951" s="332">
        <v>0</v>
      </c>
      <c r="L2951" s="233"/>
      <c r="M2951" s="332"/>
      <c r="N2951" s="332"/>
      <c r="O2951" s="332"/>
    </row>
    <row r="2952" spans="1:15" s="7" customFormat="1" ht="15">
      <c r="A2952" s="81"/>
      <c r="B2952" s="335"/>
      <c r="C2952" s="313" t="s">
        <v>2150</v>
      </c>
      <c r="D2952" s="327" t="s">
        <v>120</v>
      </c>
      <c r="E2952" s="328"/>
      <c r="F2952" s="329">
        <v>618768.30000000005</v>
      </c>
      <c r="G2952" s="336" t="s">
        <v>2149</v>
      </c>
      <c r="H2952" s="54">
        <v>0</v>
      </c>
      <c r="I2952" s="336"/>
      <c r="J2952" s="331">
        <f t="shared" si="167"/>
        <v>618768.30000000005</v>
      </c>
      <c r="K2952" s="427">
        <f t="shared" ref="K2952:K2972" si="168">K2951+J2951</f>
        <v>665701.35</v>
      </c>
      <c r="L2952" s="233"/>
      <c r="M2952" s="332"/>
      <c r="N2952" s="332"/>
      <c r="O2952" s="332"/>
    </row>
    <row r="2953" spans="1:15" s="7" customFormat="1" ht="15">
      <c r="A2953" s="81"/>
      <c r="B2953" s="141"/>
      <c r="C2953" s="313" t="s">
        <v>2151</v>
      </c>
      <c r="D2953" s="327" t="s">
        <v>124</v>
      </c>
      <c r="E2953" s="328"/>
      <c r="F2953" s="329">
        <v>21315281.109999999</v>
      </c>
      <c r="G2953" s="336" t="s">
        <v>2149</v>
      </c>
      <c r="H2953" s="208">
        <v>31345208.699999999</v>
      </c>
      <c r="I2953" s="336" t="s">
        <v>1914</v>
      </c>
      <c r="J2953" s="331">
        <f t="shared" si="167"/>
        <v>-10029927.59</v>
      </c>
      <c r="K2953" s="427">
        <f t="shared" si="168"/>
        <v>1284469.6499999999</v>
      </c>
      <c r="L2953" s="233" t="s">
        <v>2127</v>
      </c>
      <c r="M2953" s="338"/>
      <c r="N2953" s="338"/>
      <c r="O2953" s="332"/>
    </row>
    <row r="2954" spans="1:15" s="7" customFormat="1" ht="15">
      <c r="A2954" s="81"/>
      <c r="B2954" s="141"/>
      <c r="C2954" s="313" t="s">
        <v>1273</v>
      </c>
      <c r="D2954" s="327" t="s">
        <v>155</v>
      </c>
      <c r="E2954" s="328"/>
      <c r="F2954" s="329">
        <v>40755843.880000003</v>
      </c>
      <c r="G2954" s="336" t="s">
        <v>2149</v>
      </c>
      <c r="H2954" s="208">
        <v>5545235.75</v>
      </c>
      <c r="I2954" s="336">
        <v>43198</v>
      </c>
      <c r="J2954" s="331">
        <f t="shared" si="167"/>
        <v>35210608.130000003</v>
      </c>
      <c r="K2954" s="427">
        <f t="shared" si="168"/>
        <v>-8745457.9399999995</v>
      </c>
      <c r="L2954" s="233" t="s">
        <v>2129</v>
      </c>
      <c r="M2954" s="338"/>
      <c r="N2954" s="338"/>
      <c r="O2954" s="332"/>
    </row>
    <row r="2955" spans="1:15" s="7" customFormat="1" ht="15">
      <c r="A2955" s="81"/>
      <c r="B2955" s="141"/>
      <c r="C2955" s="332" t="s">
        <v>2152</v>
      </c>
      <c r="D2955" s="428" t="s">
        <v>171</v>
      </c>
      <c r="E2955" s="429"/>
      <c r="F2955" s="329">
        <v>3753384.06</v>
      </c>
      <c r="G2955" s="207" t="s">
        <v>2153</v>
      </c>
      <c r="H2955" s="208">
        <v>8181089.5099999998</v>
      </c>
      <c r="I2955" s="336" t="s">
        <v>358</v>
      </c>
      <c r="J2955" s="331">
        <f t="shared" si="167"/>
        <v>-4427705.4499999993</v>
      </c>
      <c r="K2955" s="427">
        <f t="shared" si="168"/>
        <v>26465150.190000005</v>
      </c>
      <c r="L2955" s="233" t="s">
        <v>2129</v>
      </c>
      <c r="M2955" s="338"/>
      <c r="N2955" s="338"/>
      <c r="O2955" s="332"/>
    </row>
    <row r="2956" spans="1:15" s="7" customFormat="1" ht="15">
      <c r="A2956" s="81"/>
      <c r="B2956" s="141"/>
      <c r="C2956" s="332" t="s">
        <v>1862</v>
      </c>
      <c r="D2956" s="428" t="s">
        <v>175</v>
      </c>
      <c r="E2956" s="429"/>
      <c r="F2956" s="329">
        <v>38688640.869999997</v>
      </c>
      <c r="G2956" s="207" t="s">
        <v>2153</v>
      </c>
      <c r="H2956" s="208">
        <v>0</v>
      </c>
      <c r="I2956" s="336"/>
      <c r="J2956" s="331">
        <f t="shared" si="167"/>
        <v>38688640.869999997</v>
      </c>
      <c r="K2956" s="427">
        <f t="shared" si="168"/>
        <v>22037444.740000006</v>
      </c>
      <c r="L2956" s="39"/>
      <c r="M2956" s="338"/>
      <c r="N2956" s="338"/>
      <c r="O2956" s="332"/>
    </row>
    <row r="2957" spans="1:15" s="7" customFormat="1" ht="15">
      <c r="A2957" s="81"/>
      <c r="B2957" s="141"/>
      <c r="C2957" s="332" t="s">
        <v>1886</v>
      </c>
      <c r="D2957" s="428" t="s">
        <v>111</v>
      </c>
      <c r="E2957" s="429"/>
      <c r="F2957" s="329">
        <v>19503941.75</v>
      </c>
      <c r="G2957" s="207" t="s">
        <v>2153</v>
      </c>
      <c r="H2957" s="208">
        <v>0</v>
      </c>
      <c r="I2957" s="336"/>
      <c r="J2957" s="331">
        <f t="shared" si="167"/>
        <v>19503941.75</v>
      </c>
      <c r="K2957" s="427">
        <f t="shared" si="168"/>
        <v>60726085.609999999</v>
      </c>
      <c r="L2957" s="39"/>
      <c r="M2957" s="338"/>
      <c r="N2957" s="338"/>
      <c r="O2957" s="332"/>
    </row>
    <row r="2958" spans="1:15" s="7" customFormat="1" ht="15">
      <c r="A2958" s="81"/>
      <c r="B2958" s="141"/>
      <c r="C2958" s="332" t="s">
        <v>1887</v>
      </c>
      <c r="D2958" s="428" t="s">
        <v>182</v>
      </c>
      <c r="E2958" s="429"/>
      <c r="F2958" s="329">
        <v>106297323.86</v>
      </c>
      <c r="G2958" s="207" t="s">
        <v>2154</v>
      </c>
      <c r="H2958" s="208">
        <v>62896538.659999996</v>
      </c>
      <c r="I2958" s="336" t="s">
        <v>1358</v>
      </c>
      <c r="J2958" s="331">
        <f t="shared" si="167"/>
        <v>43400785.200000003</v>
      </c>
      <c r="K2958" s="427">
        <f t="shared" si="168"/>
        <v>80230027.359999999</v>
      </c>
      <c r="L2958" s="39"/>
      <c r="M2958" s="338"/>
      <c r="N2958" s="338"/>
      <c r="O2958" s="332"/>
    </row>
    <row r="2959" spans="1:15" s="7" customFormat="1" ht="15">
      <c r="A2959" s="81"/>
      <c r="B2959" s="141"/>
      <c r="C2959" s="332" t="s">
        <v>1888</v>
      </c>
      <c r="D2959" s="428" t="s">
        <v>186</v>
      </c>
      <c r="E2959" s="429"/>
      <c r="F2959" s="329">
        <v>59856874.509999998</v>
      </c>
      <c r="G2959" s="207" t="s">
        <v>2155</v>
      </c>
      <c r="H2959" s="208">
        <v>15249657.76</v>
      </c>
      <c r="I2959" s="336" t="s">
        <v>165</v>
      </c>
      <c r="J2959" s="331">
        <f t="shared" si="167"/>
        <v>44607216.75</v>
      </c>
      <c r="K2959" s="427">
        <f t="shared" si="168"/>
        <v>123630812.56</v>
      </c>
      <c r="L2959" s="39"/>
      <c r="M2959" s="338"/>
      <c r="N2959" s="338"/>
      <c r="O2959" s="332"/>
    </row>
    <row r="2960" spans="1:15" s="7" customFormat="1" ht="15">
      <c r="A2960" s="81"/>
      <c r="B2960" s="141"/>
      <c r="C2960" s="332" t="s">
        <v>1892</v>
      </c>
      <c r="D2960" s="428" t="s">
        <v>192</v>
      </c>
      <c r="E2960" s="429"/>
      <c r="F2960" s="329">
        <v>119792626.08</v>
      </c>
      <c r="G2960" s="207" t="s">
        <v>2156</v>
      </c>
      <c r="H2960" s="208">
        <f>15249657.76+4479739.47</f>
        <v>19729397.23</v>
      </c>
      <c r="I2960" s="336" t="s">
        <v>1016</v>
      </c>
      <c r="J2960" s="331">
        <f t="shared" si="167"/>
        <v>100063228.84999999</v>
      </c>
      <c r="K2960" s="427">
        <f t="shared" si="168"/>
        <v>168238029.31</v>
      </c>
      <c r="L2960" s="39"/>
      <c r="M2960" s="338"/>
      <c r="N2960" s="338"/>
      <c r="O2960" s="332"/>
    </row>
    <row r="2961" spans="1:15" s="7" customFormat="1" ht="15">
      <c r="A2961" s="81"/>
      <c r="B2961" s="141"/>
      <c r="C2961" s="332" t="s">
        <v>1864</v>
      </c>
      <c r="D2961" s="428" t="s">
        <v>196</v>
      </c>
      <c r="E2961" s="429"/>
      <c r="F2961" s="329">
        <v>59191979.969999999</v>
      </c>
      <c r="G2961" s="207" t="s">
        <v>2156</v>
      </c>
      <c r="H2961" s="208">
        <v>10163426.289999999</v>
      </c>
      <c r="I2961" s="336" t="s">
        <v>1066</v>
      </c>
      <c r="J2961" s="331">
        <f t="shared" si="167"/>
        <v>49028553.68</v>
      </c>
      <c r="K2961" s="427">
        <f t="shared" si="168"/>
        <v>268301258.16</v>
      </c>
      <c r="L2961" s="39"/>
      <c r="M2961" s="338"/>
      <c r="N2961" s="338"/>
      <c r="O2961" s="332"/>
    </row>
    <row r="2962" spans="1:15" s="7" customFormat="1" ht="15">
      <c r="A2962" s="81"/>
      <c r="B2962" s="141"/>
      <c r="C2962" s="332" t="s">
        <v>1897</v>
      </c>
      <c r="D2962" s="428" t="s">
        <v>41</v>
      </c>
      <c r="E2962" s="429"/>
      <c r="F2962" s="329">
        <v>54500340.329999998</v>
      </c>
      <c r="G2962" s="207" t="s">
        <v>1172</v>
      </c>
      <c r="H2962" s="208">
        <v>0</v>
      </c>
      <c r="I2962" s="336"/>
      <c r="J2962" s="331">
        <f t="shared" si="167"/>
        <v>54500340.329999998</v>
      </c>
      <c r="K2962" s="427">
        <f t="shared" si="168"/>
        <v>317329811.83999997</v>
      </c>
      <c r="L2962" s="39"/>
      <c r="M2962" s="338"/>
      <c r="N2962" s="338"/>
      <c r="O2962" s="332"/>
    </row>
    <row r="2963" spans="1:15" s="7" customFormat="1" ht="15">
      <c r="A2963" s="81"/>
      <c r="B2963" s="141"/>
      <c r="C2963" s="332" t="s">
        <v>1171</v>
      </c>
      <c r="D2963" s="428" t="s">
        <v>359</v>
      </c>
      <c r="E2963" s="429"/>
      <c r="F2963" s="329">
        <v>48830343.219999999</v>
      </c>
      <c r="G2963" s="207" t="s">
        <v>2157</v>
      </c>
      <c r="H2963" s="208">
        <v>0</v>
      </c>
      <c r="I2963" s="336"/>
      <c r="J2963" s="331">
        <f t="shared" si="167"/>
        <v>48830343.219999999</v>
      </c>
      <c r="K2963" s="427">
        <f t="shared" si="168"/>
        <v>371830152.16999996</v>
      </c>
      <c r="L2963" s="39"/>
      <c r="M2963" s="338"/>
      <c r="N2963" s="338"/>
      <c r="O2963" s="332"/>
    </row>
    <row r="2964" spans="1:15" s="7" customFormat="1" ht="15">
      <c r="A2964" s="81"/>
      <c r="B2964" s="141"/>
      <c r="C2964" s="332" t="s">
        <v>461</v>
      </c>
      <c r="D2964" s="428" t="s">
        <v>202</v>
      </c>
      <c r="E2964" s="429"/>
      <c r="F2964" s="329">
        <v>23165058.300000001</v>
      </c>
      <c r="G2964" s="207" t="s">
        <v>2157</v>
      </c>
      <c r="H2964" s="208">
        <v>0</v>
      </c>
      <c r="I2964" s="336"/>
      <c r="J2964" s="331">
        <f t="shared" si="167"/>
        <v>23165058.300000001</v>
      </c>
      <c r="K2964" s="427">
        <f t="shared" si="168"/>
        <v>420660495.38999999</v>
      </c>
      <c r="L2964" s="39"/>
      <c r="M2964" s="338"/>
      <c r="N2964" s="338"/>
      <c r="O2964" s="332"/>
    </row>
    <row r="2965" spans="1:15" s="7" customFormat="1" ht="15">
      <c r="A2965" s="81"/>
      <c r="B2965" s="141"/>
      <c r="C2965" s="332" t="s">
        <v>467</v>
      </c>
      <c r="D2965" s="327" t="s">
        <v>208</v>
      </c>
      <c r="E2965" s="328"/>
      <c r="F2965" s="329">
        <v>27382100.629999999</v>
      </c>
      <c r="G2965" s="205" t="s">
        <v>2158</v>
      </c>
      <c r="H2965" s="208">
        <v>0</v>
      </c>
      <c r="I2965" s="70"/>
      <c r="J2965" s="331">
        <f t="shared" si="167"/>
        <v>27382100.629999999</v>
      </c>
      <c r="K2965" s="427">
        <f t="shared" si="168"/>
        <v>443825553.69</v>
      </c>
      <c r="L2965" s="233"/>
      <c r="M2965" s="338"/>
      <c r="N2965" s="338"/>
      <c r="O2965" s="332"/>
    </row>
    <row r="2966" spans="1:15" s="7" customFormat="1" ht="15">
      <c r="A2966" s="81"/>
      <c r="B2966" s="141"/>
      <c r="C2966" s="332" t="s">
        <v>469</v>
      </c>
      <c r="D2966" s="327" t="s">
        <v>52</v>
      </c>
      <c r="E2966" s="328"/>
      <c r="F2966" s="329">
        <v>33086711.239999998</v>
      </c>
      <c r="G2966" s="205" t="s">
        <v>2159</v>
      </c>
      <c r="H2966" s="208">
        <v>0</v>
      </c>
      <c r="I2966" s="336"/>
      <c r="J2966" s="331">
        <f t="shared" si="167"/>
        <v>33086711.239999998</v>
      </c>
      <c r="K2966" s="427">
        <f t="shared" si="168"/>
        <v>471207654.31999999</v>
      </c>
      <c r="L2966" s="39"/>
      <c r="M2966" s="338"/>
      <c r="N2966" s="338"/>
      <c r="O2966" s="332"/>
    </row>
    <row r="2967" spans="1:15" s="7" customFormat="1" ht="15">
      <c r="A2967" s="81"/>
      <c r="B2967" s="141"/>
      <c r="C2967" s="332" t="s">
        <v>471</v>
      </c>
      <c r="D2967" s="327" t="s">
        <v>215</v>
      </c>
      <c r="E2967" s="328"/>
      <c r="F2967" s="329">
        <v>36917762.119999997</v>
      </c>
      <c r="G2967" s="205" t="s">
        <v>2160</v>
      </c>
      <c r="H2967" s="208">
        <v>0</v>
      </c>
      <c r="I2967" s="336"/>
      <c r="J2967" s="331">
        <f t="shared" si="167"/>
        <v>36917762.119999997</v>
      </c>
      <c r="K2967" s="427">
        <f t="shared" si="168"/>
        <v>504294365.56</v>
      </c>
      <c r="L2967" s="39"/>
      <c r="M2967" s="338"/>
      <c r="N2967" s="338"/>
      <c r="O2967" s="332"/>
    </row>
    <row r="2968" spans="1:15" s="7" customFormat="1" ht="15">
      <c r="A2968" s="81"/>
      <c r="B2968" s="141"/>
      <c r="C2968" s="332" t="s">
        <v>398</v>
      </c>
      <c r="D2968" s="327" t="s">
        <v>65</v>
      </c>
      <c r="E2968" s="328"/>
      <c r="F2968" s="329">
        <v>23853762.059999999</v>
      </c>
      <c r="G2968" s="207">
        <v>42678</v>
      </c>
      <c r="H2968" s="208">
        <v>0</v>
      </c>
      <c r="I2968" s="336"/>
      <c r="J2968" s="331">
        <f t="shared" si="167"/>
        <v>23853762.059999999</v>
      </c>
      <c r="K2968" s="427">
        <f t="shared" si="168"/>
        <v>541212127.67999995</v>
      </c>
      <c r="L2968" s="39"/>
      <c r="M2968" s="338"/>
      <c r="N2968" s="338"/>
      <c r="O2968" s="332"/>
    </row>
    <row r="2969" spans="1:15" s="7" customFormat="1" ht="15">
      <c r="A2969" s="81"/>
      <c r="B2969" s="141"/>
      <c r="C2969" s="332" t="s">
        <v>1403</v>
      </c>
      <c r="D2969" s="327" t="s">
        <v>71</v>
      </c>
      <c r="E2969" s="328"/>
      <c r="F2969" s="329">
        <v>26630375.77</v>
      </c>
      <c r="G2969" s="205" t="s">
        <v>1470</v>
      </c>
      <c r="H2969" s="208">
        <v>0</v>
      </c>
      <c r="I2969" s="336"/>
      <c r="J2969" s="331">
        <f t="shared" si="167"/>
        <v>26630375.77</v>
      </c>
      <c r="K2969" s="427">
        <f t="shared" si="168"/>
        <v>565065889.73999989</v>
      </c>
      <c r="L2969" s="39"/>
      <c r="M2969" s="338"/>
      <c r="N2969" s="338"/>
      <c r="O2969" s="332"/>
    </row>
    <row r="2970" spans="1:15" s="7" customFormat="1" ht="15">
      <c r="A2970" s="81"/>
      <c r="B2970" s="141"/>
      <c r="C2970" s="332" t="s">
        <v>401</v>
      </c>
      <c r="D2970" s="327" t="s">
        <v>26</v>
      </c>
      <c r="E2970" s="328"/>
      <c r="F2970" s="329">
        <v>30295026.98</v>
      </c>
      <c r="G2970" s="205" t="s">
        <v>2161</v>
      </c>
      <c r="H2970" s="208">
        <v>0</v>
      </c>
      <c r="I2970" s="336"/>
      <c r="J2970" s="331">
        <f t="shared" si="167"/>
        <v>30295026.98</v>
      </c>
      <c r="K2970" s="427">
        <f t="shared" si="168"/>
        <v>591696265.50999987</v>
      </c>
      <c r="L2970" s="39"/>
      <c r="M2970" s="338"/>
      <c r="N2970" s="338"/>
      <c r="O2970" s="332"/>
    </row>
    <row r="2971" spans="1:15" s="7" customFormat="1" ht="15">
      <c r="A2971" s="81"/>
      <c r="B2971" s="141"/>
      <c r="C2971" s="332" t="s">
        <v>404</v>
      </c>
      <c r="D2971" s="327" t="s">
        <v>367</v>
      </c>
      <c r="E2971" s="328"/>
      <c r="F2971" s="329">
        <v>62682409.200000003</v>
      </c>
      <c r="G2971" s="205" t="s">
        <v>1406</v>
      </c>
      <c r="H2971" s="208"/>
      <c r="I2971" s="336"/>
      <c r="J2971" s="331">
        <f t="shared" si="167"/>
        <v>62682409.200000003</v>
      </c>
      <c r="K2971" s="427">
        <f t="shared" si="168"/>
        <v>621991292.48999989</v>
      </c>
      <c r="L2971" s="39"/>
      <c r="M2971" s="338"/>
      <c r="N2971" s="338"/>
      <c r="O2971" s="332"/>
    </row>
    <row r="2972" spans="1:15" s="7" customFormat="1" ht="15">
      <c r="A2972" s="81"/>
      <c r="B2972" s="335" t="s">
        <v>2162</v>
      </c>
      <c r="C2972" s="313"/>
      <c r="D2972" s="327"/>
      <c r="E2972" s="328"/>
      <c r="F2972" s="329"/>
      <c r="G2972" s="336"/>
      <c r="H2972" s="115"/>
      <c r="I2972" s="336"/>
      <c r="J2972" s="332"/>
      <c r="K2972" s="337">
        <f t="shared" si="168"/>
        <v>684673701.68999994</v>
      </c>
      <c r="L2972" s="233"/>
      <c r="M2972" s="332"/>
      <c r="N2972" s="332"/>
      <c r="O2972" s="332"/>
    </row>
    <row r="2973" spans="1:15" s="7" customFormat="1" ht="15">
      <c r="A2973" s="81"/>
      <c r="B2973" s="335"/>
      <c r="C2973" s="313"/>
      <c r="D2973" s="327"/>
      <c r="E2973" s="328"/>
      <c r="F2973" s="329"/>
      <c r="G2973" s="70"/>
      <c r="H2973" s="87"/>
      <c r="I2973" s="336"/>
      <c r="J2973" s="331"/>
      <c r="K2973" s="85"/>
      <c r="L2973" s="39"/>
      <c r="M2973" s="338"/>
      <c r="N2973" s="332"/>
      <c r="O2973" s="332"/>
    </row>
    <row r="2974" spans="1:15" s="7" customFormat="1" ht="15">
      <c r="A2974" s="30"/>
      <c r="B2974" s="30"/>
      <c r="D2974" s="51"/>
      <c r="E2974" s="52"/>
      <c r="F2974" s="53"/>
      <c r="H2974" s="54"/>
      <c r="L2974" s="55"/>
      <c r="N2974" s="332"/>
      <c r="O2974" s="332"/>
    </row>
    <row r="2975" spans="1:15" s="7" customFormat="1" ht="15">
      <c r="A2975" s="357"/>
      <c r="B2975" s="141"/>
      <c r="C2975" s="313"/>
      <c r="D2975" s="327"/>
      <c r="E2975" s="328"/>
      <c r="F2975" s="364"/>
      <c r="G2975" s="336"/>
      <c r="H2975" s="87"/>
      <c r="I2975" s="336"/>
      <c r="J2975" s="331"/>
      <c r="K2975" s="425"/>
      <c r="L2975" s="39"/>
      <c r="M2975" s="338"/>
      <c r="N2975" s="338"/>
      <c r="O2975" s="316"/>
    </row>
    <row r="2976" spans="1:15" s="7" customFormat="1" ht="15">
      <c r="A2976" s="357">
        <v>46</v>
      </c>
      <c r="B2976" s="141" t="s">
        <v>2163</v>
      </c>
      <c r="C2976" s="332" t="s">
        <v>1858</v>
      </c>
      <c r="D2976" s="327" t="s">
        <v>39</v>
      </c>
      <c r="E2976" s="328"/>
      <c r="F2976" s="364">
        <v>382174405.57253999</v>
      </c>
      <c r="G2976" s="336" t="s">
        <v>2164</v>
      </c>
      <c r="H2976" s="54">
        <v>0</v>
      </c>
      <c r="I2976" s="336"/>
      <c r="J2976" s="331">
        <f>F2976-H2976</f>
        <v>382174405.57253999</v>
      </c>
      <c r="K2976" s="332">
        <v>0</v>
      </c>
      <c r="L2976" s="233"/>
      <c r="M2976" s="332"/>
      <c r="N2976" s="332"/>
      <c r="O2976" s="316"/>
    </row>
    <row r="2977" spans="1:15" s="7" customFormat="1" ht="15">
      <c r="A2977" s="357"/>
      <c r="B2977" s="141"/>
      <c r="C2977" s="332" t="s">
        <v>1860</v>
      </c>
      <c r="D2977" s="327" t="s">
        <v>390</v>
      </c>
      <c r="E2977" s="328"/>
      <c r="F2977" s="364">
        <v>460955612.52999997</v>
      </c>
      <c r="G2977" s="336" t="s">
        <v>2121</v>
      </c>
      <c r="H2977" s="54">
        <v>0</v>
      </c>
      <c r="I2977" s="336"/>
      <c r="J2977" s="331">
        <f>F2977-H2977</f>
        <v>460955612.52999997</v>
      </c>
      <c r="K2977" s="316">
        <f t="shared" ref="K2977:K3018" si="169">K2976+J2976</f>
        <v>382174405.57253999</v>
      </c>
      <c r="L2977" s="233"/>
      <c r="M2977" s="332"/>
      <c r="N2977" s="332"/>
      <c r="O2977" s="316"/>
    </row>
    <row r="2978" spans="1:15" s="7" customFormat="1" ht="15">
      <c r="A2978" s="357"/>
      <c r="B2978" s="141"/>
      <c r="C2978" s="332" t="s">
        <v>1862</v>
      </c>
      <c r="D2978" s="327" t="s">
        <v>392</v>
      </c>
      <c r="E2978" s="328"/>
      <c r="F2978" s="364">
        <v>310503515.38999999</v>
      </c>
      <c r="G2978" s="336" t="s">
        <v>2165</v>
      </c>
      <c r="H2978" s="47">
        <v>200000000</v>
      </c>
      <c r="I2978" s="336" t="s">
        <v>2125</v>
      </c>
      <c r="J2978" s="331">
        <f>F2978-H2978</f>
        <v>110503515.38999999</v>
      </c>
      <c r="K2978" s="316">
        <f t="shared" si="169"/>
        <v>843130018.10254002</v>
      </c>
      <c r="L2978" s="233"/>
      <c r="M2978" s="332"/>
      <c r="N2978" s="332"/>
      <c r="O2978" s="316"/>
    </row>
    <row r="2979" spans="1:15" s="7" customFormat="1" ht="15">
      <c r="A2979" s="357"/>
      <c r="B2979" s="141"/>
      <c r="C2979" s="332" t="s">
        <v>1886</v>
      </c>
      <c r="D2979" s="327" t="s">
        <v>393</v>
      </c>
      <c r="E2979" s="328"/>
      <c r="F2979" s="366">
        <v>395222408.19999999</v>
      </c>
      <c r="G2979" s="207" t="s">
        <v>1979</v>
      </c>
      <c r="H2979" s="47">
        <v>646575895.88679302</v>
      </c>
      <c r="I2979" s="369" t="s">
        <v>1914</v>
      </c>
      <c r="J2979" s="338">
        <f>F2979-H2979</f>
        <v>-251353487.68679303</v>
      </c>
      <c r="K2979" s="316">
        <f t="shared" si="169"/>
        <v>953633533.49254</v>
      </c>
      <c r="L2979" s="39" t="s">
        <v>2145</v>
      </c>
      <c r="M2979" s="333"/>
      <c r="N2979" s="333"/>
      <c r="O2979" s="316"/>
    </row>
    <row r="2980" spans="1:15" s="7" customFormat="1" ht="15.75">
      <c r="A2980" s="357"/>
      <c r="B2980" s="141"/>
      <c r="C2980" s="332" t="s">
        <v>1887</v>
      </c>
      <c r="D2980" s="327" t="s">
        <v>528</v>
      </c>
      <c r="E2980" s="328"/>
      <c r="F2980" s="364">
        <v>381915780.61000001</v>
      </c>
      <c r="G2980" s="336" t="s">
        <v>2126</v>
      </c>
      <c r="H2980" s="430">
        <v>114384810.95</v>
      </c>
      <c r="I2980" s="336">
        <v>43259</v>
      </c>
      <c r="J2980" s="331">
        <f>F2980-H2980</f>
        <v>267530969.66000003</v>
      </c>
      <c r="K2980" s="316">
        <f t="shared" si="169"/>
        <v>702280045.80574703</v>
      </c>
      <c r="L2980" s="39" t="s">
        <v>2129</v>
      </c>
      <c r="M2980" s="332"/>
      <c r="N2980" s="332"/>
      <c r="O2980" s="316"/>
    </row>
    <row r="2981" spans="1:15" s="7" customFormat="1" ht="15">
      <c r="A2981" s="357"/>
      <c r="B2981" s="141"/>
      <c r="C2981" s="332" t="s">
        <v>1888</v>
      </c>
      <c r="D2981" s="327" t="s">
        <v>35</v>
      </c>
      <c r="E2981" s="328"/>
      <c r="F2981" s="364">
        <v>332449151.74000001</v>
      </c>
      <c r="G2981" s="336" t="s">
        <v>2166</v>
      </c>
      <c r="H2981" s="47">
        <v>168756103.30000001</v>
      </c>
      <c r="I2981" s="336" t="s">
        <v>358</v>
      </c>
      <c r="J2981" s="331">
        <f t="shared" ref="J2981:J3017" si="170">F2981-H2981</f>
        <v>163693048.44</v>
      </c>
      <c r="K2981" s="316">
        <f t="shared" si="169"/>
        <v>969811015.46574712</v>
      </c>
      <c r="L2981" s="39" t="s">
        <v>2129</v>
      </c>
      <c r="M2981" s="332"/>
      <c r="N2981" s="332"/>
      <c r="O2981" s="316"/>
    </row>
    <row r="2982" spans="1:15" s="7" customFormat="1" ht="15">
      <c r="A2982" s="357"/>
      <c r="B2982" s="141"/>
      <c r="C2982" s="332" t="s">
        <v>1892</v>
      </c>
      <c r="D2982" s="327" t="s">
        <v>530</v>
      </c>
      <c r="E2982" s="328"/>
      <c r="F2982" s="364">
        <v>289985706.38999999</v>
      </c>
      <c r="G2982" s="336" t="s">
        <v>2167</v>
      </c>
      <c r="H2982" s="54">
        <v>0</v>
      </c>
      <c r="I2982" s="336"/>
      <c r="J2982" s="331">
        <f t="shared" si="170"/>
        <v>289985706.38999999</v>
      </c>
      <c r="K2982" s="316">
        <f t="shared" si="169"/>
        <v>1133504063.9057472</v>
      </c>
      <c r="L2982" s="233"/>
      <c r="M2982" s="332"/>
      <c r="N2982" s="332"/>
      <c r="O2982" s="316"/>
    </row>
    <row r="2983" spans="1:15" s="7" customFormat="1" ht="15">
      <c r="A2983" s="357"/>
      <c r="B2983" s="141"/>
      <c r="C2983" s="332" t="s">
        <v>1864</v>
      </c>
      <c r="D2983" s="327" t="s">
        <v>532</v>
      </c>
      <c r="E2983" s="328"/>
      <c r="F2983" s="364">
        <v>249262783.43000001</v>
      </c>
      <c r="G2983" s="336" t="s">
        <v>2168</v>
      </c>
      <c r="H2983" s="54">
        <v>0</v>
      </c>
      <c r="I2983" s="336"/>
      <c r="J2983" s="331">
        <f t="shared" si="170"/>
        <v>249262783.43000001</v>
      </c>
      <c r="K2983" s="316">
        <f t="shared" si="169"/>
        <v>1423489770.2957473</v>
      </c>
      <c r="L2983" s="233"/>
      <c r="M2983" s="332"/>
      <c r="N2983" s="332"/>
      <c r="O2983" s="316"/>
    </row>
    <row r="2984" spans="1:15" s="7" customFormat="1" ht="15">
      <c r="A2984" s="357"/>
      <c r="B2984" s="141"/>
      <c r="C2984" s="332" t="s">
        <v>1897</v>
      </c>
      <c r="D2984" s="327" t="s">
        <v>534</v>
      </c>
      <c r="E2984" s="328"/>
      <c r="F2984" s="364">
        <v>403531320.29000002</v>
      </c>
      <c r="G2984" s="205" t="s">
        <v>2017</v>
      </c>
      <c r="J2984" s="331">
        <f t="shared" si="170"/>
        <v>403531320.29000002</v>
      </c>
      <c r="K2984" s="316">
        <f t="shared" si="169"/>
        <v>1672752553.7257473</v>
      </c>
      <c r="L2984" s="55"/>
      <c r="M2984" s="332"/>
      <c r="N2984" s="332"/>
      <c r="O2984" s="316"/>
    </row>
    <row r="2985" spans="1:15" s="7" customFormat="1" ht="15">
      <c r="A2985" s="357"/>
      <c r="B2985" s="141"/>
      <c r="C2985" s="332" t="s">
        <v>1171</v>
      </c>
      <c r="D2985" s="327" t="s">
        <v>535</v>
      </c>
      <c r="E2985" s="328"/>
      <c r="F2985" s="364">
        <v>572850467.46000004</v>
      </c>
      <c r="G2985" s="336" t="s">
        <v>2169</v>
      </c>
      <c r="J2985" s="331">
        <f t="shared" si="170"/>
        <v>572850467.46000004</v>
      </c>
      <c r="K2985" s="316">
        <f t="shared" si="169"/>
        <v>2076283874.0157473</v>
      </c>
      <c r="L2985" s="55"/>
      <c r="M2985" s="332"/>
      <c r="N2985" s="332"/>
      <c r="O2985" s="316"/>
    </row>
    <row r="2986" spans="1:15" s="7" customFormat="1" ht="15">
      <c r="A2986" s="357"/>
      <c r="B2986" s="141"/>
      <c r="C2986" s="332" t="s">
        <v>461</v>
      </c>
      <c r="D2986" s="327" t="s">
        <v>536</v>
      </c>
      <c r="E2986" s="328"/>
      <c r="F2986" s="364">
        <v>392715806.44</v>
      </c>
      <c r="G2986" s="336" t="s">
        <v>2170</v>
      </c>
      <c r="J2986" s="331">
        <f t="shared" si="170"/>
        <v>392715806.44</v>
      </c>
      <c r="K2986" s="316">
        <f t="shared" si="169"/>
        <v>2649134341.4757471</v>
      </c>
      <c r="L2986" s="55"/>
      <c r="M2986" s="332"/>
      <c r="N2986" s="332"/>
      <c r="O2986" s="316"/>
    </row>
    <row r="2987" spans="1:15" s="7" customFormat="1" ht="15">
      <c r="A2987" s="357"/>
      <c r="B2987" s="141"/>
      <c r="C2987" s="332" t="s">
        <v>465</v>
      </c>
      <c r="D2987" s="327" t="s">
        <v>538</v>
      </c>
      <c r="E2987" s="328"/>
      <c r="F2987" s="364">
        <v>416880889.62</v>
      </c>
      <c r="G2987" s="336" t="s">
        <v>2171</v>
      </c>
      <c r="J2987" s="331">
        <f t="shared" si="170"/>
        <v>416880889.62</v>
      </c>
      <c r="K2987" s="316">
        <f t="shared" si="169"/>
        <v>3041850147.9157472</v>
      </c>
      <c r="L2987" s="55"/>
      <c r="M2987" s="332"/>
      <c r="N2987" s="332"/>
      <c r="O2987" s="316"/>
    </row>
    <row r="2988" spans="1:15" s="7" customFormat="1" ht="15">
      <c r="A2988" s="357"/>
      <c r="B2988" s="141"/>
      <c r="C2988" s="332" t="s">
        <v>467</v>
      </c>
      <c r="D2988" s="327" t="s">
        <v>43</v>
      </c>
      <c r="E2988" s="328"/>
      <c r="F2988" s="364">
        <v>197696306.09999999</v>
      </c>
      <c r="G2988" s="336" t="s">
        <v>2172</v>
      </c>
      <c r="J2988" s="331">
        <f t="shared" si="170"/>
        <v>197696306.09999999</v>
      </c>
      <c r="K2988" s="316">
        <f t="shared" si="169"/>
        <v>3458731037.5357471</v>
      </c>
      <c r="L2988" s="55"/>
      <c r="M2988" s="332"/>
      <c r="N2988" s="332"/>
      <c r="O2988" s="316"/>
    </row>
    <row r="2989" spans="1:15" s="7" customFormat="1" ht="15">
      <c r="A2989" s="357"/>
      <c r="B2989" s="141"/>
      <c r="C2989" s="332" t="s">
        <v>469</v>
      </c>
      <c r="D2989" s="327" t="s">
        <v>540</v>
      </c>
      <c r="E2989" s="328"/>
      <c r="F2989" s="364">
        <v>237590914.06999999</v>
      </c>
      <c r="G2989" s="336" t="s">
        <v>2133</v>
      </c>
      <c r="J2989" s="331">
        <f t="shared" si="170"/>
        <v>237590914.06999999</v>
      </c>
      <c r="K2989" s="316">
        <f t="shared" si="169"/>
        <v>3656427343.635747</v>
      </c>
      <c r="L2989" s="55"/>
      <c r="M2989" s="332"/>
      <c r="N2989" s="332"/>
      <c r="O2989" s="316"/>
    </row>
    <row r="2990" spans="1:15" s="7" customFormat="1" ht="15">
      <c r="A2990" s="357"/>
      <c r="B2990" s="141"/>
      <c r="C2990" s="332" t="s">
        <v>471</v>
      </c>
      <c r="D2990" s="327" t="s">
        <v>542</v>
      </c>
      <c r="E2990" s="328"/>
      <c r="F2990" s="364">
        <v>79392484.230000004</v>
      </c>
      <c r="G2990" s="336" t="s">
        <v>2160</v>
      </c>
      <c r="I2990" s="336"/>
      <c r="J2990" s="331">
        <f t="shared" si="170"/>
        <v>79392484.230000004</v>
      </c>
      <c r="K2990" s="316">
        <f t="shared" si="169"/>
        <v>3894018257.7057471</v>
      </c>
      <c r="L2990" s="55"/>
      <c r="M2990" s="332"/>
      <c r="N2990" s="332"/>
      <c r="O2990" s="316"/>
    </row>
    <row r="2991" spans="1:15" s="7" customFormat="1" ht="15">
      <c r="A2991" s="357"/>
      <c r="B2991" s="141"/>
      <c r="C2991" s="332" t="s">
        <v>398</v>
      </c>
      <c r="D2991" s="327" t="s">
        <v>543</v>
      </c>
      <c r="E2991" s="328"/>
      <c r="F2991" s="364">
        <v>25129773.309999999</v>
      </c>
      <c r="G2991" s="205" t="s">
        <v>2173</v>
      </c>
      <c r="J2991" s="331">
        <f t="shared" si="170"/>
        <v>25129773.309999999</v>
      </c>
      <c r="K2991" s="316">
        <f t="shared" si="169"/>
        <v>3973410741.9357471</v>
      </c>
      <c r="L2991" s="55"/>
      <c r="M2991" s="332"/>
      <c r="N2991" s="332"/>
      <c r="O2991" s="316"/>
    </row>
    <row r="2992" spans="1:15" s="7" customFormat="1" ht="15">
      <c r="A2992" s="357"/>
      <c r="B2992" s="141"/>
      <c r="C2992" s="351" t="s">
        <v>1403</v>
      </c>
      <c r="D2992" s="327" t="s">
        <v>544</v>
      </c>
      <c r="E2992" s="328"/>
      <c r="F2992" s="364">
        <v>74186420.069999993</v>
      </c>
      <c r="G2992" s="205" t="s">
        <v>2134</v>
      </c>
      <c r="J2992" s="331">
        <f t="shared" si="170"/>
        <v>74186420.069999993</v>
      </c>
      <c r="K2992" s="316">
        <f t="shared" si="169"/>
        <v>3998540515.2457471</v>
      </c>
      <c r="L2992" s="55"/>
      <c r="M2992" s="332"/>
      <c r="N2992" s="332"/>
      <c r="O2992" s="316"/>
    </row>
    <row r="2993" spans="1:15" s="7" customFormat="1" ht="15">
      <c r="A2993" s="357"/>
      <c r="B2993" s="141"/>
      <c r="C2993" s="396" t="s">
        <v>401</v>
      </c>
      <c r="D2993" s="327" t="s">
        <v>545</v>
      </c>
      <c r="E2993" s="328"/>
      <c r="F2993" s="364">
        <v>143166771.03</v>
      </c>
      <c r="G2993" s="205" t="s">
        <v>2174</v>
      </c>
      <c r="J2993" s="331">
        <f t="shared" si="170"/>
        <v>143166771.03</v>
      </c>
      <c r="K2993" s="316">
        <f t="shared" si="169"/>
        <v>4072726935.3157473</v>
      </c>
      <c r="L2993" s="55"/>
      <c r="M2993" s="332"/>
      <c r="N2993" s="332"/>
      <c r="O2993" s="316"/>
    </row>
    <row r="2994" spans="1:15" s="7" customFormat="1" ht="15">
      <c r="A2994" s="357"/>
      <c r="B2994" s="141"/>
      <c r="C2994" s="41" t="s">
        <v>414</v>
      </c>
      <c r="D2994" s="32" t="s">
        <v>229</v>
      </c>
      <c r="E2994" s="33"/>
      <c r="F2994" s="34">
        <v>835564715.92999995</v>
      </c>
      <c r="G2994" s="76" t="s">
        <v>1783</v>
      </c>
      <c r="J2994" s="331">
        <f t="shared" si="170"/>
        <v>835564715.92999995</v>
      </c>
      <c r="K2994" s="316">
        <f t="shared" si="169"/>
        <v>4215893706.3457475</v>
      </c>
      <c r="L2994" s="55"/>
      <c r="M2994" s="332"/>
      <c r="N2994" s="332"/>
      <c r="O2994" s="316"/>
    </row>
    <row r="2995" spans="1:15" s="7" customFormat="1" ht="15">
      <c r="A2995" s="357"/>
      <c r="B2995" s="141"/>
      <c r="C2995" s="41" t="s">
        <v>1412</v>
      </c>
      <c r="D2995" s="32" t="s">
        <v>232</v>
      </c>
      <c r="E2995" s="33"/>
      <c r="F2995" s="34">
        <v>895932657.90999997</v>
      </c>
      <c r="G2995" s="76" t="s">
        <v>2175</v>
      </c>
      <c r="J2995" s="331">
        <f t="shared" si="170"/>
        <v>895932657.90999997</v>
      </c>
      <c r="K2995" s="316">
        <f t="shared" si="169"/>
        <v>5051458422.2757473</v>
      </c>
      <c r="L2995" s="55"/>
      <c r="M2995" s="332"/>
      <c r="N2995" s="332"/>
      <c r="O2995" s="316"/>
    </row>
    <row r="2996" spans="1:15" s="7" customFormat="1" ht="15">
      <c r="A2996" s="357"/>
      <c r="B2996" s="141"/>
      <c r="C2996" s="41" t="s">
        <v>614</v>
      </c>
      <c r="D2996" s="32" t="s">
        <v>33</v>
      </c>
      <c r="E2996" s="33"/>
      <c r="F2996" s="34">
        <v>139717696.33000001</v>
      </c>
      <c r="G2996" s="76" t="s">
        <v>615</v>
      </c>
      <c r="H2996" s="47">
        <f>71984084+3788636.01</f>
        <v>75772720.010000005</v>
      </c>
      <c r="I2996" s="336"/>
      <c r="J2996" s="331">
        <f t="shared" si="170"/>
        <v>63944976.320000008</v>
      </c>
      <c r="K2996" s="316">
        <f t="shared" si="169"/>
        <v>5947391080.1857471</v>
      </c>
      <c r="L2996" s="233" t="s">
        <v>1917</v>
      </c>
      <c r="M2996" s="332"/>
      <c r="N2996" s="332"/>
      <c r="O2996" s="316"/>
    </row>
    <row r="2997" spans="1:15" s="7" customFormat="1" ht="15">
      <c r="A2997" s="357"/>
      <c r="B2997" s="141"/>
      <c r="C2997" s="41" t="s">
        <v>2176</v>
      </c>
      <c r="D2997" s="32" t="s">
        <v>241</v>
      </c>
      <c r="E2997" s="33"/>
      <c r="F2997" s="34">
        <v>87807778.680000007</v>
      </c>
      <c r="G2997" s="76"/>
      <c r="H2997" s="47">
        <f>43845164+2307640.21</f>
        <v>46152804.210000001</v>
      </c>
      <c r="I2997" s="336"/>
      <c r="J2997" s="331">
        <f t="shared" si="170"/>
        <v>41654974.470000006</v>
      </c>
      <c r="K2997" s="316">
        <f t="shared" si="169"/>
        <v>6011336056.5057468</v>
      </c>
      <c r="L2997" s="233" t="s">
        <v>1917</v>
      </c>
      <c r="M2997" s="332"/>
      <c r="N2997" s="332"/>
      <c r="O2997" s="316"/>
    </row>
    <row r="2998" spans="1:15" s="7" customFormat="1" ht="15">
      <c r="A2998" s="357"/>
      <c r="B2998" s="141"/>
      <c r="C2998" s="41" t="s">
        <v>490</v>
      </c>
      <c r="D2998" s="32" t="s">
        <v>244</v>
      </c>
      <c r="E2998" s="33"/>
      <c r="F2998" s="34">
        <v>119413444.42</v>
      </c>
      <c r="G2998" s="76" t="s">
        <v>1038</v>
      </c>
      <c r="H2998" s="47">
        <f>65544172.64+3451464.16</f>
        <v>68995636.799999997</v>
      </c>
      <c r="I2998" s="336"/>
      <c r="J2998" s="331">
        <f t="shared" si="170"/>
        <v>50417807.620000005</v>
      </c>
      <c r="K2998" s="316">
        <f t="shared" si="169"/>
        <v>6052991030.9757471</v>
      </c>
      <c r="L2998" s="233" t="s">
        <v>1917</v>
      </c>
      <c r="M2998" s="332"/>
      <c r="N2998" s="332"/>
      <c r="O2998" s="316"/>
    </row>
    <row r="2999" spans="1:15" s="7" customFormat="1" ht="15">
      <c r="A2999" s="357"/>
      <c r="B2999" s="141"/>
      <c r="C2999" s="29" t="s">
        <v>560</v>
      </c>
      <c r="D2999" s="32" t="s">
        <v>746</v>
      </c>
      <c r="E2999" s="33"/>
      <c r="F2999" s="95">
        <v>88080747.680000007</v>
      </c>
      <c r="G2999" s="96">
        <v>42861</v>
      </c>
      <c r="H2999" s="47">
        <f>46059172.8+574265.6</f>
        <v>46633438.399999999</v>
      </c>
      <c r="I2999" s="336"/>
      <c r="J2999" s="331">
        <f t="shared" si="170"/>
        <v>41447309.280000009</v>
      </c>
      <c r="K2999" s="316">
        <f t="shared" si="169"/>
        <v>6103408838.595747</v>
      </c>
      <c r="L2999" s="233" t="s">
        <v>1917</v>
      </c>
      <c r="M2999" s="332"/>
      <c r="N2999" s="332"/>
      <c r="O2999" s="316"/>
    </row>
    <row r="3000" spans="1:15" s="7" customFormat="1" ht="15">
      <c r="A3000" s="357"/>
      <c r="B3000" s="141"/>
      <c r="C3000" s="29" t="s">
        <v>562</v>
      </c>
      <c r="D3000" s="32" t="s">
        <v>747</v>
      </c>
      <c r="E3000" s="33"/>
      <c r="F3000" s="95">
        <v>346361144.67000002</v>
      </c>
      <c r="G3000" s="98">
        <v>42931</v>
      </c>
      <c r="H3000" s="47">
        <f>202440493.63+574265.6</f>
        <v>203014759.22999999</v>
      </c>
      <c r="I3000" s="336"/>
      <c r="J3000" s="331">
        <f t="shared" si="170"/>
        <v>143346385.44000003</v>
      </c>
      <c r="K3000" s="316">
        <f t="shared" si="169"/>
        <v>6144856147.8757467</v>
      </c>
      <c r="L3000" s="233" t="s">
        <v>1917</v>
      </c>
      <c r="M3000" s="332"/>
      <c r="N3000" s="332"/>
      <c r="O3000" s="316"/>
    </row>
    <row r="3001" spans="1:15" s="7" customFormat="1" ht="15">
      <c r="A3001" s="357"/>
      <c r="B3001" s="141"/>
      <c r="C3001" s="29" t="s">
        <v>494</v>
      </c>
      <c r="D3001" s="32" t="s">
        <v>748</v>
      </c>
      <c r="E3001" s="33"/>
      <c r="F3001" s="95">
        <v>1423820028.5899999</v>
      </c>
      <c r="G3001" s="98">
        <v>42962</v>
      </c>
      <c r="H3001" s="47">
        <f>902105895.49+1212758</f>
        <v>903318653.49000001</v>
      </c>
      <c r="I3001" s="336"/>
      <c r="J3001" s="331">
        <f t="shared" si="170"/>
        <v>520501375.0999999</v>
      </c>
      <c r="K3001" s="316">
        <f t="shared" si="169"/>
        <v>6288202533.3157463</v>
      </c>
      <c r="L3001" s="233" t="s">
        <v>1917</v>
      </c>
      <c r="M3001" s="332"/>
      <c r="N3001" s="332"/>
      <c r="O3001" s="316"/>
    </row>
    <row r="3002" spans="1:15" s="7" customFormat="1" ht="15">
      <c r="A3002" s="357"/>
      <c r="B3002" s="141"/>
      <c r="C3002" s="29" t="s">
        <v>497</v>
      </c>
      <c r="D3002" s="32" t="s">
        <v>750</v>
      </c>
      <c r="E3002" s="33"/>
      <c r="F3002" s="95">
        <v>990868455.10000002</v>
      </c>
      <c r="G3002" s="98">
        <v>42993</v>
      </c>
      <c r="H3002" s="47">
        <f>647638572.04+47479257.66</f>
        <v>695117829.69999993</v>
      </c>
      <c r="I3002" s="336"/>
      <c r="J3002" s="331">
        <f t="shared" si="170"/>
        <v>295750625.4000001</v>
      </c>
      <c r="K3002" s="316">
        <f t="shared" si="169"/>
        <v>6808703908.4157467</v>
      </c>
      <c r="L3002" s="233" t="s">
        <v>1917</v>
      </c>
      <c r="M3002" s="332"/>
      <c r="N3002" s="332"/>
      <c r="O3002" s="316"/>
    </row>
    <row r="3003" spans="1:15" s="7" customFormat="1" ht="15">
      <c r="A3003" s="357"/>
      <c r="B3003" s="141"/>
      <c r="C3003" s="29" t="s">
        <v>498</v>
      </c>
      <c r="D3003" s="32" t="s">
        <v>752</v>
      </c>
      <c r="E3003" s="33"/>
      <c r="F3003" s="95">
        <v>891831241.33000004</v>
      </c>
      <c r="G3003" s="98" t="s">
        <v>493</v>
      </c>
      <c r="H3003" s="47">
        <f>493008191.32+34086240.63</f>
        <v>527094431.94999999</v>
      </c>
      <c r="I3003" s="336"/>
      <c r="J3003" s="331">
        <f t="shared" si="170"/>
        <v>364736809.38000005</v>
      </c>
      <c r="K3003" s="316">
        <f t="shared" si="169"/>
        <v>7104454533.8157463</v>
      </c>
      <c r="L3003" s="233" t="s">
        <v>1917</v>
      </c>
      <c r="M3003" s="332"/>
      <c r="N3003" s="332"/>
      <c r="O3003" s="316"/>
    </row>
    <row r="3004" spans="1:15" s="7" customFormat="1" ht="15">
      <c r="A3004" s="357"/>
      <c r="B3004" s="141"/>
      <c r="C3004" s="29" t="s">
        <v>564</v>
      </c>
      <c r="D3004" s="32" t="s">
        <v>754</v>
      </c>
      <c r="E3004" s="33"/>
      <c r="F3004" s="95">
        <v>1137317209.52</v>
      </c>
      <c r="G3004" s="98">
        <v>43038</v>
      </c>
      <c r="H3004" s="47">
        <f>706816785.83+25947799.54</f>
        <v>732764585.37</v>
      </c>
      <c r="I3004" s="336"/>
      <c r="J3004" s="331">
        <f t="shared" si="170"/>
        <v>404552624.14999998</v>
      </c>
      <c r="K3004" s="316">
        <f t="shared" si="169"/>
        <v>7469191343.1957464</v>
      </c>
      <c r="L3004" s="233" t="s">
        <v>1917</v>
      </c>
      <c r="M3004" s="332"/>
      <c r="N3004" s="332"/>
      <c r="O3004" s="316"/>
    </row>
    <row r="3005" spans="1:15" s="7" customFormat="1" ht="15">
      <c r="A3005" s="357"/>
      <c r="B3005" s="141"/>
      <c r="C3005" s="29" t="s">
        <v>500</v>
      </c>
      <c r="D3005" s="32" t="s">
        <v>756</v>
      </c>
      <c r="E3005" s="33"/>
      <c r="F3005" s="95">
        <v>924459293.74000001</v>
      </c>
      <c r="G3005" s="98">
        <v>43038</v>
      </c>
      <c r="H3005" s="47">
        <f>621363986.72+37200883.46</f>
        <v>658564870.18000007</v>
      </c>
      <c r="I3005" s="336"/>
      <c r="J3005" s="331">
        <f t="shared" si="170"/>
        <v>265894423.55999994</v>
      </c>
      <c r="K3005" s="316">
        <f t="shared" si="169"/>
        <v>7873743967.345746</v>
      </c>
      <c r="L3005" s="233" t="s">
        <v>1917</v>
      </c>
      <c r="M3005" s="332"/>
      <c r="N3005" s="332"/>
      <c r="O3005" s="316"/>
    </row>
    <row r="3006" spans="1:15" s="7" customFormat="1" ht="15">
      <c r="A3006" s="357"/>
      <c r="B3006" s="141"/>
      <c r="C3006" s="29" t="s">
        <v>501</v>
      </c>
      <c r="D3006" s="32" t="s">
        <v>759</v>
      </c>
      <c r="E3006" s="33"/>
      <c r="F3006" s="95">
        <v>1255419546.0999999</v>
      </c>
      <c r="G3006" s="98" t="s">
        <v>502</v>
      </c>
      <c r="H3006" s="47">
        <f>787844692.94+32703367.72</f>
        <v>820548060.66000009</v>
      </c>
      <c r="I3006" s="336"/>
      <c r="J3006" s="331">
        <f t="shared" si="170"/>
        <v>434871485.43999982</v>
      </c>
      <c r="K3006" s="316">
        <f t="shared" si="169"/>
        <v>8139638390.9057465</v>
      </c>
      <c r="L3006" s="233" t="s">
        <v>1917</v>
      </c>
      <c r="M3006" s="332"/>
      <c r="N3006" s="332"/>
      <c r="O3006" s="316"/>
    </row>
    <row r="3007" spans="1:15" s="7" customFormat="1" ht="15">
      <c r="A3007" s="357"/>
      <c r="B3007" s="141"/>
      <c r="C3007" s="29" t="s">
        <v>504</v>
      </c>
      <c r="D3007" s="32" t="s">
        <v>760</v>
      </c>
      <c r="E3007" s="33"/>
      <c r="F3007" s="95">
        <v>1354306014.99</v>
      </c>
      <c r="G3007" s="98">
        <v>43375</v>
      </c>
      <c r="H3007" s="47">
        <v>1095253550.01</v>
      </c>
      <c r="I3007" s="336"/>
      <c r="J3007" s="331">
        <f t="shared" si="170"/>
        <v>259052464.98000002</v>
      </c>
      <c r="K3007" s="316">
        <f t="shared" si="169"/>
        <v>8574509876.345746</v>
      </c>
      <c r="L3007" s="233" t="s">
        <v>1917</v>
      </c>
      <c r="M3007" s="332"/>
      <c r="N3007" s="332"/>
      <c r="O3007" s="316"/>
    </row>
    <row r="3008" spans="1:15" s="7" customFormat="1" ht="15">
      <c r="A3008" s="357"/>
      <c r="B3008" s="141"/>
      <c r="C3008" s="29" t="s">
        <v>506</v>
      </c>
      <c r="D3008" s="32" t="s">
        <v>761</v>
      </c>
      <c r="E3008" s="33"/>
      <c r="F3008" s="95">
        <v>248146824.24000001</v>
      </c>
      <c r="G3008" s="98" t="s">
        <v>2177</v>
      </c>
      <c r="H3008" s="47">
        <v>186093419.21000001</v>
      </c>
      <c r="I3008" s="336"/>
      <c r="J3008" s="331">
        <f t="shared" si="170"/>
        <v>62053405.030000001</v>
      </c>
      <c r="K3008" s="316">
        <f t="shared" si="169"/>
        <v>8833562341.3257465</v>
      </c>
      <c r="L3008" s="233" t="s">
        <v>1917</v>
      </c>
      <c r="M3008" s="332"/>
      <c r="N3008" s="332"/>
      <c r="O3008" s="316"/>
    </row>
    <row r="3009" spans="1:15" s="7" customFormat="1" ht="15">
      <c r="A3009" s="357"/>
      <c r="B3009" s="141"/>
      <c r="C3009" s="29" t="s">
        <v>508</v>
      </c>
      <c r="D3009" s="32" t="s">
        <v>763</v>
      </c>
      <c r="E3009" s="33"/>
      <c r="F3009" s="95">
        <v>1360277740.4100001</v>
      </c>
      <c r="G3009" s="230" t="s">
        <v>509</v>
      </c>
      <c r="H3009" s="47">
        <v>858101390</v>
      </c>
      <c r="I3009" s="336"/>
      <c r="J3009" s="331">
        <f t="shared" si="170"/>
        <v>502176350.41000009</v>
      </c>
      <c r="K3009" s="316">
        <f t="shared" si="169"/>
        <v>8895615746.3557472</v>
      </c>
      <c r="L3009" s="233" t="s">
        <v>1917</v>
      </c>
      <c r="M3009" s="332"/>
      <c r="N3009" s="332"/>
      <c r="O3009" s="316"/>
    </row>
    <row r="3010" spans="1:15" s="7" customFormat="1" ht="15">
      <c r="A3010" s="357"/>
      <c r="B3010" s="141"/>
      <c r="C3010" s="29" t="s">
        <v>355</v>
      </c>
      <c r="D3010" s="32" t="s">
        <v>765</v>
      </c>
      <c r="E3010" s="33"/>
      <c r="F3010" s="95">
        <v>113200150.04872276</v>
      </c>
      <c r="G3010" s="230" t="s">
        <v>753</v>
      </c>
      <c r="H3010" s="47">
        <f>37422598.37+33988183.45</f>
        <v>71410781.819999993</v>
      </c>
      <c r="I3010" s="336"/>
      <c r="J3010" s="331">
        <f t="shared" si="170"/>
        <v>41789368.228722766</v>
      </c>
      <c r="K3010" s="316">
        <f t="shared" si="169"/>
        <v>9397792096.7657471</v>
      </c>
      <c r="L3010" s="233" t="s">
        <v>1917</v>
      </c>
      <c r="M3010" s="332"/>
      <c r="N3010" s="332"/>
      <c r="O3010" s="316"/>
    </row>
    <row r="3011" spans="1:15" s="7" customFormat="1" ht="15">
      <c r="A3011" s="357"/>
      <c r="B3011" s="141"/>
      <c r="C3011" s="31" t="s">
        <v>234</v>
      </c>
      <c r="D3011" s="32" t="s">
        <v>1756</v>
      </c>
      <c r="E3011" s="33"/>
      <c r="F3011" s="95">
        <v>671872997.21866989</v>
      </c>
      <c r="G3011" s="230" t="s">
        <v>513</v>
      </c>
      <c r="H3011" s="47">
        <v>418588596.64999998</v>
      </c>
      <c r="I3011" s="336"/>
      <c r="J3011" s="331">
        <f t="shared" si="170"/>
        <v>253284400.56866992</v>
      </c>
      <c r="K3011" s="316">
        <f t="shared" si="169"/>
        <v>9439581464.9944706</v>
      </c>
      <c r="L3011" s="233" t="s">
        <v>1917</v>
      </c>
      <c r="M3011" s="332"/>
      <c r="N3011" s="332"/>
      <c r="O3011" s="316"/>
    </row>
    <row r="3012" spans="1:15" s="7" customFormat="1" ht="15">
      <c r="A3012" s="357"/>
      <c r="B3012" s="141"/>
      <c r="C3012" s="31" t="s">
        <v>416</v>
      </c>
      <c r="D3012" s="32" t="s">
        <v>2178</v>
      </c>
      <c r="E3012" s="33"/>
      <c r="F3012" s="95">
        <v>362041103.49363387</v>
      </c>
      <c r="G3012" s="230" t="s">
        <v>571</v>
      </c>
      <c r="H3012" s="47">
        <f>217064863.13+10306689.34</f>
        <v>227371552.47</v>
      </c>
      <c r="I3012" s="238"/>
      <c r="J3012" s="331">
        <f t="shared" si="170"/>
        <v>134669551.02363387</v>
      </c>
      <c r="K3012" s="316">
        <f t="shared" si="169"/>
        <v>9692865865.5631409</v>
      </c>
      <c r="L3012" s="233" t="s">
        <v>1917</v>
      </c>
      <c r="M3012" s="332"/>
      <c r="N3012" s="332"/>
      <c r="O3012" s="316"/>
    </row>
    <row r="3013" spans="1:15" s="7" customFormat="1" ht="15.75">
      <c r="A3013" s="357"/>
      <c r="B3013" s="141"/>
      <c r="C3013" s="31"/>
      <c r="D3013" s="32"/>
      <c r="E3013" s="33"/>
      <c r="F3013" s="95"/>
      <c r="G3013" s="230"/>
      <c r="H3013" s="431">
        <v>711173137.22000003</v>
      </c>
      <c r="I3013" s="432" t="s">
        <v>1358</v>
      </c>
      <c r="J3013" s="331">
        <f t="shared" si="170"/>
        <v>-711173137.22000003</v>
      </c>
      <c r="K3013" s="316">
        <f t="shared" si="169"/>
        <v>9827535416.5867748</v>
      </c>
      <c r="L3013" s="233"/>
      <c r="M3013" s="332"/>
      <c r="N3013" s="332"/>
      <c r="O3013" s="316"/>
    </row>
    <row r="3014" spans="1:15" s="7" customFormat="1" ht="15">
      <c r="A3014" s="357"/>
      <c r="B3014" s="141"/>
      <c r="C3014" s="31"/>
      <c r="D3014" s="32"/>
      <c r="E3014" s="33"/>
      <c r="F3014" s="95"/>
      <c r="G3014" s="230"/>
      <c r="H3014" s="47">
        <f>3788636+2307640+1871129.92+11937175.7+515334.47</f>
        <v>20419916.089999996</v>
      </c>
      <c r="I3014" s="336" t="s">
        <v>1330</v>
      </c>
      <c r="J3014" s="331">
        <f t="shared" si="170"/>
        <v>-20419916.089999996</v>
      </c>
      <c r="K3014" s="316">
        <f t="shared" si="169"/>
        <v>9116362279.3667755</v>
      </c>
      <c r="L3014" s="39" t="s">
        <v>2005</v>
      </c>
      <c r="M3014" s="332"/>
      <c r="N3014" s="332"/>
      <c r="O3014" s="316"/>
    </row>
    <row r="3015" spans="1:15" s="7" customFormat="1" ht="15.75">
      <c r="A3015" s="357"/>
      <c r="B3015" s="141"/>
      <c r="C3015" s="31"/>
      <c r="D3015" s="32"/>
      <c r="E3015" s="33"/>
      <c r="F3015" s="95"/>
      <c r="G3015" s="230"/>
      <c r="H3015" s="47">
        <v>172428359.05000001</v>
      </c>
      <c r="I3015" s="336" t="s">
        <v>165</v>
      </c>
      <c r="J3015" s="331">
        <f t="shared" si="170"/>
        <v>-172428359.05000001</v>
      </c>
      <c r="K3015" s="316">
        <f t="shared" si="169"/>
        <v>9095942363.2767754</v>
      </c>
      <c r="L3015" s="433"/>
      <c r="M3015" s="332"/>
      <c r="N3015" s="332"/>
      <c r="O3015" s="316"/>
    </row>
    <row r="3016" spans="1:15" s="7" customFormat="1" ht="15.75">
      <c r="A3016" s="357"/>
      <c r="B3016" s="141"/>
      <c r="C3016" s="31"/>
      <c r="D3016" s="32"/>
      <c r="E3016" s="33"/>
      <c r="F3016" s="95"/>
      <c r="G3016" s="230"/>
      <c r="H3016" s="47">
        <f>172428359.05+50652554.75</f>
        <v>223080913.80000001</v>
      </c>
      <c r="I3016" s="336" t="s">
        <v>1016</v>
      </c>
      <c r="J3016" s="331">
        <f t="shared" si="170"/>
        <v>-223080913.80000001</v>
      </c>
      <c r="K3016" s="316">
        <f t="shared" si="169"/>
        <v>8923514004.2267761</v>
      </c>
      <c r="L3016" s="433"/>
      <c r="M3016" s="332"/>
      <c r="N3016" s="332"/>
      <c r="O3016" s="316"/>
    </row>
    <row r="3017" spans="1:15" s="7" customFormat="1" ht="15.75">
      <c r="A3017" s="357"/>
      <c r="B3017" s="141"/>
      <c r="C3017" s="31"/>
      <c r="D3017" s="32"/>
      <c r="E3017" s="33"/>
      <c r="F3017" s="95"/>
      <c r="G3017" s="230"/>
      <c r="H3017" s="47">
        <v>115468152.48</v>
      </c>
      <c r="I3017" s="336" t="s">
        <v>1066</v>
      </c>
      <c r="J3017" s="331">
        <f t="shared" si="170"/>
        <v>-115468152.48</v>
      </c>
      <c r="K3017" s="316">
        <f t="shared" si="169"/>
        <v>8700433090.4267769</v>
      </c>
      <c r="L3017" s="433"/>
      <c r="M3017" s="332"/>
      <c r="N3017" s="332"/>
      <c r="O3017" s="316"/>
    </row>
    <row r="3018" spans="1:15" s="7" customFormat="1" ht="15">
      <c r="A3018" s="357"/>
      <c r="B3018" s="141" t="s">
        <v>2179</v>
      </c>
      <c r="C3018" s="313"/>
      <c r="D3018" s="327"/>
      <c r="E3018" s="328"/>
      <c r="F3018" s="364"/>
      <c r="G3018" s="336"/>
      <c r="H3018" s="87"/>
      <c r="I3018" s="336"/>
      <c r="J3018" s="331"/>
      <c r="K3018" s="65">
        <f t="shared" si="169"/>
        <v>8584964937.9467773</v>
      </c>
      <c r="L3018" s="39"/>
      <c r="M3018" s="338"/>
      <c r="N3018" s="338"/>
      <c r="O3018" s="316"/>
    </row>
    <row r="3019" spans="1:15" s="7" customFormat="1" ht="15">
      <c r="A3019" s="81"/>
      <c r="B3019" s="141"/>
      <c r="C3019" s="313"/>
      <c r="D3019" s="327"/>
      <c r="E3019" s="328"/>
      <c r="F3019" s="329"/>
      <c r="G3019" s="336"/>
      <c r="H3019" s="87"/>
      <c r="I3019" s="336"/>
      <c r="J3019" s="331"/>
      <c r="K3019" s="337"/>
      <c r="L3019" s="39"/>
      <c r="M3019" s="338"/>
      <c r="N3019" s="332"/>
      <c r="O3019" s="316"/>
    </row>
    <row r="3020" spans="1:15" s="7" customFormat="1" ht="15">
      <c r="A3020" s="81"/>
      <c r="B3020" s="141"/>
      <c r="C3020" s="313"/>
      <c r="D3020" s="327"/>
      <c r="E3020" s="328"/>
      <c r="F3020" s="329"/>
      <c r="G3020" s="336"/>
      <c r="H3020" s="87"/>
      <c r="I3020" s="336"/>
      <c r="J3020" s="331"/>
      <c r="K3020" s="337"/>
      <c r="L3020" s="39"/>
      <c r="M3020" s="338"/>
      <c r="N3020" s="332"/>
      <c r="O3020" s="316"/>
    </row>
    <row r="3021" spans="1:15" s="7" customFormat="1" ht="15">
      <c r="A3021" s="357">
        <v>45</v>
      </c>
      <c r="B3021" s="141" t="s">
        <v>2180</v>
      </c>
      <c r="C3021" s="332" t="s">
        <v>1858</v>
      </c>
      <c r="D3021" s="327" t="s">
        <v>372</v>
      </c>
      <c r="E3021" s="328"/>
      <c r="F3021" s="366">
        <v>207923566.88</v>
      </c>
      <c r="G3021" s="205" t="s">
        <v>2181</v>
      </c>
      <c r="H3021" s="54">
        <v>0</v>
      </c>
      <c r="I3021" s="336"/>
      <c r="J3021" s="331">
        <f t="shared" ref="J3021:J3084" si="171">F3021-H3021</f>
        <v>207923566.88</v>
      </c>
      <c r="K3021" s="332">
        <v>0</v>
      </c>
      <c r="L3021" s="233"/>
      <c r="M3021" s="332"/>
      <c r="N3021" s="332"/>
      <c r="O3021" s="316"/>
    </row>
    <row r="3022" spans="1:15" s="7" customFormat="1" ht="15">
      <c r="A3022" s="357"/>
      <c r="B3022" s="141"/>
      <c r="C3022" s="332" t="s">
        <v>1860</v>
      </c>
      <c r="D3022" s="327" t="s">
        <v>373</v>
      </c>
      <c r="E3022" s="328"/>
      <c r="F3022" s="366">
        <v>283397332.80000001</v>
      </c>
      <c r="G3022" s="205" t="s">
        <v>2121</v>
      </c>
      <c r="H3022" s="54">
        <v>0</v>
      </c>
      <c r="I3022" s="336"/>
      <c r="J3022" s="331">
        <f t="shared" si="171"/>
        <v>283397332.80000001</v>
      </c>
      <c r="K3022" s="316">
        <f t="shared" ref="K3022:K3085" si="172">K3021+J3021</f>
        <v>207923566.88</v>
      </c>
      <c r="L3022" s="233"/>
      <c r="M3022" s="332"/>
      <c r="N3022" s="332"/>
      <c r="O3022" s="316"/>
    </row>
    <row r="3023" spans="1:15" s="7" customFormat="1" ht="15">
      <c r="A3023" s="357"/>
      <c r="B3023" s="141"/>
      <c r="C3023" s="332" t="s">
        <v>1862</v>
      </c>
      <c r="D3023" s="327" t="s">
        <v>92</v>
      </c>
      <c r="E3023" s="328"/>
      <c r="F3023" s="366">
        <v>267241355.53999999</v>
      </c>
      <c r="G3023" s="205" t="s">
        <v>2022</v>
      </c>
      <c r="H3023" s="47">
        <v>243545084.53</v>
      </c>
      <c r="I3023" s="336" t="s">
        <v>2182</v>
      </c>
      <c r="J3023" s="331">
        <f t="shared" si="171"/>
        <v>23696271.00999999</v>
      </c>
      <c r="K3023" s="316">
        <f t="shared" si="172"/>
        <v>491320899.68000001</v>
      </c>
      <c r="L3023" s="233"/>
      <c r="M3023" s="332"/>
      <c r="N3023" s="332"/>
      <c r="O3023" s="316"/>
    </row>
    <row r="3024" spans="1:15" s="7" customFormat="1" ht="15">
      <c r="A3024" s="357"/>
      <c r="B3024" s="434"/>
      <c r="C3024" s="332" t="s">
        <v>1886</v>
      </c>
      <c r="D3024" s="327" t="s">
        <v>63</v>
      </c>
      <c r="E3024" s="328"/>
      <c r="F3024" s="366">
        <v>237624486.36000001</v>
      </c>
      <c r="G3024" s="205" t="s">
        <v>2183</v>
      </c>
      <c r="H3024" s="47">
        <v>200000000</v>
      </c>
      <c r="I3024" s="336" t="s">
        <v>2125</v>
      </c>
      <c r="J3024" s="331">
        <f t="shared" si="171"/>
        <v>37624486.360000014</v>
      </c>
      <c r="K3024" s="316">
        <f t="shared" si="172"/>
        <v>515017170.69</v>
      </c>
      <c r="L3024" s="233"/>
      <c r="M3024" s="332"/>
      <c r="N3024" s="332"/>
      <c r="O3024" s="316"/>
    </row>
    <row r="3025" spans="1:15" s="7" customFormat="1" ht="15">
      <c r="A3025" s="357"/>
      <c r="B3025" s="141"/>
      <c r="C3025" s="332" t="s">
        <v>1887</v>
      </c>
      <c r="D3025" s="327" t="s">
        <v>374</v>
      </c>
      <c r="E3025" s="328"/>
      <c r="F3025" s="366">
        <v>403578588.48000002</v>
      </c>
      <c r="G3025" s="205" t="s">
        <v>2154</v>
      </c>
      <c r="H3025" s="47">
        <v>474328339.00620592</v>
      </c>
      <c r="I3025" s="336" t="s">
        <v>1914</v>
      </c>
      <c r="J3025" s="331">
        <f t="shared" si="171"/>
        <v>-70749750.526205897</v>
      </c>
      <c r="K3025" s="316">
        <f t="shared" si="172"/>
        <v>552641657.04999995</v>
      </c>
      <c r="L3025" s="233" t="s">
        <v>2127</v>
      </c>
      <c r="M3025" s="332"/>
      <c r="N3025" s="332"/>
      <c r="O3025" s="316"/>
    </row>
    <row r="3026" spans="1:15" s="7" customFormat="1" ht="15">
      <c r="A3026" s="357"/>
      <c r="B3026" s="141"/>
      <c r="C3026" s="332" t="s">
        <v>1888</v>
      </c>
      <c r="D3026" s="327" t="s">
        <v>376</v>
      </c>
      <c r="E3026" s="328"/>
      <c r="F3026" s="366">
        <v>255556232.43000001</v>
      </c>
      <c r="G3026" s="205" t="s">
        <v>2184</v>
      </c>
      <c r="H3026" s="423">
        <v>83912743.629999995</v>
      </c>
      <c r="I3026" s="336">
        <v>43259</v>
      </c>
      <c r="J3026" s="331">
        <f t="shared" si="171"/>
        <v>171643488.80000001</v>
      </c>
      <c r="K3026" s="316">
        <f t="shared" si="172"/>
        <v>481891906.52379405</v>
      </c>
      <c r="L3026" s="233" t="s">
        <v>2129</v>
      </c>
      <c r="M3026" s="332"/>
      <c r="N3026" s="332"/>
      <c r="O3026" s="332"/>
    </row>
    <row r="3027" spans="1:15" s="7" customFormat="1" ht="15">
      <c r="A3027" s="357"/>
      <c r="B3027" s="141"/>
      <c r="C3027" s="332" t="s">
        <v>1892</v>
      </c>
      <c r="D3027" s="327" t="s">
        <v>54</v>
      </c>
      <c r="E3027" s="328"/>
      <c r="F3027" s="366">
        <v>241747016.66</v>
      </c>
      <c r="G3027" s="205" t="s">
        <v>1890</v>
      </c>
      <c r="H3027" s="47">
        <v>123799545.70999999</v>
      </c>
      <c r="I3027" s="336" t="s">
        <v>358</v>
      </c>
      <c r="J3027" s="331">
        <f t="shared" si="171"/>
        <v>117947470.95</v>
      </c>
      <c r="K3027" s="316">
        <f t="shared" si="172"/>
        <v>653535395.32379413</v>
      </c>
      <c r="L3027" s="233" t="s">
        <v>2129</v>
      </c>
      <c r="M3027" s="332"/>
      <c r="N3027" s="332"/>
      <c r="O3027" s="332"/>
    </row>
    <row r="3028" spans="1:15" s="7" customFormat="1" ht="15">
      <c r="A3028" s="357"/>
      <c r="B3028" s="141"/>
      <c r="C3028" s="332" t="s">
        <v>1864</v>
      </c>
      <c r="D3028" s="327" t="s">
        <v>379</v>
      </c>
      <c r="E3028" s="328"/>
      <c r="F3028" s="366">
        <v>331771311.5</v>
      </c>
      <c r="G3028" s="205" t="s">
        <v>2185</v>
      </c>
      <c r="H3028" s="54">
        <v>0</v>
      </c>
      <c r="I3028" s="336"/>
      <c r="J3028" s="331">
        <f t="shared" si="171"/>
        <v>331771311.5</v>
      </c>
      <c r="K3028" s="316">
        <f t="shared" si="172"/>
        <v>771482866.27379417</v>
      </c>
      <c r="L3028" s="233"/>
      <c r="M3028" s="332"/>
      <c r="N3028" s="332"/>
      <c r="O3028" s="332"/>
    </row>
    <row r="3029" spans="1:15" s="7" customFormat="1" ht="15">
      <c r="A3029" s="357"/>
      <c r="B3029" s="141"/>
      <c r="C3029" s="332" t="s">
        <v>1897</v>
      </c>
      <c r="D3029" s="327" t="s">
        <v>381</v>
      </c>
      <c r="E3029" s="328"/>
      <c r="F3029" s="364">
        <v>432324590.64999998</v>
      </c>
      <c r="G3029" s="205" t="s">
        <v>2017</v>
      </c>
      <c r="H3029" s="54">
        <v>0</v>
      </c>
      <c r="I3029" s="336"/>
      <c r="J3029" s="331">
        <f t="shared" si="171"/>
        <v>432324590.64999998</v>
      </c>
      <c r="K3029" s="316">
        <f t="shared" si="172"/>
        <v>1103254177.7737942</v>
      </c>
      <c r="L3029" s="233"/>
      <c r="M3029" s="332"/>
      <c r="N3029" s="332"/>
      <c r="O3029" s="332"/>
    </row>
    <row r="3030" spans="1:15" s="7" customFormat="1" ht="15">
      <c r="A3030" s="357"/>
      <c r="B3030" s="141"/>
      <c r="C3030" s="332" t="s">
        <v>1171</v>
      </c>
      <c r="D3030" s="327" t="s">
        <v>383</v>
      </c>
      <c r="E3030" s="328"/>
      <c r="F3030" s="364">
        <v>413156884.25999999</v>
      </c>
      <c r="G3030" s="205" t="s">
        <v>2130</v>
      </c>
      <c r="H3030" s="54">
        <v>0</v>
      </c>
      <c r="I3030" s="336"/>
      <c r="J3030" s="331">
        <f t="shared" si="171"/>
        <v>413156884.25999999</v>
      </c>
      <c r="K3030" s="316">
        <f t="shared" si="172"/>
        <v>1535578768.4237943</v>
      </c>
      <c r="L3030" s="233"/>
      <c r="M3030" s="332"/>
      <c r="N3030" s="332"/>
      <c r="O3030" s="332"/>
    </row>
    <row r="3031" spans="1:15" s="7" customFormat="1" ht="15">
      <c r="A3031" s="357"/>
      <c r="B3031" s="141"/>
      <c r="C3031" s="332" t="s">
        <v>461</v>
      </c>
      <c r="D3031" s="327" t="s">
        <v>384</v>
      </c>
      <c r="E3031" s="328"/>
      <c r="F3031" s="364">
        <v>469692828.33999997</v>
      </c>
      <c r="G3031" s="205" t="s">
        <v>2186</v>
      </c>
      <c r="H3031" s="54">
        <v>0</v>
      </c>
      <c r="I3031" s="336"/>
      <c r="J3031" s="331">
        <f t="shared" si="171"/>
        <v>469692828.33999997</v>
      </c>
      <c r="K3031" s="316">
        <f t="shared" si="172"/>
        <v>1948735652.6837943</v>
      </c>
      <c r="L3031" s="233"/>
      <c r="M3031" s="332"/>
      <c r="N3031" s="332"/>
      <c r="O3031" s="332"/>
    </row>
    <row r="3032" spans="1:15" s="7" customFormat="1" ht="15">
      <c r="A3032" s="357"/>
      <c r="B3032" s="141"/>
      <c r="C3032" s="332" t="s">
        <v>465</v>
      </c>
      <c r="D3032" s="327" t="s">
        <v>385</v>
      </c>
      <c r="E3032" s="328"/>
      <c r="F3032" s="364">
        <v>431855480.83999997</v>
      </c>
      <c r="G3032" s="205" t="s">
        <v>2171</v>
      </c>
      <c r="H3032" s="54">
        <v>0</v>
      </c>
      <c r="I3032" s="336"/>
      <c r="J3032" s="331">
        <f t="shared" si="171"/>
        <v>431855480.83999997</v>
      </c>
      <c r="K3032" s="316">
        <f t="shared" si="172"/>
        <v>2418428481.0237942</v>
      </c>
      <c r="L3032" s="233"/>
      <c r="M3032" s="332"/>
      <c r="N3032" s="332"/>
      <c r="O3032" s="350"/>
    </row>
    <row r="3033" spans="1:15" s="7" customFormat="1" ht="15">
      <c r="A3033" s="357"/>
      <c r="B3033" s="141"/>
      <c r="C3033" s="332" t="s">
        <v>467</v>
      </c>
      <c r="D3033" s="327" t="s">
        <v>386</v>
      </c>
      <c r="E3033" s="328"/>
      <c r="F3033" s="364">
        <v>524616248.35000002</v>
      </c>
      <c r="G3033" s="205" t="s">
        <v>2132</v>
      </c>
      <c r="H3033" s="54">
        <v>0</v>
      </c>
      <c r="I3033" s="336"/>
      <c r="J3033" s="331">
        <f t="shared" si="171"/>
        <v>524616248.35000002</v>
      </c>
      <c r="K3033" s="316">
        <f t="shared" si="172"/>
        <v>2850283961.8637943</v>
      </c>
      <c r="L3033" s="233"/>
      <c r="M3033" s="332"/>
      <c r="N3033" s="332"/>
    </row>
    <row r="3034" spans="1:15" s="7" customFormat="1" ht="15">
      <c r="A3034" s="357"/>
      <c r="B3034" s="141"/>
      <c r="C3034" s="332" t="s">
        <v>469</v>
      </c>
      <c r="D3034" s="327" t="s">
        <v>388</v>
      </c>
      <c r="E3034" s="328"/>
      <c r="F3034" s="364">
        <v>417385366.19</v>
      </c>
      <c r="G3034" s="205" t="s">
        <v>2133</v>
      </c>
      <c r="H3034" s="54">
        <v>0</v>
      </c>
      <c r="I3034" s="336"/>
      <c r="J3034" s="331">
        <f t="shared" si="171"/>
        <v>417385366.19</v>
      </c>
      <c r="K3034" s="316">
        <f t="shared" si="172"/>
        <v>3374900210.2137942</v>
      </c>
      <c r="L3034" s="233"/>
      <c r="M3034" s="332"/>
      <c r="N3034" s="332"/>
      <c r="O3034" s="332"/>
    </row>
    <row r="3035" spans="1:15" s="7" customFormat="1" ht="15">
      <c r="A3035" s="357"/>
      <c r="B3035" s="141"/>
      <c r="C3035" s="332" t="s">
        <v>471</v>
      </c>
      <c r="D3035" s="327" t="s">
        <v>39</v>
      </c>
      <c r="E3035" s="328"/>
      <c r="F3035" s="364">
        <v>893252584.23000002</v>
      </c>
      <c r="G3035" s="205" t="s">
        <v>2160</v>
      </c>
      <c r="H3035" s="54">
        <v>0</v>
      </c>
      <c r="I3035" s="336"/>
      <c r="J3035" s="331">
        <f t="shared" si="171"/>
        <v>893252584.23000002</v>
      </c>
      <c r="K3035" s="316">
        <f t="shared" si="172"/>
        <v>3792285576.4037943</v>
      </c>
      <c r="L3035" s="233"/>
      <c r="M3035" s="332"/>
      <c r="N3035" s="332"/>
      <c r="O3035" s="332"/>
    </row>
    <row r="3036" spans="1:15" s="7" customFormat="1" ht="15">
      <c r="A3036" s="357"/>
      <c r="B3036" s="141"/>
      <c r="C3036" s="332" t="s">
        <v>398</v>
      </c>
      <c r="D3036" s="327" t="s">
        <v>390</v>
      </c>
      <c r="E3036" s="328"/>
      <c r="F3036" s="364">
        <v>694854764.21000004</v>
      </c>
      <c r="G3036" s="205" t="s">
        <v>2187</v>
      </c>
      <c r="H3036" s="54">
        <v>0</v>
      </c>
      <c r="I3036" s="336"/>
      <c r="J3036" s="331">
        <f t="shared" si="171"/>
        <v>694854764.21000004</v>
      </c>
      <c r="K3036" s="316">
        <f t="shared" si="172"/>
        <v>4685538160.6337948</v>
      </c>
      <c r="L3036" s="233"/>
      <c r="M3036" s="332"/>
      <c r="N3036" s="332"/>
      <c r="O3036" s="332"/>
    </row>
    <row r="3037" spans="1:15" s="7" customFormat="1" ht="15">
      <c r="A3037" s="357"/>
      <c r="B3037" s="141"/>
      <c r="C3037" s="396" t="s">
        <v>401</v>
      </c>
      <c r="D3037" s="327" t="s">
        <v>39</v>
      </c>
      <c r="E3037" s="328"/>
      <c r="F3037" s="364">
        <v>543613134.52999997</v>
      </c>
      <c r="G3037" s="205" t="s">
        <v>2184</v>
      </c>
      <c r="H3037" s="54">
        <v>0</v>
      </c>
      <c r="I3037" s="336"/>
      <c r="J3037" s="331">
        <f t="shared" si="171"/>
        <v>543613134.52999997</v>
      </c>
      <c r="K3037" s="316">
        <f t="shared" si="172"/>
        <v>5380392924.8437948</v>
      </c>
      <c r="L3037" s="233"/>
      <c r="M3037" s="332"/>
      <c r="N3037" s="332"/>
      <c r="O3037" s="332"/>
    </row>
    <row r="3038" spans="1:15" s="7" customFormat="1" ht="15">
      <c r="A3038" s="357"/>
      <c r="B3038" s="141"/>
      <c r="C3038" s="396" t="s">
        <v>404</v>
      </c>
      <c r="D3038" s="327" t="s">
        <v>393</v>
      </c>
      <c r="E3038" s="328"/>
      <c r="F3038" s="364">
        <v>231922234.12</v>
      </c>
      <c r="G3038" s="205" t="s">
        <v>2188</v>
      </c>
      <c r="H3038" s="54">
        <v>0</v>
      </c>
      <c r="I3038" s="336"/>
      <c r="J3038" s="331">
        <f t="shared" si="171"/>
        <v>231922234.12</v>
      </c>
      <c r="K3038" s="316">
        <f t="shared" si="172"/>
        <v>5924006059.3737946</v>
      </c>
      <c r="L3038" s="233"/>
      <c r="M3038" s="332"/>
      <c r="N3038" s="332"/>
      <c r="O3038" s="332"/>
    </row>
    <row r="3039" spans="1:15" s="7" customFormat="1" ht="15">
      <c r="A3039" s="357"/>
      <c r="B3039" s="141"/>
      <c r="C3039" s="41" t="s">
        <v>406</v>
      </c>
      <c r="D3039" s="32" t="s">
        <v>35</v>
      </c>
      <c r="E3039" s="33"/>
      <c r="F3039" s="34">
        <v>266297187.71000001</v>
      </c>
      <c r="G3039" s="76" t="s">
        <v>408</v>
      </c>
      <c r="H3039" s="54">
        <v>0</v>
      </c>
      <c r="I3039" s="336"/>
      <c r="J3039" s="331">
        <f t="shared" si="171"/>
        <v>266297187.71000001</v>
      </c>
      <c r="K3039" s="316">
        <f t="shared" si="172"/>
        <v>6155928293.4937944</v>
      </c>
      <c r="L3039" s="233"/>
      <c r="M3039" s="332"/>
      <c r="N3039" s="332"/>
      <c r="O3039" s="332"/>
    </row>
    <row r="3040" spans="1:15" s="7" customFormat="1" ht="15">
      <c r="A3040" s="357"/>
      <c r="B3040" s="141"/>
      <c r="C3040" s="41" t="s">
        <v>409</v>
      </c>
      <c r="D3040" s="32" t="s">
        <v>530</v>
      </c>
      <c r="E3040" s="33"/>
      <c r="F3040" s="34">
        <v>797385353.98000002</v>
      </c>
      <c r="G3040" s="76" t="s">
        <v>1782</v>
      </c>
      <c r="H3040" s="54">
        <v>0</v>
      </c>
      <c r="I3040" s="336"/>
      <c r="J3040" s="331">
        <f t="shared" si="171"/>
        <v>797385353.98000002</v>
      </c>
      <c r="K3040" s="316">
        <f t="shared" si="172"/>
        <v>6422225481.2037945</v>
      </c>
      <c r="L3040" s="233"/>
      <c r="M3040" s="332"/>
      <c r="N3040" s="332"/>
      <c r="O3040" s="332"/>
    </row>
    <row r="3041" spans="1:15" s="7" customFormat="1" ht="15">
      <c r="A3041" s="357"/>
      <c r="B3041" s="141"/>
      <c r="C3041" s="41" t="s">
        <v>411</v>
      </c>
      <c r="D3041" s="32" t="s">
        <v>532</v>
      </c>
      <c r="E3041" s="33"/>
      <c r="F3041" s="34">
        <v>934329436.92999995</v>
      </c>
      <c r="G3041" s="76" t="s">
        <v>2189</v>
      </c>
      <c r="H3041" s="54">
        <v>0</v>
      </c>
      <c r="I3041" s="336"/>
      <c r="J3041" s="331">
        <f t="shared" si="171"/>
        <v>934329436.92999995</v>
      </c>
      <c r="K3041" s="316">
        <f t="shared" si="172"/>
        <v>7219610835.183794</v>
      </c>
      <c r="L3041" s="233"/>
      <c r="M3041" s="332"/>
      <c r="N3041" s="332"/>
      <c r="O3041" s="332"/>
    </row>
    <row r="3042" spans="1:15" s="7" customFormat="1" ht="15">
      <c r="A3042" s="357"/>
      <c r="B3042" s="141"/>
      <c r="C3042" s="41" t="s">
        <v>414</v>
      </c>
      <c r="D3042" s="32" t="s">
        <v>534</v>
      </c>
      <c r="E3042" s="33"/>
      <c r="F3042" s="34">
        <v>835139253.94000006</v>
      </c>
      <c r="G3042" s="75">
        <v>42685</v>
      </c>
      <c r="H3042" s="54">
        <v>0</v>
      </c>
      <c r="I3042" s="336"/>
      <c r="J3042" s="331">
        <f t="shared" si="171"/>
        <v>835139253.94000006</v>
      </c>
      <c r="K3042" s="316">
        <f t="shared" si="172"/>
        <v>8153940272.1137943</v>
      </c>
      <c r="L3042" s="233"/>
      <c r="M3042" s="332"/>
      <c r="N3042" s="332"/>
      <c r="O3042" s="332"/>
    </row>
    <row r="3043" spans="1:15" s="7" customFormat="1" ht="15">
      <c r="A3043" s="357"/>
      <c r="B3043" s="141"/>
      <c r="C3043" s="74" t="s">
        <v>1412</v>
      </c>
      <c r="D3043" s="32" t="s">
        <v>535</v>
      </c>
      <c r="E3043" s="33"/>
      <c r="F3043" s="34">
        <v>1505344324.9400001</v>
      </c>
      <c r="G3043" s="75">
        <v>42594</v>
      </c>
      <c r="H3043" s="54">
        <v>0</v>
      </c>
      <c r="I3043" s="336"/>
      <c r="J3043" s="331">
        <f t="shared" si="171"/>
        <v>1505344324.9400001</v>
      </c>
      <c r="K3043" s="316">
        <f t="shared" si="172"/>
        <v>8989079526.0537949</v>
      </c>
      <c r="L3043" s="233"/>
      <c r="M3043" s="332"/>
      <c r="N3043" s="332"/>
      <c r="O3043" s="332"/>
    </row>
    <row r="3044" spans="1:15" s="7" customFormat="1" ht="15">
      <c r="A3044" s="357"/>
      <c r="B3044" s="141"/>
      <c r="C3044" s="41" t="s">
        <v>609</v>
      </c>
      <c r="D3044" s="32" t="s">
        <v>536</v>
      </c>
      <c r="E3044" s="33"/>
      <c r="F3044" s="34">
        <v>785722712.17999995</v>
      </c>
      <c r="G3044" s="75" t="s">
        <v>2190</v>
      </c>
      <c r="I3044" s="336"/>
      <c r="J3044" s="331">
        <f t="shared" si="171"/>
        <v>785722712.17999995</v>
      </c>
      <c r="K3044" s="316">
        <f t="shared" si="172"/>
        <v>10494423850.993795</v>
      </c>
      <c r="L3044" s="233"/>
      <c r="M3044" s="332"/>
      <c r="N3044" s="332"/>
      <c r="O3044" s="332"/>
    </row>
    <row r="3045" spans="1:15" s="7" customFormat="1" ht="15">
      <c r="A3045" s="357"/>
      <c r="B3045" s="141"/>
      <c r="C3045" s="41" t="s">
        <v>611</v>
      </c>
      <c r="D3045" s="32" t="s">
        <v>538</v>
      </c>
      <c r="E3045" s="33"/>
      <c r="F3045" s="34">
        <v>819322585.03999996</v>
      </c>
      <c r="G3045" s="75" t="s">
        <v>2191</v>
      </c>
      <c r="I3045" s="336"/>
      <c r="J3045" s="331">
        <f t="shared" si="171"/>
        <v>819322585.03999996</v>
      </c>
      <c r="K3045" s="316">
        <f t="shared" si="172"/>
        <v>11280146563.173796</v>
      </c>
      <c r="L3045" s="233"/>
      <c r="M3045" s="332"/>
      <c r="N3045" s="332"/>
      <c r="O3045" s="332"/>
    </row>
    <row r="3046" spans="1:15" s="7" customFormat="1" ht="15">
      <c r="A3046" s="357"/>
      <c r="B3046" s="141"/>
      <c r="C3046" s="41" t="s">
        <v>2192</v>
      </c>
      <c r="D3046" s="32" t="s">
        <v>43</v>
      </c>
      <c r="E3046" s="33"/>
      <c r="F3046" s="34">
        <v>645009608.61000001</v>
      </c>
      <c r="G3046" s="75" t="s">
        <v>2137</v>
      </c>
      <c r="H3046" s="261">
        <f>416463383+21919129.18</f>
        <v>438382512.18000001</v>
      </c>
      <c r="I3046" s="336"/>
      <c r="J3046" s="331">
        <f t="shared" si="171"/>
        <v>206627096.43000001</v>
      </c>
      <c r="K3046" s="316">
        <f t="shared" si="172"/>
        <v>12099469148.213795</v>
      </c>
      <c r="L3046" s="233" t="s">
        <v>1917</v>
      </c>
      <c r="M3046" s="332"/>
      <c r="N3046" s="332"/>
      <c r="O3046" s="332"/>
    </row>
    <row r="3047" spans="1:15" s="7" customFormat="1" ht="15">
      <c r="A3047" s="357"/>
      <c r="B3047" s="109"/>
      <c r="C3047" s="29" t="s">
        <v>489</v>
      </c>
      <c r="D3047" s="32" t="s">
        <v>540</v>
      </c>
      <c r="E3047" s="33"/>
      <c r="F3047" s="95">
        <v>1080726737.23</v>
      </c>
      <c r="G3047" s="58" t="s">
        <v>556</v>
      </c>
      <c r="H3047" s="47">
        <f>672525427+35396075.12</f>
        <v>707921502.12</v>
      </c>
      <c r="I3047" s="336"/>
      <c r="J3047" s="331">
        <f t="shared" si="171"/>
        <v>372805235.11000001</v>
      </c>
      <c r="K3047" s="316">
        <f t="shared" si="172"/>
        <v>12306096244.643795</v>
      </c>
      <c r="L3047" s="233" t="s">
        <v>1917</v>
      </c>
      <c r="M3047" s="332"/>
      <c r="N3047" s="332"/>
      <c r="O3047" s="332"/>
    </row>
    <row r="3048" spans="1:15" s="7" customFormat="1" ht="15">
      <c r="A3048" s="357"/>
      <c r="B3048" s="109"/>
      <c r="C3048" s="29" t="s">
        <v>2193</v>
      </c>
      <c r="D3048" s="32" t="s">
        <v>542</v>
      </c>
      <c r="E3048" s="33"/>
      <c r="F3048" s="95">
        <v>1313292761.77</v>
      </c>
      <c r="G3048" s="58" t="s">
        <v>1038</v>
      </c>
      <c r="H3048" s="47">
        <f>873372811.22+45990525.7</f>
        <v>919363336.92000008</v>
      </c>
      <c r="I3048" s="336"/>
      <c r="J3048" s="331">
        <f t="shared" si="171"/>
        <v>393929424.8499999</v>
      </c>
      <c r="K3048" s="316">
        <f t="shared" si="172"/>
        <v>12678901479.753796</v>
      </c>
      <c r="L3048" s="233" t="s">
        <v>1917</v>
      </c>
      <c r="M3048" s="332"/>
      <c r="N3048" s="332"/>
      <c r="O3048" s="332"/>
    </row>
    <row r="3049" spans="1:15" s="7" customFormat="1" ht="15">
      <c r="A3049" s="357"/>
      <c r="B3049" s="109"/>
      <c r="C3049" s="29" t="s">
        <v>560</v>
      </c>
      <c r="D3049" s="32" t="s">
        <v>1366</v>
      </c>
      <c r="E3049" s="33"/>
      <c r="F3049" s="95">
        <v>1140533950.28</v>
      </c>
      <c r="G3049" s="96">
        <v>43014</v>
      </c>
      <c r="H3049" s="47">
        <f>775908246.99+9673972.01</f>
        <v>785582219</v>
      </c>
      <c r="I3049" s="336"/>
      <c r="J3049" s="331">
        <f t="shared" si="171"/>
        <v>354951731.27999997</v>
      </c>
      <c r="K3049" s="316">
        <f t="shared" si="172"/>
        <v>13072830904.603796</v>
      </c>
      <c r="L3049" s="233" t="s">
        <v>1917</v>
      </c>
      <c r="M3049" s="332"/>
      <c r="N3049" s="332"/>
      <c r="O3049" s="332"/>
    </row>
    <row r="3050" spans="1:15" s="7" customFormat="1" ht="15">
      <c r="A3050" s="357"/>
      <c r="B3050" s="109"/>
      <c r="C3050" s="29" t="s">
        <v>562</v>
      </c>
      <c r="D3050" s="32" t="s">
        <v>1369</v>
      </c>
      <c r="E3050" s="33"/>
      <c r="F3050" s="95">
        <v>836695680.70000005</v>
      </c>
      <c r="G3050" s="98">
        <v>42931</v>
      </c>
      <c r="H3050" s="47">
        <f>580216914.21+3475894.69</f>
        <v>583692808.9000001</v>
      </c>
      <c r="I3050" s="336"/>
      <c r="J3050" s="331">
        <f t="shared" si="171"/>
        <v>253002871.79999995</v>
      </c>
      <c r="K3050" s="316">
        <f t="shared" si="172"/>
        <v>13427782635.883797</v>
      </c>
      <c r="L3050" s="233" t="s">
        <v>1917</v>
      </c>
      <c r="M3050" s="332"/>
      <c r="N3050" s="332"/>
      <c r="O3050" s="332"/>
    </row>
    <row r="3051" spans="1:15" s="7" customFormat="1" ht="15">
      <c r="A3051" s="357"/>
      <c r="B3051" s="109"/>
      <c r="C3051" s="29" t="s">
        <v>494</v>
      </c>
      <c r="D3051" s="32" t="s">
        <v>1246</v>
      </c>
      <c r="E3051" s="33"/>
      <c r="F3051" s="95">
        <v>1030733335.11</v>
      </c>
      <c r="G3051" s="98">
        <v>42962</v>
      </c>
      <c r="H3051" s="47">
        <f>730447509.15+38444605.74</f>
        <v>768892114.88999999</v>
      </c>
      <c r="I3051" s="336"/>
      <c r="J3051" s="331">
        <f t="shared" si="171"/>
        <v>261841220.22000003</v>
      </c>
      <c r="K3051" s="316">
        <f t="shared" si="172"/>
        <v>13680785507.683796</v>
      </c>
      <c r="L3051" s="233" t="s">
        <v>1917</v>
      </c>
      <c r="M3051" s="332"/>
      <c r="N3051" s="332"/>
      <c r="O3051" s="332"/>
    </row>
    <row r="3052" spans="1:15" s="7" customFormat="1" ht="15">
      <c r="A3052" s="357"/>
      <c r="B3052" s="109"/>
      <c r="C3052" s="29" t="s">
        <v>497</v>
      </c>
      <c r="D3052" s="32" t="s">
        <v>1247</v>
      </c>
      <c r="E3052" s="33"/>
      <c r="F3052" s="95">
        <v>890137670.47000003</v>
      </c>
      <c r="G3052" s="98">
        <v>42993</v>
      </c>
      <c r="H3052" s="47">
        <f>615296601.37+32384031.65</f>
        <v>647680633.01999998</v>
      </c>
      <c r="I3052" s="336"/>
      <c r="J3052" s="331">
        <f t="shared" si="171"/>
        <v>242457037.45000005</v>
      </c>
      <c r="K3052" s="316">
        <f t="shared" si="172"/>
        <v>13942626727.903795</v>
      </c>
      <c r="L3052" s="233" t="s">
        <v>1917</v>
      </c>
      <c r="M3052" s="332"/>
      <c r="N3052" s="332"/>
      <c r="O3052" s="332"/>
    </row>
    <row r="3053" spans="1:15" s="7" customFormat="1" ht="15">
      <c r="A3053" s="357"/>
      <c r="B3053" s="109"/>
      <c r="C3053" s="29" t="s">
        <v>498</v>
      </c>
      <c r="D3053" s="32" t="s">
        <v>1248</v>
      </c>
      <c r="E3053" s="33"/>
      <c r="F3053" s="95">
        <v>780837911.30999994</v>
      </c>
      <c r="G3053" s="98" t="s">
        <v>2194</v>
      </c>
      <c r="H3053" s="47">
        <f>483654226.46+25455485.6</f>
        <v>509109712.06</v>
      </c>
      <c r="I3053" s="336"/>
      <c r="J3053" s="331">
        <f t="shared" si="171"/>
        <v>271728199.24999994</v>
      </c>
      <c r="K3053" s="316">
        <f t="shared" si="172"/>
        <v>14185083765.353796</v>
      </c>
      <c r="L3053" s="233" t="s">
        <v>1917</v>
      </c>
      <c r="M3053" s="332"/>
      <c r="N3053" s="332"/>
      <c r="O3053" s="332"/>
    </row>
    <row r="3054" spans="1:15" s="7" customFormat="1" ht="15">
      <c r="A3054" s="357"/>
      <c r="B3054" s="109"/>
      <c r="C3054" s="29" t="s">
        <v>564</v>
      </c>
      <c r="D3054" s="32" t="s">
        <v>1249</v>
      </c>
      <c r="E3054" s="33"/>
      <c r="F3054" s="95">
        <v>871095376.63999999</v>
      </c>
      <c r="G3054" s="98">
        <v>43042</v>
      </c>
      <c r="H3054" s="47">
        <f>596501863.84+31394834.94</f>
        <v>627896698.78000009</v>
      </c>
      <c r="I3054" s="336"/>
      <c r="J3054" s="331">
        <f t="shared" si="171"/>
        <v>243198677.8599999</v>
      </c>
      <c r="K3054" s="316">
        <f t="shared" si="172"/>
        <v>14456811964.603796</v>
      </c>
      <c r="L3054" s="233" t="s">
        <v>1917</v>
      </c>
      <c r="M3054" s="332"/>
      <c r="N3054" s="332"/>
      <c r="O3054" s="332"/>
    </row>
    <row r="3055" spans="1:15" s="7" customFormat="1" ht="15">
      <c r="A3055" s="357"/>
      <c r="B3055" s="109"/>
      <c r="C3055" s="29" t="s">
        <v>500</v>
      </c>
      <c r="D3055" s="32" t="s">
        <v>1250</v>
      </c>
      <c r="E3055" s="33"/>
      <c r="F3055" s="95">
        <v>1067085561.4299999</v>
      </c>
      <c r="G3055" s="98">
        <v>43042</v>
      </c>
      <c r="H3055" s="47">
        <f>783472218.26+41235379.91</f>
        <v>824707598.16999996</v>
      </c>
      <c r="I3055" s="336"/>
      <c r="J3055" s="331">
        <f t="shared" si="171"/>
        <v>242377963.25999999</v>
      </c>
      <c r="K3055" s="316">
        <f t="shared" si="172"/>
        <v>14700010642.463797</v>
      </c>
      <c r="L3055" s="233" t="s">
        <v>1917</v>
      </c>
      <c r="M3055" s="332"/>
      <c r="N3055" s="332"/>
      <c r="O3055" s="332"/>
    </row>
    <row r="3056" spans="1:15" s="7" customFormat="1" ht="15">
      <c r="A3056" s="357"/>
      <c r="B3056" s="109"/>
      <c r="C3056" s="29" t="s">
        <v>501</v>
      </c>
      <c r="D3056" s="32" t="s">
        <v>1253</v>
      </c>
      <c r="E3056" s="33"/>
      <c r="F3056" s="95">
        <v>871131598.14999998</v>
      </c>
      <c r="G3056" s="98" t="s">
        <v>502</v>
      </c>
      <c r="H3056" s="47">
        <v>608387022.25999999</v>
      </c>
      <c r="I3056" s="336"/>
      <c r="J3056" s="331">
        <f t="shared" si="171"/>
        <v>262744575.88999999</v>
      </c>
      <c r="K3056" s="316">
        <f t="shared" si="172"/>
        <v>14942388605.723797</v>
      </c>
      <c r="L3056" s="233" t="s">
        <v>1917</v>
      </c>
      <c r="M3056" s="332"/>
      <c r="N3056" s="332"/>
      <c r="O3056" s="332"/>
    </row>
    <row r="3057" spans="1:15" s="7" customFormat="1" ht="15">
      <c r="A3057" s="357"/>
      <c r="B3057" s="109"/>
      <c r="C3057" s="29" t="s">
        <v>504</v>
      </c>
      <c r="D3057" s="32" t="s">
        <v>1255</v>
      </c>
      <c r="E3057" s="33"/>
      <c r="F3057" s="95">
        <v>1072236258.1</v>
      </c>
      <c r="G3057" s="98">
        <v>43375</v>
      </c>
      <c r="H3057" s="47">
        <v>919059649.79999995</v>
      </c>
      <c r="I3057" s="336"/>
      <c r="J3057" s="331">
        <f t="shared" si="171"/>
        <v>153176608.30000007</v>
      </c>
      <c r="K3057" s="316">
        <f t="shared" si="172"/>
        <v>15205133181.613796</v>
      </c>
      <c r="L3057" s="233" t="s">
        <v>1917</v>
      </c>
      <c r="M3057" s="332"/>
      <c r="N3057" s="332"/>
      <c r="O3057" s="332"/>
    </row>
    <row r="3058" spans="1:15" s="7" customFormat="1" ht="15">
      <c r="A3058" s="357"/>
      <c r="B3058" s="109"/>
      <c r="C3058" s="29" t="s">
        <v>506</v>
      </c>
      <c r="D3058" s="32" t="s">
        <v>740</v>
      </c>
      <c r="E3058" s="33"/>
      <c r="F3058" s="95">
        <v>926143244.88999999</v>
      </c>
      <c r="G3058" s="98" t="s">
        <v>1302</v>
      </c>
      <c r="H3058" s="47">
        <v>793837067.04999995</v>
      </c>
      <c r="I3058" s="336"/>
      <c r="J3058" s="331">
        <f t="shared" si="171"/>
        <v>132306177.84000003</v>
      </c>
      <c r="K3058" s="316">
        <f t="shared" si="172"/>
        <v>15358309789.913795</v>
      </c>
      <c r="L3058" s="233" t="s">
        <v>1917</v>
      </c>
      <c r="M3058" s="332"/>
      <c r="N3058" s="332"/>
      <c r="O3058" s="332"/>
    </row>
    <row r="3059" spans="1:15" s="7" customFormat="1" ht="15">
      <c r="A3059" s="357"/>
      <c r="B3059" s="109"/>
      <c r="C3059" s="29" t="s">
        <v>508</v>
      </c>
      <c r="D3059" s="32" t="s">
        <v>741</v>
      </c>
      <c r="E3059" s="33"/>
      <c r="F3059" s="95">
        <v>1196512784.9955001</v>
      </c>
      <c r="G3059" s="75" t="s">
        <v>509</v>
      </c>
      <c r="H3059" s="47">
        <v>797675190</v>
      </c>
      <c r="I3059" s="336"/>
      <c r="J3059" s="331">
        <f t="shared" si="171"/>
        <v>398837594.99550009</v>
      </c>
      <c r="K3059" s="316">
        <f t="shared" si="172"/>
        <v>15490615967.753796</v>
      </c>
      <c r="L3059" s="233" t="s">
        <v>1917</v>
      </c>
      <c r="M3059" s="332"/>
      <c r="N3059" s="332"/>
      <c r="O3059" s="332"/>
    </row>
    <row r="3060" spans="1:15" s="7" customFormat="1" ht="15">
      <c r="A3060" s="357"/>
      <c r="B3060" s="109"/>
      <c r="C3060" s="29" t="s">
        <v>355</v>
      </c>
      <c r="D3060" s="32" t="s">
        <v>742</v>
      </c>
      <c r="E3060" s="33"/>
      <c r="F3060" s="95">
        <v>1095591242.5105724</v>
      </c>
      <c r="G3060" s="75" t="s">
        <v>1931</v>
      </c>
      <c r="H3060" s="47">
        <f>380789446.74+304705189.71</f>
        <v>685494636.45000005</v>
      </c>
      <c r="I3060" s="336"/>
      <c r="J3060" s="331">
        <f t="shared" si="171"/>
        <v>410096606.06057239</v>
      </c>
      <c r="K3060" s="316">
        <f t="shared" si="172"/>
        <v>15889453562.749296</v>
      </c>
      <c r="L3060" s="233" t="s">
        <v>1917</v>
      </c>
      <c r="M3060" s="332"/>
      <c r="N3060" s="332"/>
      <c r="O3060" s="332"/>
    </row>
    <row r="3061" spans="1:15" s="7" customFormat="1" ht="15">
      <c r="A3061" s="357"/>
      <c r="B3061" s="109"/>
      <c r="C3061" s="31" t="s">
        <v>234</v>
      </c>
      <c r="D3061" s="32" t="s">
        <v>744</v>
      </c>
      <c r="E3061" s="33"/>
      <c r="F3061" s="95">
        <v>883260542.73665249</v>
      </c>
      <c r="G3061" s="75" t="s">
        <v>513</v>
      </c>
      <c r="H3061" s="47">
        <v>588840361.82000005</v>
      </c>
      <c r="I3061" s="336"/>
      <c r="J3061" s="331">
        <f t="shared" si="171"/>
        <v>294420180.91665244</v>
      </c>
      <c r="K3061" s="316">
        <f t="shared" si="172"/>
        <v>16299550168.809868</v>
      </c>
      <c r="L3061" s="233" t="s">
        <v>1917</v>
      </c>
      <c r="M3061" s="332"/>
      <c r="N3061" s="332"/>
      <c r="O3061" s="332"/>
    </row>
    <row r="3062" spans="1:15" s="7" customFormat="1" ht="15">
      <c r="A3062" s="357"/>
      <c r="B3062" s="109"/>
      <c r="C3062" s="31" t="s">
        <v>416</v>
      </c>
      <c r="D3062" s="32" t="s">
        <v>2195</v>
      </c>
      <c r="E3062" s="33"/>
      <c r="F3062" s="95">
        <v>879863496.206478</v>
      </c>
      <c r="G3062" s="75" t="s">
        <v>571</v>
      </c>
      <c r="H3062" s="47">
        <v>586575664.13</v>
      </c>
      <c r="I3062" s="336"/>
      <c r="J3062" s="331">
        <f t="shared" si="171"/>
        <v>293287832.076478</v>
      </c>
      <c r="K3062" s="316">
        <f t="shared" si="172"/>
        <v>16593970349.726521</v>
      </c>
      <c r="L3062" s="233" t="s">
        <v>1917</v>
      </c>
      <c r="M3062" s="332"/>
      <c r="N3062" s="332"/>
      <c r="O3062" s="332"/>
    </row>
    <row r="3063" spans="1:15" s="7" customFormat="1" ht="15">
      <c r="A3063" s="357"/>
      <c r="B3063" s="109"/>
      <c r="C3063" s="102" t="s">
        <v>238</v>
      </c>
      <c r="D3063" s="32" t="s">
        <v>746</v>
      </c>
      <c r="E3063" s="33"/>
      <c r="F3063" s="95">
        <v>790824275.24738395</v>
      </c>
      <c r="G3063" s="75" t="s">
        <v>507</v>
      </c>
      <c r="H3063" s="47">
        <v>527216183.5</v>
      </c>
      <c r="I3063" s="336"/>
      <c r="J3063" s="331">
        <f t="shared" si="171"/>
        <v>263608091.74738395</v>
      </c>
      <c r="K3063" s="316">
        <f t="shared" si="172"/>
        <v>16887258181.802998</v>
      </c>
      <c r="L3063" s="233" t="s">
        <v>1917</v>
      </c>
      <c r="M3063" s="332"/>
      <c r="N3063" s="332"/>
      <c r="O3063" s="332"/>
    </row>
    <row r="3064" spans="1:15" s="7" customFormat="1" ht="15">
      <c r="A3064" s="357"/>
      <c r="B3064" s="109"/>
      <c r="C3064" s="102" t="s">
        <v>517</v>
      </c>
      <c r="D3064" s="32" t="s">
        <v>2196</v>
      </c>
      <c r="E3064" s="33"/>
      <c r="F3064" s="95">
        <v>907186440.12780011</v>
      </c>
      <c r="G3064" s="75" t="s">
        <v>957</v>
      </c>
      <c r="H3064" s="47">
        <v>604790960.09000003</v>
      </c>
      <c r="J3064" s="331">
        <f t="shared" si="171"/>
        <v>302395480.03780007</v>
      </c>
      <c r="K3064" s="316">
        <f t="shared" si="172"/>
        <v>17150866273.550381</v>
      </c>
      <c r="L3064" s="233" t="s">
        <v>1917</v>
      </c>
      <c r="M3064" s="332"/>
      <c r="N3064" s="332"/>
      <c r="O3064" s="332"/>
    </row>
    <row r="3065" spans="1:15" s="7" customFormat="1" ht="15">
      <c r="A3065" s="357"/>
      <c r="B3065" s="109"/>
      <c r="C3065" s="102" t="s">
        <v>243</v>
      </c>
      <c r="D3065" s="32" t="s">
        <v>678</v>
      </c>
      <c r="E3065" s="33"/>
      <c r="F3065" s="95">
        <v>693768393.48673511</v>
      </c>
      <c r="G3065" s="75" t="s">
        <v>2001</v>
      </c>
      <c r="H3065" s="47">
        <v>462512262.32999998</v>
      </c>
      <c r="J3065" s="331">
        <f t="shared" si="171"/>
        <v>231256131.15673512</v>
      </c>
      <c r="K3065" s="316">
        <f t="shared" si="172"/>
        <v>17453261753.588181</v>
      </c>
      <c r="L3065" s="233" t="s">
        <v>1917</v>
      </c>
      <c r="M3065" s="332"/>
      <c r="N3065" s="332"/>
      <c r="O3065" s="332"/>
    </row>
    <row r="3066" spans="1:15" s="7" customFormat="1" ht="15">
      <c r="A3066" s="357"/>
      <c r="B3066" s="109"/>
      <c r="C3066" s="102" t="s">
        <v>246</v>
      </c>
      <c r="D3066" s="103" t="s">
        <v>1768</v>
      </c>
      <c r="E3066" s="322"/>
      <c r="F3066" s="104">
        <v>570481706.41232407</v>
      </c>
      <c r="G3066" s="105" t="s">
        <v>576</v>
      </c>
      <c r="H3066" s="47">
        <f>357937530.78+22383606.83</f>
        <v>380321137.60999995</v>
      </c>
      <c r="J3066" s="331">
        <f t="shared" si="171"/>
        <v>190160568.80232412</v>
      </c>
      <c r="K3066" s="316">
        <f t="shared" si="172"/>
        <v>17684517884.744915</v>
      </c>
      <c r="L3066" s="233" t="s">
        <v>1917</v>
      </c>
      <c r="M3066" s="332"/>
      <c r="N3066" s="332"/>
      <c r="O3066" s="332"/>
    </row>
    <row r="3067" spans="1:15" s="7" customFormat="1" ht="15">
      <c r="A3067" s="357"/>
      <c r="B3067" s="109"/>
      <c r="C3067" s="102" t="s">
        <v>522</v>
      </c>
      <c r="D3067" s="103" t="s">
        <v>1769</v>
      </c>
      <c r="E3067" s="322"/>
      <c r="F3067" s="104">
        <v>668730412.8156749</v>
      </c>
      <c r="G3067" s="105" t="s">
        <v>577</v>
      </c>
      <c r="H3067" s="47">
        <v>443428413.44999999</v>
      </c>
      <c r="J3067" s="331">
        <f t="shared" si="171"/>
        <v>225301999.36567491</v>
      </c>
      <c r="K3067" s="316">
        <f t="shared" si="172"/>
        <v>17874678453.547237</v>
      </c>
      <c r="L3067" s="233" t="s">
        <v>1917</v>
      </c>
      <c r="M3067" s="332"/>
      <c r="N3067" s="332"/>
      <c r="O3067" s="332"/>
    </row>
    <row r="3068" spans="1:15" s="7" customFormat="1" ht="15">
      <c r="A3068" s="357"/>
      <c r="B3068" s="109"/>
      <c r="C3068" s="102" t="s">
        <v>250</v>
      </c>
      <c r="D3068" s="103" t="s">
        <v>255</v>
      </c>
      <c r="E3068" s="322"/>
      <c r="F3068" s="104">
        <v>918818953.74000001</v>
      </c>
      <c r="G3068" s="105" t="s">
        <v>578</v>
      </c>
      <c r="H3068" s="47">
        <v>612545969.15999997</v>
      </c>
      <c r="I3068" s="336" t="s">
        <v>252</v>
      </c>
      <c r="J3068" s="331">
        <f t="shared" si="171"/>
        <v>306272984.58000004</v>
      </c>
      <c r="K3068" s="316">
        <f t="shared" si="172"/>
        <v>18099980452.91291</v>
      </c>
      <c r="L3068" s="233" t="s">
        <v>1917</v>
      </c>
      <c r="M3068" s="332"/>
      <c r="N3068" s="332"/>
      <c r="O3068" s="332"/>
    </row>
    <row r="3069" spans="1:15" s="7" customFormat="1" ht="15.75">
      <c r="A3069" s="357"/>
      <c r="B3069" s="109"/>
      <c r="C3069" s="111" t="s">
        <v>139</v>
      </c>
      <c r="D3069" s="103" t="s">
        <v>258</v>
      </c>
      <c r="E3069" s="322"/>
      <c r="F3069" s="104">
        <v>667922265.21000004</v>
      </c>
      <c r="G3069" s="105" t="s">
        <v>579</v>
      </c>
      <c r="H3069" s="47">
        <v>445281510.13999999</v>
      </c>
      <c r="I3069" s="243"/>
      <c r="J3069" s="331">
        <f t="shared" si="171"/>
        <v>222640755.07000005</v>
      </c>
      <c r="K3069" s="316">
        <f t="shared" si="172"/>
        <v>18406253437.492912</v>
      </c>
      <c r="L3069" s="233" t="s">
        <v>1917</v>
      </c>
      <c r="M3069" s="332"/>
      <c r="N3069" s="332"/>
      <c r="O3069" s="332"/>
    </row>
    <row r="3070" spans="1:15" s="7" customFormat="1" ht="15">
      <c r="A3070" s="357"/>
      <c r="B3070" s="109"/>
      <c r="C3070" s="42" t="s">
        <v>142</v>
      </c>
      <c r="D3070" s="103" t="s">
        <v>263</v>
      </c>
      <c r="E3070" s="322"/>
      <c r="F3070" s="104">
        <v>710254833.77620792</v>
      </c>
      <c r="G3070" s="105"/>
      <c r="H3070" s="47">
        <f>456749030.95+196846692.5</f>
        <v>653595723.45000005</v>
      </c>
      <c r="J3070" s="331">
        <f t="shared" si="171"/>
        <v>56659110.326207876</v>
      </c>
      <c r="K3070" s="316">
        <f t="shared" si="172"/>
        <v>18628894192.562912</v>
      </c>
      <c r="L3070" s="233" t="s">
        <v>1917</v>
      </c>
      <c r="M3070" s="332"/>
      <c r="N3070" s="332"/>
      <c r="O3070" s="332"/>
    </row>
    <row r="3071" spans="1:15" s="7" customFormat="1" ht="15">
      <c r="A3071" s="357"/>
      <c r="B3071" s="109"/>
      <c r="C3071" s="42" t="s">
        <v>145</v>
      </c>
      <c r="D3071" s="103" t="s">
        <v>265</v>
      </c>
      <c r="E3071" s="322"/>
      <c r="F3071" s="104">
        <v>640443589.23035395</v>
      </c>
      <c r="G3071" s="105"/>
      <c r="H3071" s="47">
        <f>345103634.58+247587459.2</f>
        <v>592691093.77999997</v>
      </c>
      <c r="J3071" s="331">
        <f t="shared" si="171"/>
        <v>47752495.45035398</v>
      </c>
      <c r="K3071" s="316">
        <f t="shared" si="172"/>
        <v>18685553302.889118</v>
      </c>
      <c r="L3071" s="233" t="s">
        <v>1917</v>
      </c>
      <c r="M3071" s="332"/>
      <c r="N3071" s="332"/>
      <c r="O3071" s="332"/>
    </row>
    <row r="3072" spans="1:15" s="7" customFormat="1" ht="15">
      <c r="A3072" s="357"/>
      <c r="B3072" s="109"/>
      <c r="C3072" s="42" t="s">
        <v>148</v>
      </c>
      <c r="D3072" s="103" t="s">
        <v>267</v>
      </c>
      <c r="E3072" s="322"/>
      <c r="F3072" s="104">
        <v>727593120.89100003</v>
      </c>
      <c r="G3072" s="105" t="s">
        <v>2197</v>
      </c>
      <c r="H3072" s="47">
        <v>692945829.39999998</v>
      </c>
      <c r="J3072" s="331">
        <f t="shared" si="171"/>
        <v>34647291.491000056</v>
      </c>
      <c r="K3072" s="316">
        <f t="shared" si="172"/>
        <v>18733305798.339474</v>
      </c>
      <c r="L3072" s="233"/>
      <c r="M3072" s="332"/>
      <c r="N3072" s="332"/>
      <c r="O3072" s="332"/>
    </row>
    <row r="3073" spans="1:15" s="7" customFormat="1" ht="15">
      <c r="A3073" s="357"/>
      <c r="B3073" s="109"/>
      <c r="C3073" s="42" t="s">
        <v>151</v>
      </c>
      <c r="D3073" s="103" t="s">
        <v>268</v>
      </c>
      <c r="E3073" s="322"/>
      <c r="F3073" s="104">
        <v>700838591.33793747</v>
      </c>
      <c r="G3073" s="105" t="s">
        <v>152</v>
      </c>
      <c r="H3073" s="47">
        <v>667465325.08000004</v>
      </c>
      <c r="I3073" s="435" t="s">
        <v>895</v>
      </c>
      <c r="J3073" s="331">
        <f t="shared" si="171"/>
        <v>33373266.257937431</v>
      </c>
      <c r="K3073" s="316">
        <f t="shared" si="172"/>
        <v>18767953089.830475</v>
      </c>
      <c r="L3073" s="233"/>
      <c r="M3073" s="332"/>
      <c r="N3073" s="332"/>
      <c r="O3073" s="332"/>
    </row>
    <row r="3074" spans="1:15" s="7" customFormat="1" ht="15">
      <c r="A3074" s="357"/>
      <c r="B3074" s="109"/>
      <c r="C3074" s="42" t="s">
        <v>154</v>
      </c>
      <c r="D3074" s="103" t="s">
        <v>122</v>
      </c>
      <c r="E3074" s="322"/>
      <c r="F3074" s="104">
        <v>702702922.38370347</v>
      </c>
      <c r="G3074" s="105" t="s">
        <v>156</v>
      </c>
      <c r="H3074" s="47">
        <v>535392702.76999998</v>
      </c>
      <c r="I3074" s="435" t="s">
        <v>1259</v>
      </c>
      <c r="J3074" s="331">
        <f t="shared" si="171"/>
        <v>167310219.61370349</v>
      </c>
      <c r="K3074" s="316">
        <f t="shared" si="172"/>
        <v>18801326356.088413</v>
      </c>
      <c r="L3074" s="233"/>
      <c r="M3074" s="332"/>
      <c r="N3074" s="436"/>
      <c r="O3074" s="332"/>
    </row>
    <row r="3075" spans="1:15" s="7" customFormat="1" ht="15">
      <c r="A3075" s="357"/>
      <c r="B3075" s="109"/>
      <c r="C3075" s="42" t="s">
        <v>158</v>
      </c>
      <c r="D3075" s="103" t="s">
        <v>122</v>
      </c>
      <c r="E3075" s="322"/>
      <c r="F3075" s="104">
        <v>688459181.66195619</v>
      </c>
      <c r="G3075" s="105" t="s">
        <v>160</v>
      </c>
      <c r="H3075" s="47">
        <v>590107870.01999998</v>
      </c>
      <c r="I3075" s="336"/>
      <c r="J3075" s="331">
        <f t="shared" si="171"/>
        <v>98351311.64195621</v>
      </c>
      <c r="K3075" s="316">
        <f t="shared" si="172"/>
        <v>18968636575.702118</v>
      </c>
      <c r="L3075" s="233"/>
      <c r="M3075" s="332"/>
      <c r="N3075" s="332"/>
      <c r="O3075" s="332"/>
    </row>
    <row r="3076" spans="1:15" s="7" customFormat="1" ht="15">
      <c r="A3076" s="357"/>
      <c r="B3076" s="109"/>
      <c r="C3076" s="42" t="s">
        <v>162</v>
      </c>
      <c r="D3076" s="103" t="s">
        <v>122</v>
      </c>
      <c r="E3076" s="322"/>
      <c r="F3076" s="104">
        <v>699060527.77595997</v>
      </c>
      <c r="G3076" s="105" t="s">
        <v>164</v>
      </c>
      <c r="H3076" s="47">
        <v>599194738.08000004</v>
      </c>
      <c r="I3076" s="336"/>
      <c r="J3076" s="331">
        <f t="shared" si="171"/>
        <v>99865789.695959926</v>
      </c>
      <c r="K3076" s="316">
        <f t="shared" si="172"/>
        <v>19066987887.344074</v>
      </c>
      <c r="L3076" s="233"/>
      <c r="M3076" s="332"/>
      <c r="N3076" s="47">
        <f>21919125+35396075+19039472.34+8968621.71+1119180.34</f>
        <v>86442474.390000015</v>
      </c>
      <c r="O3076" s="332"/>
    </row>
    <row r="3077" spans="1:15" s="7" customFormat="1" ht="15">
      <c r="A3077" s="357"/>
      <c r="B3077" s="109"/>
      <c r="C3077" s="42" t="s">
        <v>166</v>
      </c>
      <c r="D3077" s="103" t="s">
        <v>122</v>
      </c>
      <c r="E3077" s="322"/>
      <c r="F3077" s="104">
        <v>478544108.57967001</v>
      </c>
      <c r="G3077" s="105" t="s">
        <v>164</v>
      </c>
      <c r="H3077" s="47">
        <v>398786757.12</v>
      </c>
      <c r="I3077" s="336" t="s">
        <v>527</v>
      </c>
      <c r="J3077" s="331">
        <f t="shared" si="171"/>
        <v>79757351.459670007</v>
      </c>
      <c r="K3077" s="316">
        <f t="shared" si="172"/>
        <v>19166853677.040035</v>
      </c>
      <c r="L3077" s="233"/>
      <c r="M3077" s="332"/>
      <c r="N3077" s="332"/>
      <c r="O3077" s="332"/>
    </row>
    <row r="3078" spans="1:15" s="7" customFormat="1" ht="15">
      <c r="A3078" s="357"/>
      <c r="B3078" s="109"/>
      <c r="C3078" s="42" t="s">
        <v>170</v>
      </c>
      <c r="D3078" s="103" t="s">
        <v>122</v>
      </c>
      <c r="E3078" s="322"/>
      <c r="F3078" s="104">
        <v>512624733.444516</v>
      </c>
      <c r="G3078" s="105" t="s">
        <v>172</v>
      </c>
      <c r="H3078" s="47">
        <v>427187277.88999999</v>
      </c>
      <c r="I3078" s="336" t="s">
        <v>527</v>
      </c>
      <c r="J3078" s="331">
        <f t="shared" si="171"/>
        <v>85437455.554516017</v>
      </c>
      <c r="K3078" s="316">
        <f t="shared" si="172"/>
        <v>19246611028.499706</v>
      </c>
      <c r="L3078" s="233"/>
      <c r="M3078" s="332"/>
      <c r="N3078" s="331">
        <f>K3090-N3074</f>
        <v>16290731247.195225</v>
      </c>
      <c r="O3078" s="332"/>
    </row>
    <row r="3079" spans="1:15" s="7" customFormat="1" ht="15">
      <c r="A3079" s="357"/>
      <c r="B3079" s="109"/>
      <c r="C3079" s="42" t="s">
        <v>174</v>
      </c>
      <c r="D3079" s="103" t="s">
        <v>122</v>
      </c>
      <c r="E3079" s="322"/>
      <c r="F3079" s="104">
        <v>556748563.7498399</v>
      </c>
      <c r="G3079" s="105" t="s">
        <v>176</v>
      </c>
      <c r="H3079" s="47">
        <f>106047345.48+424189381.89</f>
        <v>530236727.37</v>
      </c>
      <c r="I3079" s="336" t="s">
        <v>527</v>
      </c>
      <c r="J3079" s="331">
        <f t="shared" si="171"/>
        <v>26511836.379839897</v>
      </c>
      <c r="K3079" s="316">
        <f t="shared" si="172"/>
        <v>19332048484.054222</v>
      </c>
      <c r="L3079" s="233"/>
      <c r="M3079" s="332"/>
      <c r="N3079" s="332"/>
      <c r="O3079" s="332"/>
    </row>
    <row r="3080" spans="1:15" s="7" customFormat="1" ht="15">
      <c r="A3080" s="357"/>
      <c r="B3080" s="109"/>
      <c r="C3080" s="42" t="s">
        <v>778</v>
      </c>
      <c r="D3080" s="103" t="s">
        <v>122</v>
      </c>
      <c r="E3080" s="322"/>
      <c r="F3080" s="104">
        <v>613018058.47330761</v>
      </c>
      <c r="G3080" s="105" t="s">
        <v>179</v>
      </c>
      <c r="H3080" s="47">
        <f>116765344.5+467061377.88</f>
        <v>583826722.38</v>
      </c>
      <c r="I3080" s="437" t="s">
        <v>1358</v>
      </c>
      <c r="J3080" s="331">
        <f t="shared" si="171"/>
        <v>29191336.093307614</v>
      </c>
      <c r="K3080" s="316">
        <f t="shared" si="172"/>
        <v>19358560320.434063</v>
      </c>
      <c r="L3080" s="233"/>
      <c r="M3080" s="332"/>
      <c r="N3080" s="332"/>
      <c r="O3080" s="332"/>
    </row>
    <row r="3081" spans="1:15" s="7" customFormat="1" ht="15">
      <c r="A3081" s="357"/>
      <c r="B3081" s="109"/>
      <c r="C3081" s="42" t="s">
        <v>1566</v>
      </c>
      <c r="D3081" s="103" t="s">
        <v>122</v>
      </c>
      <c r="E3081" s="322"/>
      <c r="F3081" s="104">
        <v>432349282.26786447</v>
      </c>
      <c r="G3081" s="105" t="s">
        <v>183</v>
      </c>
      <c r="H3081" s="47">
        <f>61764183.18+349997038.03</f>
        <v>411761221.20999998</v>
      </c>
      <c r="I3081" s="336" t="s">
        <v>1205</v>
      </c>
      <c r="J3081" s="331">
        <f t="shared" si="171"/>
        <v>20588061.057864487</v>
      </c>
      <c r="K3081" s="316">
        <f t="shared" si="172"/>
        <v>19387751656.52737</v>
      </c>
      <c r="L3081" s="233"/>
      <c r="M3081" s="332"/>
      <c r="N3081" s="332"/>
      <c r="O3081" s="332"/>
    </row>
    <row r="3082" spans="1:15" s="7" customFormat="1" ht="15">
      <c r="A3082" s="357"/>
      <c r="B3082" s="109"/>
      <c r="C3082" s="42"/>
      <c r="D3082" s="103"/>
      <c r="E3082" s="322"/>
      <c r="F3082" s="104"/>
      <c r="G3082" s="105"/>
      <c r="H3082" s="55">
        <v>1579022154.6500001</v>
      </c>
      <c r="I3082" s="336" t="s">
        <v>1330</v>
      </c>
      <c r="J3082" s="331">
        <f t="shared" si="171"/>
        <v>-1579022154.6500001</v>
      </c>
      <c r="K3082" s="316">
        <f t="shared" si="172"/>
        <v>19408339717.585236</v>
      </c>
      <c r="L3082" s="39"/>
      <c r="M3082" s="332"/>
      <c r="N3082" s="332"/>
      <c r="O3082" s="332"/>
    </row>
    <row r="3083" spans="1:15" s="7" customFormat="1" ht="15">
      <c r="A3083" s="357"/>
      <c r="B3083" s="109"/>
      <c r="C3083" s="42"/>
      <c r="D3083" s="103"/>
      <c r="E3083" s="322"/>
      <c r="F3083" s="104"/>
      <c r="G3083" s="105"/>
      <c r="H3083" s="47">
        <f>21919125+35396075+19039472.34+8968621.71+1119180.34</f>
        <v>86442474.390000015</v>
      </c>
      <c r="I3083" s="336" t="s">
        <v>165</v>
      </c>
      <c r="J3083" s="331">
        <f t="shared" si="171"/>
        <v>-86442474.390000015</v>
      </c>
      <c r="K3083" s="316">
        <f t="shared" si="172"/>
        <v>17829317562.935234</v>
      </c>
      <c r="L3083" s="39" t="s">
        <v>1934</v>
      </c>
      <c r="M3083" s="332"/>
      <c r="N3083" s="332"/>
      <c r="O3083" s="332"/>
    </row>
    <row r="3084" spans="1:15" s="7" customFormat="1" ht="15">
      <c r="A3084" s="357"/>
      <c r="B3084" s="109"/>
      <c r="C3084" s="42"/>
      <c r="D3084" s="103"/>
      <c r="E3084" s="322"/>
      <c r="F3084" s="104"/>
      <c r="G3084" s="105"/>
      <c r="H3084" s="47">
        <v>382843761.63</v>
      </c>
      <c r="I3084" s="336" t="s">
        <v>1016</v>
      </c>
      <c r="J3084" s="331">
        <f t="shared" si="171"/>
        <v>-382843761.63</v>
      </c>
      <c r="K3084" s="316">
        <f t="shared" si="172"/>
        <v>17742875088.545235</v>
      </c>
      <c r="L3084" s="39"/>
      <c r="M3084" s="332"/>
      <c r="N3084" s="332"/>
      <c r="O3084" s="332"/>
    </row>
    <row r="3085" spans="1:15" s="7" customFormat="1" ht="15">
      <c r="A3085" s="357"/>
      <c r="B3085" s="109"/>
      <c r="C3085" s="42"/>
      <c r="D3085" s="103"/>
      <c r="E3085" s="322"/>
      <c r="F3085" s="104"/>
      <c r="G3085" s="105"/>
      <c r="H3085" s="47">
        <v>382843761.63</v>
      </c>
      <c r="I3085" s="336" t="s">
        <v>1066</v>
      </c>
      <c r="J3085" s="331">
        <f>F3085-H3085</f>
        <v>-382843761.63</v>
      </c>
      <c r="K3085" s="316">
        <f t="shared" si="172"/>
        <v>17360031326.915234</v>
      </c>
      <c r="L3085" s="39"/>
      <c r="M3085" s="332"/>
      <c r="N3085" s="332"/>
      <c r="O3085" s="332"/>
    </row>
    <row r="3086" spans="1:15" s="7" customFormat="1" ht="15">
      <c r="A3086" s="357"/>
      <c r="B3086" s="109"/>
      <c r="C3086" s="42"/>
      <c r="D3086" s="103"/>
      <c r="E3086" s="322"/>
      <c r="F3086" s="104"/>
      <c r="G3086" s="105"/>
      <c r="H3086" s="47">
        <v>112464183.42</v>
      </c>
      <c r="I3086" s="336" t="s">
        <v>2139</v>
      </c>
      <c r="J3086" s="331">
        <f>F3086-H3086</f>
        <v>-112464183.42</v>
      </c>
      <c r="K3086" s="316">
        <f>K3085+J3085</f>
        <v>16977187565.285234</v>
      </c>
      <c r="L3086" s="39"/>
      <c r="M3086" s="332"/>
      <c r="N3086" s="332"/>
      <c r="O3086" s="332"/>
    </row>
    <row r="3087" spans="1:15" s="7" customFormat="1" ht="15">
      <c r="A3087" s="357"/>
      <c r="B3087" s="109"/>
      <c r="C3087" s="42"/>
      <c r="D3087" s="103"/>
      <c r="E3087" s="322"/>
      <c r="F3087" s="104"/>
      <c r="G3087" s="105"/>
      <c r="H3087" s="55">
        <v>275265800.000009</v>
      </c>
      <c r="I3087" s="336" t="s">
        <v>2141</v>
      </c>
      <c r="J3087" s="331">
        <f>F3087-H3087</f>
        <v>-275265800.000009</v>
      </c>
      <c r="K3087" s="316">
        <f>K3086+J3086</f>
        <v>16864723381.865234</v>
      </c>
      <c r="L3087" s="39"/>
      <c r="M3087" s="424"/>
      <c r="N3087" s="332"/>
      <c r="O3087" s="332"/>
    </row>
    <row r="3088" spans="1:15" s="7" customFormat="1" ht="15">
      <c r="A3088" s="357"/>
      <c r="B3088" s="109"/>
      <c r="C3088" s="42"/>
      <c r="D3088" s="103"/>
      <c r="E3088" s="322"/>
      <c r="F3088" s="104"/>
      <c r="G3088" s="105"/>
      <c r="H3088" s="47">
        <v>233036470.68000001</v>
      </c>
      <c r="I3088" s="336">
        <v>43927</v>
      </c>
      <c r="J3088" s="331">
        <f>F3088-H3088</f>
        <v>-233036470.68000001</v>
      </c>
      <c r="K3088" s="316">
        <f>K3087+J3087</f>
        <v>16589457581.865225</v>
      </c>
      <c r="L3088" s="55"/>
      <c r="M3088" s="332"/>
      <c r="N3088" s="332"/>
      <c r="O3088" s="332"/>
    </row>
    <row r="3089" spans="1:15" s="7" customFormat="1" ht="15">
      <c r="A3089" s="357"/>
      <c r="B3089" s="109"/>
      <c r="C3089" s="42"/>
      <c r="D3089" s="103"/>
      <c r="E3089" s="322"/>
      <c r="F3089" s="104"/>
      <c r="G3089" s="105"/>
      <c r="H3089" s="47">
        <v>65689863.990000002</v>
      </c>
      <c r="I3089" s="336" t="s">
        <v>1336</v>
      </c>
      <c r="J3089" s="331">
        <f>F3089-H3089</f>
        <v>-65689863.990000002</v>
      </c>
      <c r="K3089" s="316">
        <f>K3088+J3088</f>
        <v>16356421111.185225</v>
      </c>
      <c r="L3089" s="39"/>
      <c r="M3089" s="332"/>
      <c r="N3089" s="332"/>
      <c r="O3089" s="332"/>
    </row>
    <row r="3090" spans="1:15" s="7" customFormat="1" ht="15">
      <c r="A3090" s="357"/>
      <c r="B3090" s="141" t="s">
        <v>2198</v>
      </c>
      <c r="C3090" s="313"/>
      <c r="D3090" s="327"/>
      <c r="E3090" s="328"/>
      <c r="F3090" s="364"/>
      <c r="G3090" s="336"/>
      <c r="H3090" s="87"/>
      <c r="I3090" s="336"/>
      <c r="J3090" s="331"/>
      <c r="K3090" s="65">
        <f>K3089+J3089</f>
        <v>16290731247.195225</v>
      </c>
      <c r="L3090" s="39"/>
      <c r="M3090" s="338"/>
      <c r="N3090" s="338"/>
      <c r="O3090" s="332"/>
    </row>
    <row r="3091" spans="1:15" s="7" customFormat="1" ht="15">
      <c r="A3091" s="81"/>
      <c r="B3091" s="141"/>
      <c r="C3091" s="313"/>
      <c r="D3091" s="327"/>
      <c r="E3091" s="328"/>
      <c r="F3091" s="329"/>
      <c r="G3091" s="336"/>
      <c r="H3091" s="87"/>
      <c r="I3091" s="336"/>
      <c r="J3091" s="331"/>
      <c r="K3091" s="337"/>
      <c r="L3091" s="39"/>
      <c r="M3091" s="338"/>
      <c r="N3091" s="332"/>
      <c r="O3091" s="438"/>
    </row>
    <row r="3092" spans="1:15" s="7" customFormat="1" ht="15">
      <c r="A3092" s="357">
        <v>44</v>
      </c>
      <c r="B3092" s="141" t="s">
        <v>2199</v>
      </c>
      <c r="C3092" s="332" t="s">
        <v>1858</v>
      </c>
      <c r="D3092" s="327" t="s">
        <v>383</v>
      </c>
      <c r="E3092" s="328"/>
      <c r="F3092" s="366">
        <v>254826082.49000001</v>
      </c>
      <c r="G3092" s="205" t="s">
        <v>2181</v>
      </c>
      <c r="H3092" s="47">
        <v>518944922.88045639</v>
      </c>
      <c r="I3092" s="336" t="s">
        <v>2161</v>
      </c>
      <c r="J3092" s="331">
        <f t="shared" ref="J3092:J3155" si="173">F3092-H3092</f>
        <v>-264118840.39045638</v>
      </c>
      <c r="K3092" s="332">
        <v>0</v>
      </c>
      <c r="L3092" s="233" t="s">
        <v>2145</v>
      </c>
      <c r="M3092" s="331"/>
      <c r="N3092" s="331"/>
      <c r="O3092" s="332"/>
    </row>
    <row r="3093" spans="1:15" s="7" customFormat="1" ht="15">
      <c r="A3093" s="357"/>
      <c r="B3093" s="141"/>
      <c r="C3093" s="332" t="s">
        <v>1860</v>
      </c>
      <c r="D3093" s="327" t="s">
        <v>384</v>
      </c>
      <c r="E3093" s="328"/>
      <c r="F3093" s="366">
        <v>351141315.02999997</v>
      </c>
      <c r="G3093" s="205" t="s">
        <v>2121</v>
      </c>
      <c r="H3093" s="47">
        <v>91805799.25</v>
      </c>
      <c r="I3093" s="336">
        <v>43259</v>
      </c>
      <c r="J3093" s="331">
        <f t="shared" si="173"/>
        <v>259335515.77999997</v>
      </c>
      <c r="K3093" s="316">
        <f t="shared" ref="K3093:K3156" si="174">K3092+J3092</f>
        <v>-264118840.39045638</v>
      </c>
      <c r="L3093" s="233" t="s">
        <v>2129</v>
      </c>
      <c r="M3093" s="331"/>
      <c r="N3093" s="331"/>
      <c r="O3093" s="332"/>
    </row>
    <row r="3094" spans="1:15" s="7" customFormat="1" ht="15">
      <c r="A3094" s="357"/>
      <c r="B3094" s="141"/>
      <c r="C3094" s="332" t="s">
        <v>1862</v>
      </c>
      <c r="D3094" s="327" t="s">
        <v>385</v>
      </c>
      <c r="E3094" s="328"/>
      <c r="F3094" s="366">
        <v>229164377.25</v>
      </c>
      <c r="G3094" s="205" t="s">
        <v>2022</v>
      </c>
      <c r="H3094" s="47">
        <v>135444459.91999999</v>
      </c>
      <c r="I3094" s="336" t="s">
        <v>358</v>
      </c>
      <c r="J3094" s="331">
        <f t="shared" si="173"/>
        <v>93719917.330000013</v>
      </c>
      <c r="K3094" s="316">
        <f t="shared" si="174"/>
        <v>-4783324.6104564071</v>
      </c>
      <c r="L3094" s="233" t="s">
        <v>2129</v>
      </c>
      <c r="M3094" s="331"/>
      <c r="N3094" s="331"/>
      <c r="O3094" s="332"/>
    </row>
    <row r="3095" spans="1:15" s="7" customFormat="1" ht="15">
      <c r="A3095" s="357"/>
      <c r="B3095" s="141"/>
      <c r="C3095" s="332" t="s">
        <v>1886</v>
      </c>
      <c r="D3095" s="327" t="s">
        <v>386</v>
      </c>
      <c r="E3095" s="328"/>
      <c r="F3095" s="366">
        <v>194839026.33000001</v>
      </c>
      <c r="G3095" s="205" t="s">
        <v>2183</v>
      </c>
      <c r="H3095" s="54">
        <v>0</v>
      </c>
      <c r="I3095" s="336"/>
      <c r="J3095" s="331">
        <f t="shared" si="173"/>
        <v>194839026.33000001</v>
      </c>
      <c r="K3095" s="316">
        <f t="shared" si="174"/>
        <v>88936592.719543606</v>
      </c>
      <c r="L3095" s="233"/>
      <c r="M3095" s="331"/>
      <c r="N3095" s="331"/>
      <c r="O3095" s="332"/>
    </row>
    <row r="3096" spans="1:15" s="7" customFormat="1" ht="15">
      <c r="A3096" s="357"/>
      <c r="B3096" s="141"/>
      <c r="C3096" s="332" t="s">
        <v>1887</v>
      </c>
      <c r="D3096" s="327" t="s">
        <v>388</v>
      </c>
      <c r="E3096" s="328"/>
      <c r="F3096" s="366">
        <v>129850728.93000001</v>
      </c>
      <c r="G3096" s="205" t="s">
        <v>2154</v>
      </c>
      <c r="H3096" s="54">
        <v>0</v>
      </c>
      <c r="I3096" s="336"/>
      <c r="J3096" s="331">
        <f t="shared" si="173"/>
        <v>129850728.93000001</v>
      </c>
      <c r="K3096" s="316">
        <f t="shared" si="174"/>
        <v>283775619.04954362</v>
      </c>
      <c r="L3096" s="233"/>
      <c r="M3096" s="331"/>
      <c r="N3096" s="331"/>
      <c r="O3096" s="332"/>
    </row>
    <row r="3097" spans="1:15" s="7" customFormat="1" ht="15">
      <c r="A3097" s="357"/>
      <c r="B3097" s="141"/>
      <c r="C3097" s="332" t="s">
        <v>1888</v>
      </c>
      <c r="D3097" s="327" t="s">
        <v>39</v>
      </c>
      <c r="E3097" s="328"/>
      <c r="F3097" s="366">
        <v>182452423.81</v>
      </c>
      <c r="G3097" s="205" t="s">
        <v>2184</v>
      </c>
      <c r="H3097" s="54">
        <v>0</v>
      </c>
      <c r="I3097" s="336"/>
      <c r="J3097" s="331">
        <f t="shared" si="173"/>
        <v>182452423.81</v>
      </c>
      <c r="K3097" s="316">
        <f t="shared" si="174"/>
        <v>413626347.97954363</v>
      </c>
      <c r="L3097" s="233"/>
      <c r="M3097" s="331"/>
      <c r="N3097" s="331"/>
      <c r="O3097" s="350"/>
    </row>
    <row r="3098" spans="1:15" s="7" customFormat="1" ht="15">
      <c r="A3098" s="357"/>
      <c r="B3098" s="141"/>
      <c r="C3098" s="332" t="s">
        <v>1892</v>
      </c>
      <c r="D3098" s="327" t="s">
        <v>390</v>
      </c>
      <c r="E3098" s="328"/>
      <c r="F3098" s="366">
        <v>176118597.02000001</v>
      </c>
      <c r="G3098" s="205" t="s">
        <v>1890</v>
      </c>
      <c r="H3098" s="54">
        <v>0</v>
      </c>
      <c r="I3098" s="336"/>
      <c r="J3098" s="331">
        <f t="shared" si="173"/>
        <v>176118597.02000001</v>
      </c>
      <c r="K3098" s="316">
        <f t="shared" si="174"/>
        <v>596078771.78954363</v>
      </c>
      <c r="L3098" s="233"/>
      <c r="M3098" s="331"/>
      <c r="N3098" s="331"/>
      <c r="O3098" s="350"/>
    </row>
    <row r="3099" spans="1:15" s="7" customFormat="1" ht="15">
      <c r="A3099" s="357"/>
      <c r="B3099" s="141"/>
      <c r="C3099" s="332" t="s">
        <v>1864</v>
      </c>
      <c r="D3099" s="327" t="s">
        <v>392</v>
      </c>
      <c r="E3099" s="328"/>
      <c r="F3099" s="366">
        <v>176991167.94</v>
      </c>
      <c r="G3099" s="205" t="s">
        <v>2185</v>
      </c>
      <c r="H3099" s="54">
        <v>0</v>
      </c>
      <c r="I3099" s="336"/>
      <c r="J3099" s="331">
        <f t="shared" si="173"/>
        <v>176991167.94</v>
      </c>
      <c r="K3099" s="316">
        <f t="shared" si="174"/>
        <v>772197368.80954361</v>
      </c>
      <c r="L3099" s="233"/>
      <c r="M3099" s="331"/>
      <c r="N3099" s="331"/>
      <c r="O3099" s="350"/>
    </row>
    <row r="3100" spans="1:15" s="7" customFormat="1" ht="15">
      <c r="A3100" s="357"/>
      <c r="B3100" s="141"/>
      <c r="C3100" s="332" t="s">
        <v>1897</v>
      </c>
      <c r="D3100" s="327" t="s">
        <v>393</v>
      </c>
      <c r="E3100" s="328"/>
      <c r="F3100" s="364">
        <v>151170819.78999999</v>
      </c>
      <c r="G3100" s="205" t="s">
        <v>2017</v>
      </c>
      <c r="H3100" s="54">
        <v>0</v>
      </c>
      <c r="I3100" s="336"/>
      <c r="J3100" s="331">
        <f t="shared" si="173"/>
        <v>151170819.78999999</v>
      </c>
      <c r="K3100" s="316">
        <f t="shared" si="174"/>
        <v>949188536.74954367</v>
      </c>
      <c r="L3100" s="233"/>
      <c r="M3100" s="331"/>
      <c r="N3100" s="331"/>
      <c r="O3100" s="350"/>
    </row>
    <row r="3101" spans="1:15" s="7" customFormat="1" ht="15">
      <c r="A3101" s="357"/>
      <c r="B3101" s="141"/>
      <c r="C3101" s="332" t="s">
        <v>1171</v>
      </c>
      <c r="D3101" s="327" t="s">
        <v>528</v>
      </c>
      <c r="E3101" s="328"/>
      <c r="F3101" s="364">
        <v>185775736.33000001</v>
      </c>
      <c r="G3101" s="205" t="s">
        <v>2130</v>
      </c>
      <c r="H3101" s="54">
        <v>0</v>
      </c>
      <c r="I3101" s="336"/>
      <c r="J3101" s="331">
        <f t="shared" si="173"/>
        <v>185775736.33000001</v>
      </c>
      <c r="K3101" s="316">
        <f t="shared" si="174"/>
        <v>1100359356.5395436</v>
      </c>
      <c r="L3101" s="233"/>
      <c r="M3101" s="331"/>
      <c r="N3101" s="331"/>
      <c r="O3101" s="350"/>
    </row>
    <row r="3102" spans="1:15" s="7" customFormat="1" ht="15">
      <c r="A3102" s="357"/>
      <c r="B3102" s="141"/>
      <c r="C3102" s="332" t="s">
        <v>461</v>
      </c>
      <c r="D3102" s="327" t="s">
        <v>35</v>
      </c>
      <c r="E3102" s="328"/>
      <c r="F3102" s="364">
        <v>178558545.69</v>
      </c>
      <c r="G3102" s="205" t="s">
        <v>2186</v>
      </c>
      <c r="H3102" s="54">
        <v>0</v>
      </c>
      <c r="I3102" s="336"/>
      <c r="J3102" s="331">
        <f t="shared" si="173"/>
        <v>178558545.69</v>
      </c>
      <c r="K3102" s="316">
        <f t="shared" si="174"/>
        <v>1286135092.8695436</v>
      </c>
      <c r="L3102" s="233"/>
      <c r="M3102" s="331"/>
      <c r="N3102" s="331"/>
      <c r="O3102" s="332"/>
    </row>
    <row r="3103" spans="1:15" s="7" customFormat="1" ht="15">
      <c r="A3103" s="357"/>
      <c r="B3103" s="141"/>
      <c r="C3103" s="332" t="s">
        <v>465</v>
      </c>
      <c r="D3103" s="327" t="s">
        <v>530</v>
      </c>
      <c r="E3103" s="328"/>
      <c r="F3103" s="364">
        <v>226539301.05000001</v>
      </c>
      <c r="G3103" s="205" t="s">
        <v>2171</v>
      </c>
      <c r="H3103" s="54">
        <v>0</v>
      </c>
      <c r="I3103" s="336"/>
      <c r="J3103" s="331">
        <f t="shared" si="173"/>
        <v>226539301.05000001</v>
      </c>
      <c r="K3103" s="316">
        <f t="shared" si="174"/>
        <v>1464693638.5595436</v>
      </c>
      <c r="L3103" s="233"/>
      <c r="M3103" s="331"/>
      <c r="N3103" s="331"/>
    </row>
    <row r="3104" spans="1:15" s="7" customFormat="1" ht="15">
      <c r="A3104" s="357"/>
      <c r="B3104" s="141"/>
      <c r="C3104" s="332" t="s">
        <v>467</v>
      </c>
      <c r="D3104" s="327" t="s">
        <v>532</v>
      </c>
      <c r="E3104" s="328"/>
      <c r="F3104" s="364">
        <v>202523045.30000001</v>
      </c>
      <c r="G3104" s="205" t="s">
        <v>2132</v>
      </c>
      <c r="H3104" s="54">
        <v>0</v>
      </c>
      <c r="I3104" s="336"/>
      <c r="J3104" s="331">
        <f t="shared" si="173"/>
        <v>202523045.30000001</v>
      </c>
      <c r="K3104" s="316">
        <f t="shared" si="174"/>
        <v>1691232939.6095436</v>
      </c>
      <c r="L3104" s="233"/>
      <c r="M3104" s="331"/>
      <c r="N3104" s="331"/>
    </row>
    <row r="3105" spans="1:14" s="7" customFormat="1" ht="15">
      <c r="A3105" s="357"/>
      <c r="B3105" s="141"/>
      <c r="C3105" s="332" t="s">
        <v>469</v>
      </c>
      <c r="D3105" s="327" t="s">
        <v>534</v>
      </c>
      <c r="E3105" s="328"/>
      <c r="F3105" s="364">
        <v>192441590.16</v>
      </c>
      <c r="G3105" s="205" t="s">
        <v>2133</v>
      </c>
      <c r="H3105" s="54">
        <v>0</v>
      </c>
      <c r="I3105" s="336"/>
      <c r="J3105" s="331">
        <f t="shared" si="173"/>
        <v>192441590.16</v>
      </c>
      <c r="K3105" s="316">
        <f t="shared" si="174"/>
        <v>1893755984.9095435</v>
      </c>
      <c r="L3105" s="233"/>
      <c r="M3105" s="331"/>
      <c r="N3105" s="331"/>
    </row>
    <row r="3106" spans="1:14" s="7" customFormat="1" ht="15">
      <c r="A3106" s="357"/>
      <c r="B3106" s="141"/>
      <c r="C3106" s="332" t="s">
        <v>471</v>
      </c>
      <c r="D3106" s="327" t="s">
        <v>535</v>
      </c>
      <c r="E3106" s="328"/>
      <c r="F3106" s="364">
        <v>419242924.38999999</v>
      </c>
      <c r="G3106" s="205" t="s">
        <v>1777</v>
      </c>
      <c r="H3106" s="54">
        <v>0</v>
      </c>
      <c r="I3106" s="336"/>
      <c r="J3106" s="331">
        <f t="shared" si="173"/>
        <v>419242924.38999999</v>
      </c>
      <c r="K3106" s="316">
        <f t="shared" si="174"/>
        <v>2086197575.0695436</v>
      </c>
      <c r="L3106" s="233"/>
      <c r="M3106" s="331"/>
      <c r="N3106" s="331"/>
    </row>
    <row r="3107" spans="1:14" s="7" customFormat="1" ht="15">
      <c r="A3107" s="357"/>
      <c r="B3107" s="141"/>
      <c r="C3107" s="332" t="s">
        <v>473</v>
      </c>
      <c r="D3107" s="327" t="s">
        <v>535</v>
      </c>
      <c r="E3107" s="328"/>
      <c r="F3107" s="364">
        <v>479767747.66000003</v>
      </c>
      <c r="G3107" s="205" t="s">
        <v>1910</v>
      </c>
      <c r="H3107" s="54">
        <v>0</v>
      </c>
      <c r="I3107" s="336"/>
      <c r="J3107" s="331">
        <f t="shared" si="173"/>
        <v>479767747.66000003</v>
      </c>
      <c r="K3107" s="316">
        <f t="shared" si="174"/>
        <v>2505440499.4595437</v>
      </c>
      <c r="L3107" s="233"/>
      <c r="M3107" s="331"/>
      <c r="N3107" s="331"/>
    </row>
    <row r="3108" spans="1:14" s="7" customFormat="1" ht="15">
      <c r="A3108" s="357"/>
      <c r="B3108" s="141"/>
      <c r="C3108" s="332" t="s">
        <v>1403</v>
      </c>
      <c r="D3108" s="327" t="s">
        <v>538</v>
      </c>
      <c r="E3108" s="328"/>
      <c r="F3108" s="364">
        <v>491715706.31</v>
      </c>
      <c r="G3108" s="205" t="s">
        <v>2200</v>
      </c>
      <c r="H3108" s="54">
        <v>0</v>
      </c>
      <c r="I3108" s="336"/>
      <c r="J3108" s="331">
        <f t="shared" si="173"/>
        <v>491715706.31</v>
      </c>
      <c r="K3108" s="316">
        <f t="shared" si="174"/>
        <v>2985208247.1195436</v>
      </c>
      <c r="L3108" s="233"/>
      <c r="M3108" s="331"/>
      <c r="N3108" s="331"/>
    </row>
    <row r="3109" spans="1:14" s="7" customFormat="1" ht="15">
      <c r="A3109" s="357"/>
      <c r="B3109" s="141"/>
      <c r="C3109" s="396" t="s">
        <v>401</v>
      </c>
      <c r="D3109" s="327" t="s">
        <v>43</v>
      </c>
      <c r="E3109" s="328"/>
      <c r="F3109" s="364">
        <v>408348852.52999997</v>
      </c>
      <c r="G3109" s="205" t="s">
        <v>2174</v>
      </c>
      <c r="H3109" s="54">
        <v>0</v>
      </c>
      <c r="I3109" s="336"/>
      <c r="J3109" s="331">
        <f t="shared" si="173"/>
        <v>408348852.52999997</v>
      </c>
      <c r="K3109" s="316">
        <f t="shared" si="174"/>
        <v>3476923953.4295435</v>
      </c>
      <c r="L3109" s="233"/>
      <c r="M3109" s="331"/>
      <c r="N3109" s="331"/>
    </row>
    <row r="3110" spans="1:14" s="7" customFormat="1" ht="15">
      <c r="A3110" s="357"/>
      <c r="B3110" s="141"/>
      <c r="C3110" s="74" t="s">
        <v>404</v>
      </c>
      <c r="D3110" s="32" t="s">
        <v>540</v>
      </c>
      <c r="E3110" s="33"/>
      <c r="F3110" s="34">
        <v>304272130.69</v>
      </c>
      <c r="G3110" s="76" t="s">
        <v>2201</v>
      </c>
      <c r="H3110" s="54">
        <v>0</v>
      </c>
      <c r="I3110" s="336"/>
      <c r="J3110" s="331">
        <f t="shared" si="173"/>
        <v>304272130.69</v>
      </c>
      <c r="K3110" s="316">
        <f t="shared" si="174"/>
        <v>3885272805.9595432</v>
      </c>
      <c r="L3110" s="233"/>
      <c r="M3110" s="331"/>
      <c r="N3110" s="331"/>
    </row>
    <row r="3111" spans="1:14" s="7" customFormat="1" ht="15">
      <c r="A3111" s="357"/>
      <c r="B3111" s="141"/>
      <c r="C3111" s="74" t="s">
        <v>406</v>
      </c>
      <c r="D3111" s="32" t="s">
        <v>540</v>
      </c>
      <c r="E3111" s="33"/>
      <c r="F3111" s="34">
        <v>404780561.74000001</v>
      </c>
      <c r="G3111" s="76" t="s">
        <v>2202</v>
      </c>
      <c r="H3111" s="54">
        <v>0</v>
      </c>
      <c r="I3111" s="336"/>
      <c r="J3111" s="331">
        <f t="shared" si="173"/>
        <v>404780561.74000001</v>
      </c>
      <c r="K3111" s="316">
        <f t="shared" si="174"/>
        <v>4189544936.6495433</v>
      </c>
      <c r="L3111" s="233"/>
      <c r="M3111" s="331"/>
      <c r="N3111" s="331"/>
    </row>
    <row r="3112" spans="1:14" s="7" customFormat="1" ht="15">
      <c r="A3112" s="357"/>
      <c r="B3112" s="141"/>
      <c r="C3112" s="74" t="s">
        <v>409</v>
      </c>
      <c r="D3112" s="32" t="s">
        <v>542</v>
      </c>
      <c r="E3112" s="33"/>
      <c r="F3112" s="34">
        <v>893549816.11000001</v>
      </c>
      <c r="G3112" s="76" t="s">
        <v>2203</v>
      </c>
      <c r="H3112" s="54">
        <v>0</v>
      </c>
      <c r="I3112" s="336"/>
      <c r="J3112" s="331">
        <f t="shared" si="173"/>
        <v>893549816.11000001</v>
      </c>
      <c r="K3112" s="316">
        <f t="shared" si="174"/>
        <v>4594325498.3895435</v>
      </c>
      <c r="L3112" s="233"/>
      <c r="M3112" s="331"/>
      <c r="N3112" s="331"/>
    </row>
    <row r="3113" spans="1:14" s="7" customFormat="1" ht="15">
      <c r="A3113" s="357"/>
      <c r="B3113" s="141"/>
      <c r="C3113" s="74" t="s">
        <v>411</v>
      </c>
      <c r="D3113" s="32" t="s">
        <v>543</v>
      </c>
      <c r="E3113" s="33"/>
      <c r="F3113" s="34">
        <v>915965966.78999996</v>
      </c>
      <c r="G3113" s="76" t="s">
        <v>1275</v>
      </c>
      <c r="H3113" s="54">
        <v>0</v>
      </c>
      <c r="I3113" s="336"/>
      <c r="J3113" s="331">
        <f t="shared" si="173"/>
        <v>915965966.78999996</v>
      </c>
      <c r="K3113" s="316">
        <f t="shared" si="174"/>
        <v>5487875314.4995432</v>
      </c>
      <c r="L3113" s="233"/>
      <c r="M3113" s="331"/>
      <c r="N3113" s="331"/>
    </row>
    <row r="3114" spans="1:14" s="7" customFormat="1" ht="15">
      <c r="A3114" s="357"/>
      <c r="B3114" s="141"/>
      <c r="C3114" s="74" t="s">
        <v>414</v>
      </c>
      <c r="D3114" s="32" t="s">
        <v>545</v>
      </c>
      <c r="E3114" s="33"/>
      <c r="F3114" s="34">
        <v>917091033.91999996</v>
      </c>
      <c r="G3114" s="75">
        <v>42685</v>
      </c>
      <c r="H3114" s="423"/>
      <c r="I3114" s="336"/>
      <c r="J3114" s="331">
        <f t="shared" si="173"/>
        <v>917091033.91999996</v>
      </c>
      <c r="K3114" s="316">
        <f t="shared" si="174"/>
        <v>6403841281.2895432</v>
      </c>
      <c r="L3114" s="233"/>
      <c r="M3114" s="331"/>
      <c r="N3114" s="331"/>
    </row>
    <row r="3115" spans="1:14" s="7" customFormat="1" ht="15">
      <c r="A3115" s="357"/>
      <c r="B3115" s="141"/>
      <c r="C3115" s="74" t="s">
        <v>1412</v>
      </c>
      <c r="D3115" s="32" t="s">
        <v>38</v>
      </c>
      <c r="E3115" s="33"/>
      <c r="F3115" s="34">
        <v>901133886.59000003</v>
      </c>
      <c r="G3115" s="75"/>
      <c r="H3115" s="54">
        <v>0</v>
      </c>
      <c r="I3115" s="336"/>
      <c r="J3115" s="331">
        <f t="shared" si="173"/>
        <v>901133886.59000003</v>
      </c>
      <c r="K3115" s="316">
        <f t="shared" si="174"/>
        <v>7320932315.2095432</v>
      </c>
      <c r="L3115" s="233"/>
      <c r="M3115" s="331"/>
      <c r="N3115" s="331"/>
    </row>
    <row r="3116" spans="1:14" s="7" customFormat="1" ht="15">
      <c r="A3116" s="357"/>
      <c r="B3116" s="141"/>
      <c r="C3116" s="74" t="s">
        <v>609</v>
      </c>
      <c r="D3116" s="32" t="s">
        <v>548</v>
      </c>
      <c r="E3116" s="33"/>
      <c r="F3116" s="34">
        <v>894386118.13999999</v>
      </c>
      <c r="G3116" s="75" t="s">
        <v>2190</v>
      </c>
      <c r="H3116" s="54">
        <v>0</v>
      </c>
      <c r="I3116" s="336"/>
      <c r="J3116" s="331">
        <f t="shared" si="173"/>
        <v>894386118.13999999</v>
      </c>
      <c r="K3116" s="316">
        <f t="shared" si="174"/>
        <v>8222066201.7995434</v>
      </c>
      <c r="L3116" s="233"/>
      <c r="M3116" s="331"/>
      <c r="N3116" s="331"/>
    </row>
    <row r="3117" spans="1:14" s="7" customFormat="1" ht="15">
      <c r="A3117" s="357"/>
      <c r="B3117" s="141"/>
      <c r="C3117" s="74" t="s">
        <v>611</v>
      </c>
      <c r="D3117" s="32" t="s">
        <v>550</v>
      </c>
      <c r="E3117" s="33"/>
      <c r="F3117" s="34">
        <v>821122066.39999998</v>
      </c>
      <c r="G3117" s="75" t="s">
        <v>2095</v>
      </c>
      <c r="H3117" s="54">
        <v>0</v>
      </c>
      <c r="I3117" s="336"/>
      <c r="J3117" s="331">
        <f t="shared" si="173"/>
        <v>821122066.39999998</v>
      </c>
      <c r="K3117" s="316">
        <f t="shared" si="174"/>
        <v>9116452319.9395428</v>
      </c>
      <c r="L3117" s="233"/>
      <c r="M3117" s="331"/>
      <c r="N3117" s="331"/>
    </row>
    <row r="3118" spans="1:14" s="7" customFormat="1" ht="15">
      <c r="A3118" s="357"/>
      <c r="B3118" s="141"/>
      <c r="C3118" s="29" t="s">
        <v>614</v>
      </c>
      <c r="D3118" s="32" t="s">
        <v>113</v>
      </c>
      <c r="E3118" s="33"/>
      <c r="F3118" s="118">
        <v>535953807.85000002</v>
      </c>
      <c r="G3118" s="58" t="s">
        <v>2137</v>
      </c>
      <c r="H3118" s="47">
        <f>344819631+18148401.64</f>
        <v>362968032.63999999</v>
      </c>
      <c r="I3118" s="336"/>
      <c r="J3118" s="331">
        <f t="shared" si="173"/>
        <v>172985775.21000004</v>
      </c>
      <c r="K3118" s="316">
        <f t="shared" si="174"/>
        <v>9937574386.3395424</v>
      </c>
      <c r="L3118" s="233" t="s">
        <v>1917</v>
      </c>
      <c r="M3118" s="331"/>
      <c r="N3118" s="331"/>
    </row>
    <row r="3119" spans="1:14" s="7" customFormat="1" ht="15">
      <c r="A3119" s="357"/>
      <c r="B3119" s="109"/>
      <c r="C3119" s="29" t="s">
        <v>489</v>
      </c>
      <c r="D3119" s="32" t="s">
        <v>229</v>
      </c>
      <c r="E3119" s="33"/>
      <c r="F3119" s="118">
        <v>858434422.67999995</v>
      </c>
      <c r="G3119" s="58" t="s">
        <v>556</v>
      </c>
      <c r="H3119" s="47">
        <f>521280376+27435807.25</f>
        <v>548716183.25</v>
      </c>
      <c r="I3119" s="336"/>
      <c r="J3119" s="331">
        <f t="shared" si="173"/>
        <v>309718239.42999995</v>
      </c>
      <c r="K3119" s="316">
        <f t="shared" si="174"/>
        <v>10110560161.549541</v>
      </c>
      <c r="L3119" s="233" t="s">
        <v>1917</v>
      </c>
      <c r="M3119" s="331"/>
      <c r="N3119" s="331"/>
    </row>
    <row r="3120" spans="1:14" s="7" customFormat="1" ht="15">
      <c r="A3120" s="357"/>
      <c r="B3120" s="109"/>
      <c r="C3120" s="29" t="s">
        <v>618</v>
      </c>
      <c r="D3120" s="32" t="s">
        <v>232</v>
      </c>
      <c r="E3120" s="33"/>
      <c r="F3120" s="118">
        <v>1529390483.74</v>
      </c>
      <c r="G3120" s="58"/>
      <c r="H3120" s="47">
        <f>1022262777.26+53830846.62</f>
        <v>1076093623.8799999</v>
      </c>
      <c r="I3120" s="336"/>
      <c r="J3120" s="331">
        <f t="shared" si="173"/>
        <v>453296859.86000013</v>
      </c>
      <c r="K3120" s="316">
        <f t="shared" si="174"/>
        <v>10420278400.979542</v>
      </c>
      <c r="L3120" s="233" t="s">
        <v>1917</v>
      </c>
      <c r="M3120" s="331"/>
      <c r="N3120" s="331"/>
    </row>
    <row r="3121" spans="1:14" s="7" customFormat="1" ht="15">
      <c r="A3121" s="357"/>
      <c r="B3121" s="109"/>
      <c r="C3121" s="29" t="s">
        <v>560</v>
      </c>
      <c r="D3121" s="32" t="s">
        <v>740</v>
      </c>
      <c r="E3121" s="33"/>
      <c r="F3121" s="95">
        <v>1227735861.8099999</v>
      </c>
      <c r="G3121" s="96">
        <v>43014</v>
      </c>
      <c r="H3121" s="47">
        <f>824357317.15+10278031.51</f>
        <v>834635348.65999997</v>
      </c>
      <c r="I3121" s="336"/>
      <c r="J3121" s="331">
        <f t="shared" si="173"/>
        <v>393100513.14999998</v>
      </c>
      <c r="K3121" s="316">
        <f t="shared" si="174"/>
        <v>10873575260.839542</v>
      </c>
      <c r="L3121" s="233" t="s">
        <v>1917</v>
      </c>
      <c r="M3121" s="331"/>
      <c r="N3121" s="331"/>
    </row>
    <row r="3122" spans="1:14" s="7" customFormat="1" ht="15">
      <c r="A3122" s="357"/>
      <c r="B3122" s="109"/>
      <c r="C3122" s="29" t="s">
        <v>562</v>
      </c>
      <c r="D3122" s="32" t="s">
        <v>741</v>
      </c>
      <c r="E3122" s="33"/>
      <c r="F3122" s="95">
        <v>921389585.75999999</v>
      </c>
      <c r="G3122" s="98">
        <v>42931</v>
      </c>
      <c r="H3122" s="47">
        <f>641594722.8+3843588.94</f>
        <v>645438311.74000001</v>
      </c>
      <c r="I3122" s="336"/>
      <c r="J3122" s="331">
        <f t="shared" si="173"/>
        <v>275951274.01999998</v>
      </c>
      <c r="K3122" s="316">
        <f t="shared" si="174"/>
        <v>11266675773.989542</v>
      </c>
      <c r="L3122" s="233" t="s">
        <v>1917</v>
      </c>
      <c r="M3122" s="331"/>
      <c r="N3122" s="331"/>
    </row>
    <row r="3123" spans="1:14" s="7" customFormat="1" ht="15">
      <c r="A3123" s="357"/>
      <c r="B3123" s="109"/>
      <c r="C3123" s="29" t="s">
        <v>494</v>
      </c>
      <c r="D3123" s="32" t="s">
        <v>742</v>
      </c>
      <c r="E3123" s="33"/>
      <c r="F3123" s="95">
        <v>599941716.38999999</v>
      </c>
      <c r="G3123" s="98">
        <v>42928</v>
      </c>
      <c r="H3123" s="47">
        <f>417398772.58+21968356.45</f>
        <v>439367129.02999997</v>
      </c>
      <c r="I3123" s="336"/>
      <c r="J3123" s="331">
        <f t="shared" si="173"/>
        <v>160574587.36000001</v>
      </c>
      <c r="K3123" s="316">
        <f t="shared" si="174"/>
        <v>11542627048.009542</v>
      </c>
      <c r="L3123" s="233" t="s">
        <v>1917</v>
      </c>
      <c r="M3123" s="331"/>
      <c r="N3123" s="331"/>
    </row>
    <row r="3124" spans="1:14" s="7" customFormat="1" ht="15">
      <c r="A3124" s="357"/>
      <c r="B3124" s="109"/>
      <c r="C3124" s="29" t="s">
        <v>497</v>
      </c>
      <c r="D3124" s="32" t="s">
        <v>744</v>
      </c>
      <c r="E3124" s="33"/>
      <c r="F3124" s="95">
        <v>724286370.65999997</v>
      </c>
      <c r="G3124" s="98">
        <v>42990</v>
      </c>
      <c r="H3124" s="47">
        <f>509978251.15+26840960.59</f>
        <v>536819211.73999995</v>
      </c>
      <c r="I3124" s="336"/>
      <c r="J3124" s="331">
        <f t="shared" si="173"/>
        <v>187467158.92000002</v>
      </c>
      <c r="K3124" s="316">
        <f t="shared" si="174"/>
        <v>11703201635.369543</v>
      </c>
      <c r="L3124" s="233" t="s">
        <v>1917</v>
      </c>
      <c r="M3124" s="331"/>
      <c r="N3124" s="331"/>
    </row>
    <row r="3125" spans="1:14" s="7" customFormat="1" ht="15">
      <c r="A3125" s="357"/>
      <c r="B3125" s="109"/>
      <c r="C3125" s="29" t="s">
        <v>498</v>
      </c>
      <c r="D3125" s="32" t="s">
        <v>2195</v>
      </c>
      <c r="E3125" s="33"/>
      <c r="F3125" s="95">
        <v>576464938.00999999</v>
      </c>
      <c r="G3125" s="98" t="s">
        <v>493</v>
      </c>
      <c r="H3125" s="47">
        <f>364581397.48+19188494.6</f>
        <v>383769892.08000004</v>
      </c>
      <c r="I3125" s="336"/>
      <c r="J3125" s="331">
        <f t="shared" si="173"/>
        <v>192695045.92999995</v>
      </c>
      <c r="K3125" s="316">
        <f t="shared" si="174"/>
        <v>11890668794.289543</v>
      </c>
      <c r="L3125" s="233" t="s">
        <v>1917</v>
      </c>
      <c r="M3125" s="331"/>
      <c r="N3125" s="331"/>
    </row>
    <row r="3126" spans="1:14" s="7" customFormat="1" ht="15">
      <c r="A3126" s="357"/>
      <c r="B3126" s="109"/>
      <c r="C3126" s="29" t="s">
        <v>564</v>
      </c>
      <c r="D3126" s="32" t="s">
        <v>746</v>
      </c>
      <c r="E3126" s="33"/>
      <c r="F3126" s="95">
        <v>718969992.09000003</v>
      </c>
      <c r="G3126" s="98" t="s">
        <v>493</v>
      </c>
      <c r="H3126" s="47">
        <f>472589425.33+24873127.65</f>
        <v>497462552.97999996</v>
      </c>
      <c r="I3126" s="336"/>
      <c r="J3126" s="331">
        <f t="shared" si="173"/>
        <v>221507439.11000007</v>
      </c>
      <c r="K3126" s="316">
        <f t="shared" si="174"/>
        <v>12083363840.219543</v>
      </c>
      <c r="L3126" s="233" t="s">
        <v>1917</v>
      </c>
      <c r="M3126" s="331"/>
      <c r="N3126" s="331"/>
    </row>
    <row r="3127" spans="1:14" s="7" customFormat="1" ht="15">
      <c r="A3127" s="357"/>
      <c r="B3127" s="109"/>
      <c r="C3127" s="29" t="s">
        <v>500</v>
      </c>
      <c r="D3127" s="32" t="s">
        <v>748</v>
      </c>
      <c r="E3127" s="33"/>
      <c r="F3127" s="95">
        <v>1174175739.8699999</v>
      </c>
      <c r="G3127" s="98" t="s">
        <v>493</v>
      </c>
      <c r="H3127" s="47">
        <f>906418990.73+47706262.67</f>
        <v>954125253.39999998</v>
      </c>
      <c r="I3127" s="336"/>
      <c r="J3127" s="331">
        <f t="shared" si="173"/>
        <v>220050486.46999991</v>
      </c>
      <c r="K3127" s="316">
        <f t="shared" si="174"/>
        <v>12304871279.329544</v>
      </c>
      <c r="L3127" s="233" t="s">
        <v>1917</v>
      </c>
      <c r="M3127" s="331"/>
      <c r="N3127" s="331"/>
    </row>
    <row r="3128" spans="1:14" s="7" customFormat="1" ht="15">
      <c r="A3128" s="357"/>
      <c r="B3128" s="109"/>
      <c r="C3128" s="29" t="s">
        <v>501</v>
      </c>
      <c r="D3128" s="32" t="s">
        <v>748</v>
      </c>
      <c r="E3128" s="33"/>
      <c r="F3128" s="95">
        <v>1382490628.9200001</v>
      </c>
      <c r="G3128" s="98" t="s">
        <v>493</v>
      </c>
      <c r="H3128" s="47">
        <v>1000685224.3200001</v>
      </c>
      <c r="I3128" s="336"/>
      <c r="J3128" s="331">
        <f t="shared" si="173"/>
        <v>381805404.60000002</v>
      </c>
      <c r="K3128" s="316">
        <f t="shared" si="174"/>
        <v>12524921765.799543</v>
      </c>
      <c r="L3128" s="233" t="s">
        <v>1917</v>
      </c>
      <c r="M3128" s="331"/>
      <c r="N3128" s="331"/>
    </row>
    <row r="3129" spans="1:14" s="7" customFormat="1" ht="15">
      <c r="A3129" s="357"/>
      <c r="B3129" s="109"/>
      <c r="C3129" s="29" t="s">
        <v>504</v>
      </c>
      <c r="D3129" s="32" t="s">
        <v>750</v>
      </c>
      <c r="E3129" s="33"/>
      <c r="F3129" s="95">
        <v>1453958167.0699999</v>
      </c>
      <c r="G3129" s="98">
        <v>43375</v>
      </c>
      <c r="H3129" s="47">
        <v>1246249857.49</v>
      </c>
      <c r="I3129" s="336"/>
      <c r="J3129" s="331">
        <f t="shared" si="173"/>
        <v>207708309.57999992</v>
      </c>
      <c r="K3129" s="316">
        <f t="shared" si="174"/>
        <v>12906727170.399544</v>
      </c>
      <c r="L3129" s="233" t="s">
        <v>1917</v>
      </c>
      <c r="M3129" s="331"/>
      <c r="N3129" s="331"/>
    </row>
    <row r="3130" spans="1:14" s="7" customFormat="1" ht="15">
      <c r="A3130" s="357"/>
      <c r="B3130" s="109"/>
      <c r="C3130" s="29" t="s">
        <v>506</v>
      </c>
      <c r="D3130" s="32" t="s">
        <v>752</v>
      </c>
      <c r="E3130" s="33"/>
      <c r="F3130" s="95">
        <v>1374725011.1500001</v>
      </c>
      <c r="G3130" s="98" t="s">
        <v>1302</v>
      </c>
      <c r="H3130" s="47">
        <v>1178335723.8399999</v>
      </c>
      <c r="I3130" s="336"/>
      <c r="J3130" s="331">
        <f t="shared" si="173"/>
        <v>196389287.31000018</v>
      </c>
      <c r="K3130" s="316">
        <f t="shared" si="174"/>
        <v>13114435479.979544</v>
      </c>
      <c r="L3130" s="233" t="s">
        <v>1917</v>
      </c>
      <c r="M3130" s="331"/>
      <c r="N3130" s="331">
        <v>391872900.36000001</v>
      </c>
    </row>
    <row r="3131" spans="1:14" s="7" customFormat="1" ht="15">
      <c r="A3131" s="357"/>
      <c r="B3131" s="109"/>
      <c r="C3131" s="29" t="s">
        <v>508</v>
      </c>
      <c r="D3131" s="32" t="s">
        <v>754</v>
      </c>
      <c r="E3131" s="33"/>
      <c r="F3131" s="95">
        <v>1309004459.3099999</v>
      </c>
      <c r="G3131" s="75" t="s">
        <v>509</v>
      </c>
      <c r="H3131" s="47">
        <v>872669639.53999996</v>
      </c>
      <c r="I3131" s="336"/>
      <c r="J3131" s="331">
        <f t="shared" si="173"/>
        <v>436334819.76999998</v>
      </c>
      <c r="K3131" s="316">
        <f t="shared" si="174"/>
        <v>13310824767.289543</v>
      </c>
      <c r="L3131" s="55" t="s">
        <v>1917</v>
      </c>
      <c r="M3131" s="331"/>
      <c r="N3131" s="331"/>
    </row>
    <row r="3132" spans="1:14" s="7" customFormat="1" ht="15">
      <c r="A3132" s="357"/>
      <c r="B3132" s="109"/>
      <c r="C3132" s="29" t="s">
        <v>355</v>
      </c>
      <c r="D3132" s="32" t="s">
        <v>756</v>
      </c>
      <c r="E3132" s="33"/>
      <c r="F3132" s="95">
        <v>1498779233.8663359</v>
      </c>
      <c r="G3132" s="75" t="s">
        <v>1931</v>
      </c>
      <c r="H3132" s="47">
        <f>540077887.32+391872900.36</f>
        <v>931950787.68000007</v>
      </c>
      <c r="I3132" s="336"/>
      <c r="J3132" s="331">
        <f t="shared" si="173"/>
        <v>566828446.1863358</v>
      </c>
      <c r="K3132" s="316">
        <f t="shared" si="174"/>
        <v>13747159587.059544</v>
      </c>
      <c r="L3132" s="233" t="s">
        <v>1917</v>
      </c>
      <c r="M3132" s="331"/>
      <c r="N3132" s="331"/>
    </row>
    <row r="3133" spans="1:14" s="7" customFormat="1" ht="15">
      <c r="A3133" s="357"/>
      <c r="B3133" s="109"/>
      <c r="C3133" s="31" t="s">
        <v>234</v>
      </c>
      <c r="D3133" s="32" t="s">
        <v>759</v>
      </c>
      <c r="E3133" s="33"/>
      <c r="F3133" s="95">
        <v>1241468119.3182936</v>
      </c>
      <c r="G3133" s="75" t="s">
        <v>755</v>
      </c>
      <c r="H3133" s="47">
        <v>827645412.88</v>
      </c>
      <c r="I3133" s="336"/>
      <c r="J3133" s="331">
        <f t="shared" si="173"/>
        <v>413822706.43829358</v>
      </c>
      <c r="K3133" s="316">
        <f t="shared" si="174"/>
        <v>14313988033.24588</v>
      </c>
      <c r="L3133" s="233" t="s">
        <v>1917</v>
      </c>
      <c r="M3133" s="331"/>
      <c r="N3133" s="331"/>
    </row>
    <row r="3134" spans="1:14" s="7" customFormat="1" ht="15">
      <c r="A3134" s="357"/>
      <c r="B3134" s="109"/>
      <c r="C3134" s="31" t="s">
        <v>416</v>
      </c>
      <c r="D3134" s="32" t="s">
        <v>760</v>
      </c>
      <c r="E3134" s="33"/>
      <c r="F3134" s="95">
        <v>1260266331.818176</v>
      </c>
      <c r="G3134" s="75" t="s">
        <v>757</v>
      </c>
      <c r="H3134" s="47">
        <f>840177554.55+2147175.51</f>
        <v>842324730.05999994</v>
      </c>
      <c r="I3134" s="336"/>
      <c r="J3134" s="331">
        <f t="shared" si="173"/>
        <v>417941601.75817609</v>
      </c>
      <c r="K3134" s="316">
        <f t="shared" si="174"/>
        <v>14727810739.684174</v>
      </c>
      <c r="L3134" s="233" t="s">
        <v>1917</v>
      </c>
      <c r="M3134" s="331"/>
      <c r="N3134" s="331"/>
    </row>
    <row r="3135" spans="1:14" s="7" customFormat="1" ht="15">
      <c r="A3135" s="357"/>
      <c r="B3135" s="109"/>
      <c r="C3135" s="102" t="s">
        <v>238</v>
      </c>
      <c r="D3135" s="32" t="s">
        <v>761</v>
      </c>
      <c r="E3135" s="33"/>
      <c r="F3135" s="95">
        <v>828565022.70753014</v>
      </c>
      <c r="G3135" s="75" t="s">
        <v>507</v>
      </c>
      <c r="H3135" s="47">
        <f>552376681.81+176759380.05</f>
        <v>729136061.8599999</v>
      </c>
      <c r="I3135" s="336"/>
      <c r="J3135" s="331">
        <f t="shared" si="173"/>
        <v>99428960.847530246</v>
      </c>
      <c r="K3135" s="316">
        <f t="shared" si="174"/>
        <v>15145752341.44235</v>
      </c>
      <c r="L3135" s="233" t="s">
        <v>1917</v>
      </c>
      <c r="M3135" s="331"/>
      <c r="N3135" s="331"/>
    </row>
    <row r="3136" spans="1:14" s="7" customFormat="1" ht="15">
      <c r="A3136" s="357"/>
      <c r="B3136" s="109"/>
      <c r="C3136" s="102" t="s">
        <v>517</v>
      </c>
      <c r="D3136" s="32" t="s">
        <v>763</v>
      </c>
      <c r="E3136" s="33"/>
      <c r="F3136" s="95">
        <v>815725386.88872004</v>
      </c>
      <c r="G3136" s="75" t="s">
        <v>957</v>
      </c>
      <c r="H3136" s="47">
        <v>543816922.53999996</v>
      </c>
      <c r="I3136" s="336"/>
      <c r="J3136" s="331">
        <f t="shared" si="173"/>
        <v>271908464.34872007</v>
      </c>
      <c r="K3136" s="316">
        <f t="shared" si="174"/>
        <v>15245181302.289881</v>
      </c>
      <c r="L3136" s="233" t="s">
        <v>1917</v>
      </c>
      <c r="M3136" s="331"/>
      <c r="N3136" s="331"/>
    </row>
    <row r="3137" spans="1:14" s="7" customFormat="1" ht="15">
      <c r="A3137" s="357"/>
      <c r="B3137" s="109"/>
      <c r="C3137" s="102" t="s">
        <v>243</v>
      </c>
      <c r="D3137" s="32" t="s">
        <v>1756</v>
      </c>
      <c r="E3137" s="33"/>
      <c r="F3137" s="95">
        <v>725958743.43724728</v>
      </c>
      <c r="G3137" s="75" t="s">
        <v>2001</v>
      </c>
      <c r="H3137" s="47">
        <v>483972495.62</v>
      </c>
      <c r="I3137" s="336"/>
      <c r="J3137" s="331">
        <f t="shared" si="173"/>
        <v>241986247.81724727</v>
      </c>
      <c r="K3137" s="316">
        <f t="shared" si="174"/>
        <v>15517089766.638601</v>
      </c>
      <c r="L3137" s="233" t="s">
        <v>1917</v>
      </c>
      <c r="M3137" s="331"/>
      <c r="N3137" s="331"/>
    </row>
    <row r="3138" spans="1:14" s="7" customFormat="1" ht="15">
      <c r="A3138" s="357"/>
      <c r="B3138" s="109"/>
      <c r="C3138" s="102" t="s">
        <v>246</v>
      </c>
      <c r="D3138" s="103" t="s">
        <v>2178</v>
      </c>
      <c r="E3138" s="322"/>
      <c r="F3138" s="104">
        <v>651038983.72260559</v>
      </c>
      <c r="G3138" s="105" t="s">
        <v>647</v>
      </c>
      <c r="H3138" s="47">
        <v>434025989.14999998</v>
      </c>
      <c r="I3138" s="336" t="s">
        <v>895</v>
      </c>
      <c r="J3138" s="331">
        <f t="shared" si="173"/>
        <v>217012994.57260561</v>
      </c>
      <c r="K3138" s="316">
        <f t="shared" si="174"/>
        <v>15759076014.455849</v>
      </c>
      <c r="L3138" s="233" t="s">
        <v>1917</v>
      </c>
      <c r="M3138" s="331"/>
      <c r="N3138" s="331"/>
    </row>
    <row r="3139" spans="1:14" s="7" customFormat="1" ht="15">
      <c r="A3139" s="357"/>
      <c r="B3139" s="109"/>
      <c r="C3139" s="102" t="s">
        <v>522</v>
      </c>
      <c r="D3139" s="103" t="s">
        <v>1757</v>
      </c>
      <c r="E3139" s="322"/>
      <c r="F3139" s="104">
        <v>770544545.02876198</v>
      </c>
      <c r="G3139" s="105" t="s">
        <v>649</v>
      </c>
      <c r="H3139" s="47">
        <v>513696363.35000002</v>
      </c>
      <c r="I3139" s="336" t="s">
        <v>1259</v>
      </c>
      <c r="J3139" s="331">
        <f t="shared" si="173"/>
        <v>256848181.67876196</v>
      </c>
      <c r="K3139" s="316">
        <f t="shared" si="174"/>
        <v>15976089009.028454</v>
      </c>
      <c r="L3139" s="233" t="s">
        <v>1917</v>
      </c>
      <c r="M3139" s="331"/>
      <c r="N3139" s="331"/>
    </row>
    <row r="3140" spans="1:14" s="7" customFormat="1" ht="15">
      <c r="A3140" s="357"/>
      <c r="B3140" s="109"/>
      <c r="C3140" s="102" t="s">
        <v>250</v>
      </c>
      <c r="D3140" s="103" t="s">
        <v>275</v>
      </c>
      <c r="E3140" s="322"/>
      <c r="F3140" s="104">
        <v>677792670.82000005</v>
      </c>
      <c r="G3140" s="105" t="s">
        <v>651</v>
      </c>
      <c r="H3140" s="47">
        <v>451861780.55000001</v>
      </c>
      <c r="I3140" s="336" t="s">
        <v>252</v>
      </c>
      <c r="J3140" s="331">
        <f t="shared" si="173"/>
        <v>225930890.27000004</v>
      </c>
      <c r="K3140" s="316">
        <f t="shared" si="174"/>
        <v>16232937190.707216</v>
      </c>
      <c r="L3140" s="233" t="s">
        <v>1917</v>
      </c>
      <c r="M3140" s="331"/>
      <c r="N3140" s="331"/>
    </row>
    <row r="3141" spans="1:14" s="7" customFormat="1" ht="15">
      <c r="A3141" s="357"/>
      <c r="B3141" s="109"/>
      <c r="C3141" s="111" t="s">
        <v>139</v>
      </c>
      <c r="D3141" s="439" t="s">
        <v>277</v>
      </c>
      <c r="E3141" s="383"/>
      <c r="F3141" s="440">
        <v>425198370.00999999</v>
      </c>
      <c r="G3141" s="441" t="s">
        <v>364</v>
      </c>
      <c r="H3141" s="47">
        <v>283465580.00999999</v>
      </c>
      <c r="I3141" s="336" t="s">
        <v>1352</v>
      </c>
      <c r="J3141" s="331">
        <f t="shared" si="173"/>
        <v>141732790</v>
      </c>
      <c r="K3141" s="316">
        <f t="shared" si="174"/>
        <v>16458868080.977217</v>
      </c>
      <c r="L3141" s="233" t="s">
        <v>1917</v>
      </c>
      <c r="M3141" s="331"/>
      <c r="N3141" s="331"/>
    </row>
    <row r="3142" spans="1:14" s="7" customFormat="1" ht="15">
      <c r="A3142" s="357"/>
      <c r="B3142" s="109"/>
      <c r="C3142" s="42" t="s">
        <v>142</v>
      </c>
      <c r="D3142" s="103" t="s">
        <v>279</v>
      </c>
      <c r="E3142" s="322"/>
      <c r="F3142" s="104">
        <v>433978480.76333892</v>
      </c>
      <c r="G3142" s="105"/>
      <c r="H3142" s="47">
        <v>289318987.17000002</v>
      </c>
      <c r="I3142" s="336" t="s">
        <v>527</v>
      </c>
      <c r="J3142" s="331">
        <f t="shared" si="173"/>
        <v>144659493.59333891</v>
      </c>
      <c r="K3142" s="316">
        <f t="shared" si="174"/>
        <v>16600600870.977217</v>
      </c>
      <c r="L3142" s="233" t="s">
        <v>1917</v>
      </c>
      <c r="M3142" s="331"/>
      <c r="N3142" s="331"/>
    </row>
    <row r="3143" spans="1:14" s="7" customFormat="1" ht="15">
      <c r="A3143" s="357"/>
      <c r="B3143" s="109"/>
      <c r="C3143" s="42" t="s">
        <v>145</v>
      </c>
      <c r="D3143" s="103" t="s">
        <v>281</v>
      </c>
      <c r="E3143" s="322"/>
      <c r="F3143" s="104">
        <v>456630070.87611812</v>
      </c>
      <c r="G3143" s="105" t="s">
        <v>141</v>
      </c>
      <c r="H3143" s="47">
        <v>246055546.13999999</v>
      </c>
      <c r="I3143" s="336" t="s">
        <v>527</v>
      </c>
      <c r="J3143" s="331">
        <f t="shared" si="173"/>
        <v>210574524.73611814</v>
      </c>
      <c r="K3143" s="316">
        <f t="shared" si="174"/>
        <v>16745260364.570555</v>
      </c>
      <c r="L3143" s="233" t="s">
        <v>1917</v>
      </c>
      <c r="M3143" s="331"/>
      <c r="N3143" s="331"/>
    </row>
    <row r="3144" spans="1:14" s="7" customFormat="1" ht="15">
      <c r="A3144" s="357"/>
      <c r="B3144" s="109"/>
      <c r="C3144" s="42" t="s">
        <v>148</v>
      </c>
      <c r="D3144" s="103" t="s">
        <v>279</v>
      </c>
      <c r="E3144" s="322"/>
      <c r="F3144" s="104">
        <v>556059156.88084126</v>
      </c>
      <c r="G3144" s="105"/>
      <c r="H3144" s="47">
        <v>529580149.39999998</v>
      </c>
      <c r="I3144" s="336" t="s">
        <v>1358</v>
      </c>
      <c r="J3144" s="331">
        <f t="shared" si="173"/>
        <v>26479007.480841279</v>
      </c>
      <c r="K3144" s="316">
        <f t="shared" si="174"/>
        <v>16955834889.306673</v>
      </c>
      <c r="L3144" s="233"/>
      <c r="M3144" s="331"/>
      <c r="N3144" s="331"/>
    </row>
    <row r="3145" spans="1:14" s="7" customFormat="1" ht="15">
      <c r="A3145" s="357"/>
      <c r="B3145" s="109"/>
      <c r="C3145" s="42" t="s">
        <v>151</v>
      </c>
      <c r="D3145" s="103" t="s">
        <v>84</v>
      </c>
      <c r="E3145" s="322"/>
      <c r="F3145" s="104">
        <v>504258852.00655121</v>
      </c>
      <c r="G3145" s="105" t="s">
        <v>152</v>
      </c>
      <c r="H3145" s="47">
        <v>480246525.72000003</v>
      </c>
      <c r="I3145" s="336" t="s">
        <v>527</v>
      </c>
      <c r="J3145" s="331">
        <f t="shared" si="173"/>
        <v>24012326.286551178</v>
      </c>
      <c r="K3145" s="316">
        <f t="shared" si="174"/>
        <v>16982313896.787514</v>
      </c>
      <c r="L3145" s="233"/>
      <c r="M3145" s="331"/>
      <c r="N3145" s="331"/>
    </row>
    <row r="3146" spans="1:14" s="7" customFormat="1" ht="15">
      <c r="A3146" s="357"/>
      <c r="B3146" s="109"/>
      <c r="C3146" s="42" t="s">
        <v>154</v>
      </c>
      <c r="D3146" s="103" t="s">
        <v>286</v>
      </c>
      <c r="E3146" s="322"/>
      <c r="F3146" s="104">
        <v>335487047.58588392</v>
      </c>
      <c r="G3146" s="105" t="s">
        <v>156</v>
      </c>
      <c r="H3146" s="47">
        <f>63902294.78+255609179.12</f>
        <v>319511473.89999998</v>
      </c>
      <c r="I3146" s="336" t="s">
        <v>1205</v>
      </c>
      <c r="J3146" s="331">
        <f t="shared" si="173"/>
        <v>15975573.685883939</v>
      </c>
      <c r="K3146" s="316">
        <f t="shared" si="174"/>
        <v>17006326223.074064</v>
      </c>
      <c r="L3146" s="233"/>
      <c r="M3146" s="331"/>
      <c r="N3146" s="331"/>
    </row>
    <row r="3147" spans="1:14" s="7" customFormat="1" ht="15">
      <c r="A3147" s="357"/>
      <c r="B3147" s="109"/>
      <c r="C3147" s="42" t="s">
        <v>158</v>
      </c>
      <c r="D3147" s="103" t="s">
        <v>775</v>
      </c>
      <c r="E3147" s="322"/>
      <c r="F3147" s="104">
        <v>503216844.55959004</v>
      </c>
      <c r="G3147" s="105" t="s">
        <v>160</v>
      </c>
      <c r="H3147" s="47">
        <f>47925413.76+431328723.92</f>
        <v>479254137.68000001</v>
      </c>
      <c r="I3147" s="336"/>
      <c r="J3147" s="331">
        <f t="shared" si="173"/>
        <v>23962706.879590034</v>
      </c>
      <c r="K3147" s="316">
        <f t="shared" si="174"/>
        <v>17022301796.759949</v>
      </c>
      <c r="L3147" s="39" t="s">
        <v>2005</v>
      </c>
      <c r="M3147" s="331"/>
      <c r="N3147" s="331"/>
    </row>
    <row r="3148" spans="1:14" s="7" customFormat="1" ht="15">
      <c r="A3148" s="357"/>
      <c r="B3148" s="109"/>
      <c r="C3148" s="42" t="s">
        <v>162</v>
      </c>
      <c r="D3148" s="103" t="s">
        <v>289</v>
      </c>
      <c r="E3148" s="322"/>
      <c r="F3148" s="104">
        <v>525957091.66429794</v>
      </c>
      <c r="G3148" s="105" t="s">
        <v>164</v>
      </c>
      <c r="H3148" s="47">
        <f>50091151+450820364.28</f>
        <v>500911515.27999997</v>
      </c>
      <c r="I3148" s="336" t="s">
        <v>165</v>
      </c>
      <c r="J3148" s="331">
        <f t="shared" si="173"/>
        <v>25045576.384297967</v>
      </c>
      <c r="K3148" s="316">
        <f t="shared" si="174"/>
        <v>17046264503.639538</v>
      </c>
      <c r="L3148" s="39"/>
      <c r="M3148" s="331"/>
      <c r="N3148" s="331"/>
    </row>
    <row r="3149" spans="1:14" s="7" customFormat="1" ht="15">
      <c r="A3149" s="357"/>
      <c r="B3149" s="109"/>
      <c r="C3149" s="42" t="s">
        <v>166</v>
      </c>
      <c r="D3149" s="103" t="s">
        <v>777</v>
      </c>
      <c r="E3149" s="322"/>
      <c r="F3149" s="104">
        <v>470351278.51662302</v>
      </c>
      <c r="G3149" s="105" t="s">
        <v>164</v>
      </c>
      <c r="H3149" s="47">
        <f>55994199.83+391959398.76</f>
        <v>447953598.58999997</v>
      </c>
      <c r="I3149" s="336" t="s">
        <v>1016</v>
      </c>
      <c r="J3149" s="331">
        <f t="shared" si="173"/>
        <v>22397679.926623046</v>
      </c>
      <c r="K3149" s="316">
        <f t="shared" si="174"/>
        <v>17071310080.023836</v>
      </c>
      <c r="L3149" s="39"/>
      <c r="M3149" s="331"/>
      <c r="N3149" s="331"/>
    </row>
    <row r="3150" spans="1:14" s="7" customFormat="1" ht="15">
      <c r="A3150" s="357"/>
      <c r="B3150" s="109"/>
      <c r="C3150" s="42" t="s">
        <v>170</v>
      </c>
      <c r="D3150" s="103" t="s">
        <v>777</v>
      </c>
      <c r="E3150" s="322"/>
      <c r="F3150" s="104">
        <v>251761912.19656056</v>
      </c>
      <c r="G3150" s="105" t="s">
        <v>172</v>
      </c>
      <c r="H3150" s="47">
        <f>29971656+209801593.49</f>
        <v>239773249.49000001</v>
      </c>
      <c r="I3150" s="336" t="s">
        <v>1066</v>
      </c>
      <c r="J3150" s="331">
        <f t="shared" si="173"/>
        <v>11988662.706560552</v>
      </c>
      <c r="K3150" s="316">
        <f t="shared" si="174"/>
        <v>17093707759.950459</v>
      </c>
      <c r="L3150" s="39"/>
      <c r="M3150" s="331"/>
      <c r="N3150" s="331"/>
    </row>
    <row r="3151" spans="1:14" s="7" customFormat="1" ht="15">
      <c r="A3151" s="357"/>
      <c r="B3151" s="109"/>
      <c r="C3151" s="42" t="s">
        <v>174</v>
      </c>
      <c r="D3151" s="103" t="s">
        <v>296</v>
      </c>
      <c r="E3151" s="322"/>
      <c r="F3151" s="104">
        <v>228516295.60619998</v>
      </c>
      <c r="G3151" s="105" t="s">
        <v>172</v>
      </c>
      <c r="H3151" s="47">
        <f>43526919.49+174107677.93</f>
        <v>217634597.42000002</v>
      </c>
      <c r="J3151" s="331">
        <f t="shared" si="173"/>
        <v>10881698.186199963</v>
      </c>
      <c r="K3151" s="316">
        <f t="shared" si="174"/>
        <v>17105696422.657019</v>
      </c>
      <c r="L3151" s="39"/>
      <c r="M3151" s="331"/>
      <c r="N3151" s="331"/>
    </row>
    <row r="3152" spans="1:14" s="7" customFormat="1" ht="15">
      <c r="A3152" s="357"/>
      <c r="B3152" s="109"/>
      <c r="C3152" s="42" t="s">
        <v>778</v>
      </c>
      <c r="D3152" s="103" t="s">
        <v>298</v>
      </c>
      <c r="E3152" s="322"/>
      <c r="F3152" s="104">
        <v>438053100.94604105</v>
      </c>
      <c r="G3152" s="105" t="s">
        <v>179</v>
      </c>
      <c r="H3152" s="47">
        <f>83452310.77+333741118.69</f>
        <v>417193429.45999998</v>
      </c>
      <c r="J3152" s="331">
        <f t="shared" si="173"/>
        <v>20859671.486041069</v>
      </c>
      <c r="K3152" s="316">
        <f t="shared" si="174"/>
        <v>17116578120.843218</v>
      </c>
      <c r="L3152" s="39"/>
      <c r="M3152" s="331"/>
      <c r="N3152" s="331"/>
    </row>
    <row r="3153" spans="1:14" s="7" customFormat="1" ht="15">
      <c r="A3153" s="357"/>
      <c r="B3153" s="109"/>
      <c r="C3153" s="42" t="s">
        <v>1566</v>
      </c>
      <c r="D3153" s="103" t="s">
        <v>299</v>
      </c>
      <c r="E3153" s="322"/>
      <c r="F3153" s="104">
        <v>9463492.4415313788</v>
      </c>
      <c r="G3153" s="105" t="s">
        <v>183</v>
      </c>
      <c r="H3153" s="47">
        <f>1351927.5+7660922.44</f>
        <v>9012849.9400000013</v>
      </c>
      <c r="J3153" s="331">
        <f t="shared" si="173"/>
        <v>450642.50153137743</v>
      </c>
      <c r="K3153" s="316">
        <f t="shared" si="174"/>
        <v>17137437792.329258</v>
      </c>
      <c r="L3153" s="39"/>
      <c r="M3153" s="331"/>
      <c r="N3153" s="331"/>
    </row>
    <row r="3154" spans="1:14" s="7" customFormat="1" ht="15">
      <c r="A3154" s="357"/>
      <c r="B3154" s="109"/>
      <c r="C3154" s="42"/>
      <c r="D3154" s="103"/>
      <c r="E3154" s="322"/>
      <c r="F3154" s="104"/>
      <c r="G3154" s="105"/>
      <c r="H3154" s="47">
        <f>18148402+27435809+27003894.37+8450979.62</f>
        <v>81039084.99000001</v>
      </c>
      <c r="I3154" s="336" t="s">
        <v>1330</v>
      </c>
      <c r="J3154" s="331">
        <f t="shared" si="173"/>
        <v>-81039084.99000001</v>
      </c>
      <c r="K3154" s="316">
        <f t="shared" si="174"/>
        <v>17137888434.83079</v>
      </c>
      <c r="L3154" s="442">
        <f>18148402+27435809+27003894.37+8450979.62</f>
        <v>81039084.99000001</v>
      </c>
      <c r="M3154" s="331"/>
      <c r="N3154" s="331"/>
    </row>
    <row r="3155" spans="1:14" s="7" customFormat="1" ht="15.75">
      <c r="A3155" s="357"/>
      <c r="B3155" s="109"/>
      <c r="C3155" s="42"/>
      <c r="D3155" s="103"/>
      <c r="E3155" s="322"/>
      <c r="F3155" s="104"/>
      <c r="G3155" s="105"/>
      <c r="H3155" s="47">
        <v>1416769468.1900001</v>
      </c>
      <c r="I3155" s="443"/>
      <c r="J3155" s="331">
        <f t="shared" si="173"/>
        <v>-1416769468.1900001</v>
      </c>
      <c r="K3155" s="316">
        <f t="shared" si="174"/>
        <v>17056849349.84079</v>
      </c>
      <c r="L3155" s="39"/>
      <c r="M3155" s="331"/>
      <c r="N3155" s="331"/>
    </row>
    <row r="3156" spans="1:14" s="7" customFormat="1" ht="15">
      <c r="A3156" s="357"/>
      <c r="B3156" s="109"/>
      <c r="C3156" s="42"/>
      <c r="D3156" s="103"/>
      <c r="E3156" s="322"/>
      <c r="F3156" s="104"/>
      <c r="G3156" s="105"/>
      <c r="H3156" s="55">
        <v>76664386.149992004</v>
      </c>
      <c r="J3156" s="331">
        <f t="shared" ref="J3156:J3161" si="175">F3156-H3156</f>
        <v>-76664386.149992004</v>
      </c>
      <c r="K3156" s="316">
        <f t="shared" si="174"/>
        <v>15640079881.650789</v>
      </c>
      <c r="L3156" s="39"/>
      <c r="M3156" s="444"/>
      <c r="N3156" s="331"/>
    </row>
    <row r="3157" spans="1:14" s="7" customFormat="1" ht="15">
      <c r="A3157" s="357"/>
      <c r="B3157" s="109"/>
      <c r="C3157" s="42"/>
      <c r="D3157" s="103"/>
      <c r="E3157" s="322"/>
      <c r="F3157" s="104"/>
      <c r="G3157" s="105"/>
      <c r="H3157" s="47">
        <v>343504586.66000003</v>
      </c>
      <c r="I3157" s="336" t="s">
        <v>2139</v>
      </c>
      <c r="J3157" s="331">
        <f t="shared" si="175"/>
        <v>-343504586.66000003</v>
      </c>
      <c r="K3157" s="316">
        <f t="shared" ref="K3157:K3162" si="176">K3156+J3156</f>
        <v>15563415495.500797</v>
      </c>
      <c r="L3157" s="39"/>
      <c r="M3157" s="331"/>
      <c r="N3157" s="331"/>
    </row>
    <row r="3158" spans="1:14" s="7" customFormat="1" ht="15">
      <c r="A3158" s="357"/>
      <c r="B3158" s="109"/>
      <c r="C3158" s="42"/>
      <c r="D3158" s="103"/>
      <c r="E3158" s="322"/>
      <c r="F3158" s="104"/>
      <c r="G3158" s="105"/>
      <c r="H3158" s="47">
        <v>343504586.66000003</v>
      </c>
      <c r="I3158" s="336" t="s">
        <v>2141</v>
      </c>
      <c r="J3158" s="331">
        <f t="shared" si="175"/>
        <v>-343504586.66000003</v>
      </c>
      <c r="K3158" s="316">
        <f t="shared" si="176"/>
        <v>15219910908.840797</v>
      </c>
      <c r="L3158" s="39"/>
      <c r="M3158" s="331"/>
      <c r="N3158" s="331"/>
    </row>
    <row r="3159" spans="1:14" s="7" customFormat="1" ht="15.75">
      <c r="A3159" s="357"/>
      <c r="B3159" s="109"/>
      <c r="C3159" s="42"/>
      <c r="D3159" s="103"/>
      <c r="E3159" s="322"/>
      <c r="F3159" s="104"/>
      <c r="G3159" s="105"/>
      <c r="H3159" s="47">
        <v>100907907.38</v>
      </c>
      <c r="I3159" s="443">
        <v>43927</v>
      </c>
      <c r="J3159" s="331">
        <f t="shared" si="175"/>
        <v>-100907907.38</v>
      </c>
      <c r="K3159" s="316">
        <f t="shared" si="176"/>
        <v>14876406322.180798</v>
      </c>
      <c r="L3159" s="39"/>
      <c r="M3159" s="331"/>
      <c r="N3159" s="331"/>
    </row>
    <row r="3160" spans="1:14" s="7" customFormat="1" ht="15.75">
      <c r="A3160" s="357"/>
      <c r="B3160" s="109"/>
      <c r="C3160" s="42"/>
      <c r="D3160" s="103"/>
      <c r="E3160" s="322"/>
      <c r="F3160" s="104"/>
      <c r="G3160" s="105"/>
      <c r="H3160" s="47">
        <v>212386540.63999999</v>
      </c>
      <c r="I3160" s="443" t="s">
        <v>1336</v>
      </c>
      <c r="J3160" s="331">
        <f t="shared" si="175"/>
        <v>-212386540.63999999</v>
      </c>
      <c r="K3160" s="316">
        <f t="shared" si="176"/>
        <v>14775498414.800798</v>
      </c>
      <c r="L3160" s="39"/>
      <c r="M3160" s="331"/>
      <c r="N3160" s="331"/>
    </row>
    <row r="3161" spans="1:14" s="7" customFormat="1" ht="15.75">
      <c r="A3161" s="357"/>
      <c r="B3161" s="109"/>
      <c r="C3161" s="42"/>
      <c r="D3161" s="103"/>
      <c r="E3161" s="322"/>
      <c r="F3161" s="104"/>
      <c r="G3161" s="105"/>
      <c r="H3161" s="47">
        <v>58939891</v>
      </c>
      <c r="I3161" s="443"/>
      <c r="J3161" s="331">
        <f t="shared" si="175"/>
        <v>-58939891</v>
      </c>
      <c r="K3161" s="316">
        <f t="shared" si="176"/>
        <v>14563111874.160799</v>
      </c>
      <c r="L3161" s="39"/>
      <c r="M3161" s="331"/>
      <c r="N3161" s="331"/>
    </row>
    <row r="3162" spans="1:14" s="7" customFormat="1" ht="15">
      <c r="A3162" s="357"/>
      <c r="B3162" s="335" t="s">
        <v>2204</v>
      </c>
      <c r="C3162" s="313"/>
      <c r="D3162" s="327"/>
      <c r="E3162" s="328"/>
      <c r="F3162" s="364"/>
      <c r="G3162" s="336"/>
      <c r="H3162" s="87"/>
      <c r="I3162" s="336"/>
      <c r="J3162" s="331">
        <f>F3162-H3162</f>
        <v>0</v>
      </c>
      <c r="K3162" s="65">
        <f t="shared" si="176"/>
        <v>14504171983.160799</v>
      </c>
      <c r="L3162" s="39"/>
      <c r="M3162" s="338"/>
      <c r="N3162" s="331"/>
    </row>
    <row r="3163" spans="1:14" s="7" customFormat="1" ht="15">
      <c r="A3163" s="81"/>
      <c r="B3163" s="141"/>
      <c r="C3163" s="313"/>
      <c r="D3163" s="327"/>
      <c r="E3163" s="328"/>
      <c r="F3163" s="329"/>
      <c r="G3163" s="336"/>
      <c r="H3163" s="87"/>
      <c r="I3163" s="336"/>
      <c r="J3163" s="331"/>
      <c r="K3163" s="337"/>
      <c r="L3163" s="39"/>
      <c r="M3163" s="338"/>
      <c r="N3163" s="331"/>
    </row>
    <row r="3164" spans="1:14" s="7" customFormat="1" ht="15">
      <c r="A3164" s="81"/>
      <c r="B3164" s="141"/>
      <c r="C3164" s="313"/>
      <c r="D3164" s="327"/>
      <c r="E3164" s="328"/>
      <c r="F3164" s="329"/>
      <c r="G3164" s="336"/>
      <c r="H3164" s="87"/>
      <c r="I3164" s="336"/>
      <c r="J3164" s="331"/>
      <c r="K3164" s="337"/>
      <c r="L3164" s="39"/>
      <c r="M3164" s="338"/>
      <c r="N3164" s="331"/>
    </row>
    <row r="3165" spans="1:14" s="7" customFormat="1" ht="15">
      <c r="A3165" s="30"/>
      <c r="B3165" s="30"/>
      <c r="D3165" s="51"/>
      <c r="E3165" s="52"/>
      <c r="F3165" s="53"/>
      <c r="H3165" s="54"/>
      <c r="L3165" s="55"/>
      <c r="N3165" s="331"/>
    </row>
    <row r="3166" spans="1:14" s="7" customFormat="1" ht="15">
      <c r="A3166" s="81">
        <v>49</v>
      </c>
      <c r="B3166" s="141" t="s">
        <v>2205</v>
      </c>
      <c r="C3166" s="332" t="s">
        <v>1559</v>
      </c>
      <c r="D3166" s="327" t="s">
        <v>359</v>
      </c>
      <c r="E3166" s="328"/>
      <c r="F3166" s="364">
        <v>476947657.91000003</v>
      </c>
      <c r="G3166" s="336">
        <v>41981</v>
      </c>
      <c r="H3166" s="54">
        <v>0</v>
      </c>
      <c r="I3166" s="336"/>
      <c r="J3166" s="331">
        <f t="shared" ref="J3166:J3229" si="177">F3166-H3166</f>
        <v>476947657.91000003</v>
      </c>
      <c r="K3166" s="332">
        <v>0</v>
      </c>
      <c r="L3166" s="233"/>
      <c r="M3166" s="332"/>
      <c r="N3166" s="331"/>
    </row>
    <row r="3167" spans="1:14" s="7" customFormat="1" ht="15">
      <c r="A3167" s="81"/>
      <c r="B3167" s="141"/>
      <c r="C3167" s="332" t="s">
        <v>1858</v>
      </c>
      <c r="D3167" s="327" t="s">
        <v>202</v>
      </c>
      <c r="E3167" s="328"/>
      <c r="F3167" s="366">
        <v>492991029.63999999</v>
      </c>
      <c r="G3167" s="205" t="s">
        <v>2181</v>
      </c>
      <c r="H3167" s="54">
        <v>0</v>
      </c>
      <c r="I3167" s="336"/>
      <c r="J3167" s="331">
        <f t="shared" si="177"/>
        <v>492991029.63999999</v>
      </c>
      <c r="K3167" s="316">
        <f t="shared" ref="K3167:K3230" si="178">K3166+J3166</f>
        <v>476947657.91000003</v>
      </c>
      <c r="L3167" s="233"/>
      <c r="M3167" s="332"/>
      <c r="N3167" s="331"/>
    </row>
    <row r="3168" spans="1:14" s="7" customFormat="1" ht="15">
      <c r="A3168" s="81"/>
      <c r="B3168" s="141"/>
      <c r="C3168" s="332" t="s">
        <v>1860</v>
      </c>
      <c r="D3168" s="327" t="s">
        <v>204</v>
      </c>
      <c r="E3168" s="328"/>
      <c r="F3168" s="366">
        <v>442381646.48000002</v>
      </c>
      <c r="G3168" s="205" t="s">
        <v>2206</v>
      </c>
      <c r="H3168" s="54">
        <v>0</v>
      </c>
      <c r="I3168" s="336"/>
      <c r="J3168" s="331">
        <f t="shared" si="177"/>
        <v>442381646.48000002</v>
      </c>
      <c r="K3168" s="316">
        <f t="shared" si="178"/>
        <v>969938687.54999995</v>
      </c>
      <c r="L3168" s="233"/>
      <c r="M3168" s="332"/>
      <c r="N3168" s="331"/>
    </row>
    <row r="3169" spans="1:14" s="7" customFormat="1" ht="15">
      <c r="A3169" s="81"/>
      <c r="B3169" s="141"/>
      <c r="C3169" s="332" t="s">
        <v>1862</v>
      </c>
      <c r="D3169" s="327" t="s">
        <v>208</v>
      </c>
      <c r="E3169" s="328"/>
      <c r="F3169" s="366">
        <v>359474890.72000003</v>
      </c>
      <c r="G3169" s="205" t="s">
        <v>2022</v>
      </c>
      <c r="H3169" s="47">
        <v>243545084.53</v>
      </c>
      <c r="I3169" s="336" t="s">
        <v>2182</v>
      </c>
      <c r="J3169" s="331">
        <f t="shared" si="177"/>
        <v>115929806.19000003</v>
      </c>
      <c r="K3169" s="316">
        <f t="shared" si="178"/>
        <v>1412320334.03</v>
      </c>
      <c r="L3169" s="233"/>
      <c r="M3169" s="332"/>
      <c r="N3169" s="331"/>
    </row>
    <row r="3170" spans="1:14" s="7" customFormat="1" ht="15">
      <c r="A3170" s="81"/>
      <c r="B3170" s="141"/>
      <c r="C3170" s="332" t="s">
        <v>1886</v>
      </c>
      <c r="D3170" s="327" t="s">
        <v>52</v>
      </c>
      <c r="E3170" s="328"/>
      <c r="F3170" s="366">
        <v>404693667.83999997</v>
      </c>
      <c r="G3170" s="205" t="s">
        <v>2183</v>
      </c>
      <c r="H3170" s="47">
        <v>300000000</v>
      </c>
      <c r="I3170" s="336" t="s">
        <v>2125</v>
      </c>
      <c r="J3170" s="331">
        <f t="shared" si="177"/>
        <v>104693667.83999997</v>
      </c>
      <c r="K3170" s="316">
        <f t="shared" si="178"/>
        <v>1528250140.22</v>
      </c>
      <c r="L3170" s="233"/>
      <c r="M3170" s="332"/>
      <c r="N3170" s="332"/>
    </row>
    <row r="3171" spans="1:14" s="7" customFormat="1" ht="15">
      <c r="A3171" s="81"/>
      <c r="B3171" s="141"/>
      <c r="C3171" s="332" t="s">
        <v>1887</v>
      </c>
      <c r="D3171" s="327" t="s">
        <v>215</v>
      </c>
      <c r="E3171" s="328"/>
      <c r="F3171" s="366">
        <v>532966808.86000001</v>
      </c>
      <c r="G3171" s="205" t="s">
        <v>2154</v>
      </c>
      <c r="H3171" s="47">
        <v>914552371.35967803</v>
      </c>
      <c r="I3171" s="336" t="s">
        <v>1914</v>
      </c>
      <c r="J3171" s="331">
        <f t="shared" si="177"/>
        <v>-381585562.49967802</v>
      </c>
      <c r="K3171" s="316">
        <f t="shared" si="178"/>
        <v>1632943808.0599999</v>
      </c>
      <c r="L3171" s="233" t="s">
        <v>2127</v>
      </c>
      <c r="M3171" s="332"/>
      <c r="N3171" s="332"/>
    </row>
    <row r="3172" spans="1:14" s="7" customFormat="1" ht="15">
      <c r="A3172" s="81"/>
      <c r="B3172" s="141"/>
      <c r="C3172" s="332" t="s">
        <v>1888</v>
      </c>
      <c r="D3172" s="327" t="s">
        <v>65</v>
      </c>
      <c r="E3172" s="328"/>
      <c r="F3172" s="366">
        <v>278538604.38999999</v>
      </c>
      <c r="G3172" s="205" t="s">
        <v>2184</v>
      </c>
      <c r="H3172" s="423">
        <v>161792143.46000001</v>
      </c>
      <c r="I3172" s="336" t="s">
        <v>2207</v>
      </c>
      <c r="J3172" s="331">
        <f t="shared" si="177"/>
        <v>116746460.92999998</v>
      </c>
      <c r="K3172" s="316">
        <f t="shared" si="178"/>
        <v>1251358245.5603218</v>
      </c>
      <c r="L3172" s="233" t="s">
        <v>2129</v>
      </c>
      <c r="M3172" s="332"/>
      <c r="N3172" s="332"/>
    </row>
    <row r="3173" spans="1:14" s="7" customFormat="1" ht="15">
      <c r="A3173" s="81"/>
      <c r="B3173" s="141"/>
      <c r="C3173" s="332" t="s">
        <v>1892</v>
      </c>
      <c r="D3173" s="327" t="s">
        <v>71</v>
      </c>
      <c r="E3173" s="328"/>
      <c r="F3173" s="366">
        <v>283234209.75999999</v>
      </c>
      <c r="G3173" s="205" t="s">
        <v>1890</v>
      </c>
      <c r="H3173" s="47">
        <v>238697878.22</v>
      </c>
      <c r="I3173" s="336" t="s">
        <v>358</v>
      </c>
      <c r="J3173" s="331">
        <f t="shared" si="177"/>
        <v>44536331.539999992</v>
      </c>
      <c r="K3173" s="316">
        <f t="shared" si="178"/>
        <v>1368104706.4903219</v>
      </c>
      <c r="L3173" s="233" t="s">
        <v>2129</v>
      </c>
      <c r="M3173" s="332"/>
      <c r="N3173" s="332"/>
    </row>
    <row r="3174" spans="1:14" s="7" customFormat="1" ht="15">
      <c r="A3174" s="81"/>
      <c r="B3174" s="141"/>
      <c r="C3174" s="332" t="s">
        <v>1864</v>
      </c>
      <c r="D3174" s="327" t="s">
        <v>26</v>
      </c>
      <c r="E3174" s="328"/>
      <c r="F3174" s="366">
        <v>405402926.87</v>
      </c>
      <c r="G3174" s="205" t="s">
        <v>2185</v>
      </c>
      <c r="H3174" s="54">
        <v>0</v>
      </c>
      <c r="I3174" s="336"/>
      <c r="J3174" s="331">
        <f t="shared" si="177"/>
        <v>405402926.87</v>
      </c>
      <c r="K3174" s="316">
        <f t="shared" si="178"/>
        <v>1412641038.0303218</v>
      </c>
      <c r="L3174" s="233"/>
      <c r="M3174" s="332"/>
      <c r="N3174" s="332"/>
    </row>
    <row r="3175" spans="1:14" s="7" customFormat="1" ht="15">
      <c r="A3175" s="81"/>
      <c r="B3175" s="141"/>
      <c r="C3175" s="332" t="s">
        <v>1897</v>
      </c>
      <c r="D3175" s="327" t="s">
        <v>223</v>
      </c>
      <c r="E3175" s="328"/>
      <c r="F3175" s="364">
        <v>564562425.88999999</v>
      </c>
      <c r="G3175" s="205" t="s">
        <v>2017</v>
      </c>
      <c r="H3175" s="54">
        <v>0</v>
      </c>
      <c r="I3175" s="336"/>
      <c r="J3175" s="331">
        <f t="shared" si="177"/>
        <v>564562425.88999999</v>
      </c>
      <c r="K3175" s="316">
        <f t="shared" si="178"/>
        <v>1818043964.900322</v>
      </c>
      <c r="L3175" s="233"/>
      <c r="M3175" s="332"/>
      <c r="N3175" s="332"/>
    </row>
    <row r="3176" spans="1:14" s="7" customFormat="1" ht="15">
      <c r="A3176" s="81"/>
      <c r="B3176" s="141"/>
      <c r="C3176" s="332" t="s">
        <v>1171</v>
      </c>
      <c r="D3176" s="327" t="s">
        <v>367</v>
      </c>
      <c r="E3176" s="328"/>
      <c r="F3176" s="364">
        <v>327358069.41000003</v>
      </c>
      <c r="G3176" s="205" t="s">
        <v>2130</v>
      </c>
      <c r="H3176" s="54">
        <v>0</v>
      </c>
      <c r="I3176" s="336"/>
      <c r="J3176" s="331">
        <f t="shared" si="177"/>
        <v>327358069.41000003</v>
      </c>
      <c r="K3176" s="316">
        <f t="shared" si="178"/>
        <v>2382606390.7903218</v>
      </c>
      <c r="L3176" s="233"/>
      <c r="M3176" s="332"/>
      <c r="N3176" s="332"/>
    </row>
    <row r="3177" spans="1:14" s="7" customFormat="1" ht="15">
      <c r="A3177" s="81"/>
      <c r="B3177" s="141"/>
      <c r="C3177" s="332" t="s">
        <v>461</v>
      </c>
      <c r="D3177" s="327" t="s">
        <v>368</v>
      </c>
      <c r="E3177" s="328"/>
      <c r="F3177" s="364">
        <v>317673272.95999998</v>
      </c>
      <c r="G3177" s="205" t="s">
        <v>2186</v>
      </c>
      <c r="H3177" s="54">
        <v>0</v>
      </c>
      <c r="I3177" s="336"/>
      <c r="J3177" s="331">
        <f t="shared" si="177"/>
        <v>317673272.95999998</v>
      </c>
      <c r="K3177" s="316">
        <f t="shared" si="178"/>
        <v>2709964460.2003217</v>
      </c>
      <c r="L3177" s="233"/>
      <c r="M3177" s="332"/>
      <c r="N3177" s="332"/>
    </row>
    <row r="3178" spans="1:14" s="7" customFormat="1" ht="15">
      <c r="A3178" s="81"/>
      <c r="B3178" s="141"/>
      <c r="C3178" s="332" t="s">
        <v>465</v>
      </c>
      <c r="D3178" s="327" t="s">
        <v>370</v>
      </c>
      <c r="E3178" s="328"/>
      <c r="F3178" s="364">
        <v>217030216.84</v>
      </c>
      <c r="G3178" s="205" t="s">
        <v>2171</v>
      </c>
      <c r="H3178" s="54">
        <v>0</v>
      </c>
      <c r="I3178" s="336"/>
      <c r="J3178" s="331">
        <f t="shared" si="177"/>
        <v>217030216.84</v>
      </c>
      <c r="K3178" s="316">
        <f t="shared" si="178"/>
        <v>3027637733.1603217</v>
      </c>
      <c r="L3178" s="233"/>
      <c r="M3178" s="332"/>
      <c r="N3178" s="332"/>
    </row>
    <row r="3179" spans="1:14" s="7" customFormat="1" ht="15">
      <c r="A3179" s="81"/>
      <c r="B3179" s="141"/>
      <c r="C3179" s="332" t="s">
        <v>467</v>
      </c>
      <c r="D3179" s="327" t="s">
        <v>371</v>
      </c>
      <c r="E3179" s="328"/>
      <c r="F3179" s="364">
        <v>593591.92000000004</v>
      </c>
      <c r="G3179" s="205" t="s">
        <v>2132</v>
      </c>
      <c r="H3179" s="54">
        <v>0</v>
      </c>
      <c r="I3179" s="336"/>
      <c r="J3179" s="331">
        <f t="shared" si="177"/>
        <v>593591.92000000004</v>
      </c>
      <c r="K3179" s="316">
        <f t="shared" si="178"/>
        <v>3244667950.0003219</v>
      </c>
      <c r="L3179" s="233"/>
      <c r="M3179" s="332"/>
      <c r="N3179" s="332"/>
    </row>
    <row r="3180" spans="1:14" s="7" customFormat="1" ht="15">
      <c r="A3180" s="81"/>
      <c r="B3180" s="141"/>
      <c r="C3180" s="332" t="s">
        <v>471</v>
      </c>
      <c r="D3180" s="327" t="s">
        <v>373</v>
      </c>
      <c r="E3180" s="328"/>
      <c r="F3180" s="364">
        <v>408590163.54000002</v>
      </c>
      <c r="G3180" s="205" t="s">
        <v>2160</v>
      </c>
      <c r="H3180" s="54">
        <v>0</v>
      </c>
      <c r="I3180" s="336"/>
      <c r="J3180" s="331">
        <f t="shared" si="177"/>
        <v>408590163.54000002</v>
      </c>
      <c r="K3180" s="316">
        <f t="shared" si="178"/>
        <v>3245261541.9203219</v>
      </c>
      <c r="L3180" s="233"/>
      <c r="M3180" s="332"/>
      <c r="N3180" s="332"/>
    </row>
    <row r="3181" spans="1:14" s="7" customFormat="1" ht="15">
      <c r="A3181" s="81"/>
      <c r="B3181" s="141"/>
      <c r="C3181" s="332" t="s">
        <v>398</v>
      </c>
      <c r="D3181" s="327" t="s">
        <v>92</v>
      </c>
      <c r="E3181" s="328"/>
      <c r="F3181" s="364">
        <v>608576465.36000001</v>
      </c>
      <c r="G3181" s="205" t="s">
        <v>2208</v>
      </c>
      <c r="H3181" s="54">
        <v>0</v>
      </c>
      <c r="I3181" s="336"/>
      <c r="J3181" s="331">
        <f t="shared" si="177"/>
        <v>608576465.36000001</v>
      </c>
      <c r="K3181" s="316">
        <f t="shared" si="178"/>
        <v>3653851705.4603219</v>
      </c>
      <c r="L3181" s="233"/>
      <c r="M3181" s="332"/>
      <c r="N3181" s="332"/>
    </row>
    <row r="3182" spans="1:14" s="7" customFormat="1" ht="15">
      <c r="A3182" s="81"/>
      <c r="B3182" s="141"/>
      <c r="C3182" s="332" t="s">
        <v>1403</v>
      </c>
      <c r="D3182" s="327" t="s">
        <v>63</v>
      </c>
      <c r="E3182" s="328"/>
      <c r="F3182" s="364">
        <v>558600193.28999996</v>
      </c>
      <c r="G3182" s="205" t="s">
        <v>1179</v>
      </c>
      <c r="H3182" s="47">
        <v>0</v>
      </c>
      <c r="I3182" s="336"/>
      <c r="J3182" s="331">
        <f t="shared" si="177"/>
        <v>558600193.28999996</v>
      </c>
      <c r="K3182" s="316">
        <f t="shared" si="178"/>
        <v>4262428170.820322</v>
      </c>
      <c r="L3182" s="233"/>
      <c r="M3182" s="332"/>
      <c r="N3182" s="332"/>
    </row>
    <row r="3183" spans="1:14" s="7" customFormat="1" ht="15">
      <c r="A3183" s="81"/>
      <c r="B3183" s="141"/>
      <c r="C3183" s="332" t="s">
        <v>401</v>
      </c>
      <c r="D3183" s="327" t="s">
        <v>374</v>
      </c>
      <c r="E3183" s="328"/>
      <c r="F3183" s="364">
        <v>579160538.99000001</v>
      </c>
      <c r="G3183" s="205" t="s">
        <v>1780</v>
      </c>
      <c r="H3183" s="54">
        <v>0</v>
      </c>
      <c r="I3183" s="336"/>
      <c r="J3183" s="331">
        <f t="shared" si="177"/>
        <v>579160538.99000001</v>
      </c>
      <c r="K3183" s="316">
        <f t="shared" si="178"/>
        <v>4821028364.110322</v>
      </c>
      <c r="L3183" s="233"/>
      <c r="M3183" s="332"/>
      <c r="N3183" s="332"/>
    </row>
    <row r="3184" spans="1:14" s="7" customFormat="1" ht="15">
      <c r="A3184" s="81"/>
      <c r="B3184" s="141"/>
      <c r="C3184" s="74" t="s">
        <v>404</v>
      </c>
      <c r="D3184" s="32" t="s">
        <v>376</v>
      </c>
      <c r="E3184" s="33"/>
      <c r="F3184" s="34">
        <v>450741659.37</v>
      </c>
      <c r="G3184" s="76" t="s">
        <v>1781</v>
      </c>
      <c r="H3184" s="54">
        <v>0</v>
      </c>
      <c r="I3184" s="336"/>
      <c r="J3184" s="331">
        <f t="shared" si="177"/>
        <v>450741659.37</v>
      </c>
      <c r="K3184" s="316">
        <f t="shared" si="178"/>
        <v>5400188903.1003218</v>
      </c>
      <c r="L3184" s="233"/>
      <c r="M3184" s="332"/>
      <c r="N3184" s="332"/>
    </row>
    <row r="3185" spans="1:14" s="7" customFormat="1" ht="15">
      <c r="A3185" s="81"/>
      <c r="B3185" s="141"/>
      <c r="C3185" s="74" t="s">
        <v>406</v>
      </c>
      <c r="D3185" s="32" t="s">
        <v>54</v>
      </c>
      <c r="E3185" s="33"/>
      <c r="F3185" s="34">
        <v>404392975.07999998</v>
      </c>
      <c r="G3185" s="76" t="s">
        <v>1407</v>
      </c>
      <c r="H3185" s="54">
        <v>0</v>
      </c>
      <c r="I3185" s="336"/>
      <c r="J3185" s="331">
        <f t="shared" si="177"/>
        <v>404392975.07999998</v>
      </c>
      <c r="K3185" s="316">
        <f t="shared" si="178"/>
        <v>5850930562.4703217</v>
      </c>
      <c r="L3185" s="233"/>
      <c r="M3185" s="332"/>
      <c r="N3185" s="332"/>
    </row>
    <row r="3186" spans="1:14" s="7" customFormat="1" ht="15">
      <c r="A3186" s="81"/>
      <c r="B3186" s="141"/>
      <c r="C3186" s="74" t="s">
        <v>409</v>
      </c>
      <c r="D3186" s="32" t="s">
        <v>379</v>
      </c>
      <c r="E3186" s="33"/>
      <c r="F3186" s="34">
        <v>675708414.66999996</v>
      </c>
      <c r="G3186" s="76" t="s">
        <v>1782</v>
      </c>
      <c r="H3186" s="54">
        <v>0</v>
      </c>
      <c r="I3186" s="336"/>
      <c r="J3186" s="331">
        <f t="shared" si="177"/>
        <v>675708414.66999996</v>
      </c>
      <c r="K3186" s="316">
        <f t="shared" si="178"/>
        <v>6255323537.5503216</v>
      </c>
      <c r="L3186" s="233"/>
      <c r="M3186" s="332"/>
      <c r="N3186" s="332"/>
    </row>
    <row r="3187" spans="1:14" s="7" customFormat="1" ht="15">
      <c r="A3187" s="81"/>
      <c r="B3187" s="141"/>
      <c r="C3187" s="74" t="s">
        <v>411</v>
      </c>
      <c r="D3187" s="32" t="s">
        <v>381</v>
      </c>
      <c r="E3187" s="33"/>
      <c r="F3187" s="34">
        <v>1017123859.96</v>
      </c>
      <c r="G3187" s="76" t="s">
        <v>1341</v>
      </c>
      <c r="H3187" s="54">
        <v>0</v>
      </c>
      <c r="I3187" s="336"/>
      <c r="J3187" s="331">
        <f t="shared" si="177"/>
        <v>1017123859.96</v>
      </c>
      <c r="K3187" s="316">
        <f t="shared" si="178"/>
        <v>6931031952.2203217</v>
      </c>
      <c r="L3187" s="233"/>
      <c r="M3187" s="332"/>
      <c r="N3187" s="332"/>
    </row>
    <row r="3188" spans="1:14" s="7" customFormat="1" ht="15">
      <c r="A3188" s="81"/>
      <c r="B3188" s="141"/>
      <c r="C3188" s="74" t="s">
        <v>414</v>
      </c>
      <c r="D3188" s="32" t="s">
        <v>383</v>
      </c>
      <c r="E3188" s="33"/>
      <c r="F3188" s="34">
        <v>947583271.82000005</v>
      </c>
      <c r="G3188" s="75">
        <v>42685</v>
      </c>
      <c r="H3188" s="54">
        <v>0</v>
      </c>
      <c r="I3188" s="336"/>
      <c r="J3188" s="331">
        <f t="shared" si="177"/>
        <v>947583271.82000005</v>
      </c>
      <c r="K3188" s="316">
        <f t="shared" si="178"/>
        <v>7948155812.1803217</v>
      </c>
      <c r="L3188" s="233"/>
      <c r="M3188" s="332"/>
      <c r="N3188" s="332"/>
    </row>
    <row r="3189" spans="1:14" s="7" customFormat="1" ht="15">
      <c r="A3189" s="81"/>
      <c r="B3189" s="141"/>
      <c r="C3189" s="74" t="s">
        <v>1412</v>
      </c>
      <c r="D3189" s="32" t="s">
        <v>384</v>
      </c>
      <c r="E3189" s="33"/>
      <c r="F3189" s="34">
        <v>312890909.76999998</v>
      </c>
      <c r="G3189" s="75">
        <v>42594</v>
      </c>
      <c r="H3189" s="54">
        <v>0</v>
      </c>
      <c r="I3189" s="336"/>
      <c r="J3189" s="331">
        <f t="shared" si="177"/>
        <v>312890909.76999998</v>
      </c>
      <c r="K3189" s="316">
        <f t="shared" si="178"/>
        <v>8895739084.0003223</v>
      </c>
      <c r="L3189" s="233"/>
      <c r="M3189" s="332"/>
      <c r="N3189" s="332"/>
    </row>
    <row r="3190" spans="1:14" s="7" customFormat="1" ht="15">
      <c r="A3190" s="81"/>
      <c r="B3190" s="141"/>
      <c r="C3190" s="41" t="s">
        <v>609</v>
      </c>
      <c r="D3190" s="32" t="s">
        <v>385</v>
      </c>
      <c r="E3190" s="33"/>
      <c r="F3190" s="34">
        <v>884974748.04585004</v>
      </c>
      <c r="G3190" s="75"/>
      <c r="J3190" s="331">
        <f t="shared" si="177"/>
        <v>884974748.04585004</v>
      </c>
      <c r="K3190" s="316">
        <f t="shared" si="178"/>
        <v>9208629993.7703228</v>
      </c>
      <c r="L3190" s="233"/>
      <c r="M3190" s="332"/>
      <c r="N3190" s="332"/>
    </row>
    <row r="3191" spans="1:14" s="7" customFormat="1" ht="15">
      <c r="A3191" s="81"/>
      <c r="B3191" s="141"/>
      <c r="C3191" s="41" t="s">
        <v>611</v>
      </c>
      <c r="D3191" s="32" t="s">
        <v>386</v>
      </c>
      <c r="E3191" s="33"/>
      <c r="F3191" s="34">
        <v>844659116.13999999</v>
      </c>
      <c r="G3191" s="75"/>
      <c r="J3191" s="331">
        <f t="shared" si="177"/>
        <v>844659116.13999999</v>
      </c>
      <c r="K3191" s="316">
        <f t="shared" si="178"/>
        <v>10093604741.816174</v>
      </c>
      <c r="L3191" s="233"/>
      <c r="M3191" s="332"/>
      <c r="N3191" s="332"/>
    </row>
    <row r="3192" spans="1:14" s="7" customFormat="1" ht="15">
      <c r="A3192" s="81"/>
      <c r="B3192" s="141"/>
      <c r="C3192" s="29" t="s">
        <v>614</v>
      </c>
      <c r="D3192" s="32" t="s">
        <v>386</v>
      </c>
      <c r="E3192" s="33"/>
      <c r="F3192" s="118">
        <v>592301294.94000006</v>
      </c>
      <c r="G3192" s="58" t="s">
        <v>612</v>
      </c>
      <c r="H3192" s="47">
        <f>379363918+19966521.99</f>
        <v>399330439.99000001</v>
      </c>
      <c r="I3192" s="336"/>
      <c r="J3192" s="331">
        <f t="shared" si="177"/>
        <v>192970854.95000005</v>
      </c>
      <c r="K3192" s="316">
        <f t="shared" si="178"/>
        <v>10938263857.956173</v>
      </c>
      <c r="L3192" s="233" t="s">
        <v>1917</v>
      </c>
      <c r="M3192" s="332"/>
      <c r="N3192" s="332"/>
    </row>
    <row r="3193" spans="1:14" s="7" customFormat="1" ht="15">
      <c r="A3193" s="81"/>
      <c r="B3193" s="109"/>
      <c r="C3193" s="29" t="s">
        <v>489</v>
      </c>
      <c r="D3193" s="32" t="s">
        <v>388</v>
      </c>
      <c r="E3193" s="33"/>
      <c r="F3193" s="118">
        <v>1238940254.97</v>
      </c>
      <c r="G3193" s="76" t="s">
        <v>2209</v>
      </c>
      <c r="H3193" s="47">
        <f>771519010+40606263.7</f>
        <v>812125273.70000005</v>
      </c>
      <c r="I3193" s="336"/>
      <c r="J3193" s="331">
        <f t="shared" si="177"/>
        <v>426814981.26999998</v>
      </c>
      <c r="K3193" s="316">
        <f t="shared" si="178"/>
        <v>11131234712.906174</v>
      </c>
      <c r="L3193" s="233" t="s">
        <v>1917</v>
      </c>
      <c r="M3193" s="332"/>
      <c r="N3193" s="332"/>
    </row>
    <row r="3194" spans="1:14" s="7" customFormat="1" ht="15">
      <c r="A3194" s="81"/>
      <c r="B3194" s="109"/>
      <c r="C3194" s="41" t="s">
        <v>490</v>
      </c>
      <c r="D3194" s="32" t="s">
        <v>39</v>
      </c>
      <c r="E3194" s="33"/>
      <c r="F3194" s="118">
        <v>920621305.55999994</v>
      </c>
      <c r="G3194" s="76" t="s">
        <v>1038</v>
      </c>
      <c r="H3194" s="47">
        <f>31531141.5+598785247.15</f>
        <v>630316388.64999998</v>
      </c>
      <c r="I3194" s="336"/>
      <c r="J3194" s="331">
        <f t="shared" si="177"/>
        <v>290304916.90999997</v>
      </c>
      <c r="K3194" s="316">
        <f t="shared" si="178"/>
        <v>11558049694.176174</v>
      </c>
      <c r="L3194" s="233" t="s">
        <v>1917</v>
      </c>
      <c r="M3194" s="332"/>
      <c r="N3194" s="332"/>
    </row>
    <row r="3195" spans="1:14" s="7" customFormat="1" ht="15">
      <c r="A3195" s="81"/>
      <c r="B3195" s="109"/>
      <c r="C3195" s="29" t="s">
        <v>560</v>
      </c>
      <c r="D3195" s="32" t="s">
        <v>1061</v>
      </c>
      <c r="E3195" s="33"/>
      <c r="F3195" s="95">
        <v>1074585631.6800001</v>
      </c>
      <c r="G3195" s="96">
        <v>42861</v>
      </c>
      <c r="H3195" s="47">
        <f>705430151.76+8795248.98</f>
        <v>714225400.74000001</v>
      </c>
      <c r="I3195" s="336"/>
      <c r="J3195" s="331">
        <f t="shared" si="177"/>
        <v>360360230.94000006</v>
      </c>
      <c r="K3195" s="316">
        <f t="shared" si="178"/>
        <v>11848354611.086174</v>
      </c>
      <c r="L3195" s="233" t="s">
        <v>1917</v>
      </c>
      <c r="M3195" s="332"/>
      <c r="N3195" s="332"/>
    </row>
    <row r="3196" spans="1:14" s="7" customFormat="1" ht="15">
      <c r="A3196" s="81"/>
      <c r="B3196" s="109"/>
      <c r="C3196" s="29" t="s">
        <v>562</v>
      </c>
      <c r="D3196" s="32" t="s">
        <v>1353</v>
      </c>
      <c r="E3196" s="33"/>
      <c r="F3196" s="95">
        <v>1208788812.1500001</v>
      </c>
      <c r="G3196" s="98">
        <v>42931</v>
      </c>
      <c r="H3196" s="47">
        <f>804589253.93+4820040.78</f>
        <v>809409294.70999992</v>
      </c>
      <c r="I3196" s="336"/>
      <c r="J3196" s="331">
        <f t="shared" si="177"/>
        <v>399379517.44000018</v>
      </c>
      <c r="K3196" s="316">
        <f t="shared" si="178"/>
        <v>12208714842.026175</v>
      </c>
      <c r="L3196" s="233" t="s">
        <v>1917</v>
      </c>
      <c r="M3196" s="332"/>
      <c r="N3196" s="332"/>
    </row>
    <row r="3197" spans="1:14" s="7" customFormat="1" ht="15">
      <c r="A3197" s="81"/>
      <c r="B3197" s="109"/>
      <c r="C3197" s="29" t="s">
        <v>494</v>
      </c>
      <c r="D3197" s="32" t="s">
        <v>1364</v>
      </c>
      <c r="E3197" s="33"/>
      <c r="F3197" s="95">
        <v>1029724389.3200001</v>
      </c>
      <c r="G3197" s="98">
        <v>42959</v>
      </c>
      <c r="H3197" s="47">
        <f>726830690.35+38254246.86</f>
        <v>765084937.21000004</v>
      </c>
      <c r="I3197" s="336"/>
      <c r="J3197" s="331">
        <f t="shared" si="177"/>
        <v>264639452.11000001</v>
      </c>
      <c r="K3197" s="316">
        <f t="shared" si="178"/>
        <v>12608094359.466175</v>
      </c>
      <c r="L3197" s="233" t="s">
        <v>1917</v>
      </c>
      <c r="M3197" s="332"/>
      <c r="N3197" s="332"/>
    </row>
    <row r="3198" spans="1:14" s="7" customFormat="1" ht="15">
      <c r="A3198" s="81"/>
      <c r="B3198" s="109"/>
      <c r="C3198" s="29" t="s">
        <v>497</v>
      </c>
      <c r="D3198" s="32" t="s">
        <v>1583</v>
      </c>
      <c r="E3198" s="33"/>
      <c r="F3198" s="95">
        <v>856810969.62</v>
      </c>
      <c r="G3198" s="98">
        <v>42990</v>
      </c>
      <c r="H3198" s="47">
        <f>591227369.71+31117229.98</f>
        <v>622344599.69000006</v>
      </c>
      <c r="I3198" s="336"/>
      <c r="J3198" s="331">
        <f t="shared" si="177"/>
        <v>234466369.92999995</v>
      </c>
      <c r="K3198" s="316">
        <f t="shared" si="178"/>
        <v>12872733811.576176</v>
      </c>
      <c r="L3198" s="233" t="s">
        <v>1917</v>
      </c>
      <c r="M3198" s="332"/>
      <c r="N3198" s="332"/>
    </row>
    <row r="3199" spans="1:14" s="7" customFormat="1" ht="15">
      <c r="A3199" s="81"/>
      <c r="B3199" s="109"/>
      <c r="C3199" s="29" t="s">
        <v>498</v>
      </c>
      <c r="D3199" s="32" t="s">
        <v>1584</v>
      </c>
      <c r="E3199" s="33"/>
      <c r="F3199" s="95">
        <v>691182554.71000004</v>
      </c>
      <c r="G3199" s="98">
        <v>42865</v>
      </c>
      <c r="H3199" s="47">
        <f>410877237.86+21625117.78</f>
        <v>432502355.63999999</v>
      </c>
      <c r="I3199" s="336"/>
      <c r="J3199" s="331">
        <f t="shared" si="177"/>
        <v>258680199.07000005</v>
      </c>
      <c r="K3199" s="316">
        <f t="shared" si="178"/>
        <v>13107200181.506176</v>
      </c>
      <c r="L3199" s="233" t="s">
        <v>1917</v>
      </c>
      <c r="M3199" s="332"/>
      <c r="N3199" s="332"/>
    </row>
    <row r="3200" spans="1:14" s="7" customFormat="1" ht="15">
      <c r="A3200" s="81"/>
      <c r="B3200" s="109"/>
      <c r="C3200" s="29" t="s">
        <v>564</v>
      </c>
      <c r="D3200" s="32" t="s">
        <v>1585</v>
      </c>
      <c r="E3200" s="33"/>
      <c r="F3200" s="95">
        <v>727890775.69000006</v>
      </c>
      <c r="G3200" s="98">
        <v>43018</v>
      </c>
      <c r="H3200" s="47">
        <f>469735793.65+24722936.51</f>
        <v>494458730.15999997</v>
      </c>
      <c r="I3200" s="336"/>
      <c r="J3200" s="331">
        <f t="shared" si="177"/>
        <v>233432045.53000009</v>
      </c>
      <c r="K3200" s="316">
        <f t="shared" si="178"/>
        <v>13365880380.576176</v>
      </c>
      <c r="L3200" s="233" t="s">
        <v>1917</v>
      </c>
      <c r="M3200" s="332"/>
      <c r="N3200" s="332"/>
    </row>
    <row r="3201" spans="1:14" s="7" customFormat="1" ht="15">
      <c r="A3201" s="81"/>
      <c r="B3201" s="109"/>
      <c r="C3201" s="29" t="s">
        <v>500</v>
      </c>
      <c r="D3201" s="32" t="s">
        <v>1586</v>
      </c>
      <c r="E3201" s="33"/>
      <c r="F3201" s="95">
        <v>815816653.49000001</v>
      </c>
      <c r="G3201" s="98" t="s">
        <v>801</v>
      </c>
      <c r="H3201" s="47">
        <f>582076453.99+30635602.84</f>
        <v>612712056.83000004</v>
      </c>
      <c r="I3201" s="336"/>
      <c r="J3201" s="331">
        <f t="shared" si="177"/>
        <v>203104596.65999997</v>
      </c>
      <c r="K3201" s="316">
        <f t="shared" si="178"/>
        <v>13599312426.106176</v>
      </c>
      <c r="L3201" s="233" t="s">
        <v>1917</v>
      </c>
      <c r="M3201" s="332"/>
      <c r="N3201" s="332"/>
    </row>
    <row r="3202" spans="1:14" s="7" customFormat="1" ht="15">
      <c r="A3202" s="81"/>
      <c r="B3202" s="109"/>
      <c r="C3202" s="29" t="s">
        <v>501</v>
      </c>
      <c r="D3202" s="32" t="s">
        <v>1587</v>
      </c>
      <c r="E3202" s="33"/>
      <c r="F3202" s="445">
        <v>751201340.97000003</v>
      </c>
      <c r="G3202" s="98" t="s">
        <v>502</v>
      </c>
      <c r="H3202" s="47">
        <v>501997520.70999998</v>
      </c>
      <c r="I3202" s="336"/>
      <c r="J3202" s="331">
        <f t="shared" si="177"/>
        <v>249203820.26000005</v>
      </c>
      <c r="K3202" s="316">
        <f t="shared" si="178"/>
        <v>13802417022.766176</v>
      </c>
      <c r="L3202" s="233" t="s">
        <v>1917</v>
      </c>
      <c r="M3202" s="332"/>
      <c r="N3202" s="332"/>
    </row>
    <row r="3203" spans="1:14" s="7" customFormat="1" ht="15">
      <c r="A3203" s="81"/>
      <c r="B3203" s="109"/>
      <c r="C3203" s="29" t="s">
        <v>504</v>
      </c>
      <c r="D3203" s="32" t="s">
        <v>1628</v>
      </c>
      <c r="E3203" s="33"/>
      <c r="F3203" s="445">
        <v>782169297.85000002</v>
      </c>
      <c r="G3203" s="98">
        <v>43375</v>
      </c>
      <c r="H3203" s="47">
        <v>665639707.14999998</v>
      </c>
      <c r="I3203" s="336"/>
      <c r="J3203" s="331">
        <f t="shared" si="177"/>
        <v>116529590.70000005</v>
      </c>
      <c r="K3203" s="316">
        <f t="shared" si="178"/>
        <v>14051620843.026176</v>
      </c>
      <c r="L3203" s="233" t="s">
        <v>1917</v>
      </c>
      <c r="M3203" s="332"/>
      <c r="N3203" s="332"/>
    </row>
    <row r="3204" spans="1:14" s="7" customFormat="1" ht="15">
      <c r="A3204" s="81"/>
      <c r="B3204" s="109"/>
      <c r="C3204" s="29" t="s">
        <v>506</v>
      </c>
      <c r="D3204" s="32" t="s">
        <v>1629</v>
      </c>
      <c r="E3204" s="33"/>
      <c r="F3204" s="445">
        <v>768643349.47000003</v>
      </c>
      <c r="G3204" s="98" t="s">
        <v>1302</v>
      </c>
      <c r="H3204" s="47">
        <v>658837156.69000006</v>
      </c>
      <c r="I3204" s="336"/>
      <c r="J3204" s="331">
        <f t="shared" si="177"/>
        <v>109806192.77999997</v>
      </c>
      <c r="K3204" s="316">
        <f t="shared" si="178"/>
        <v>14168150433.726177</v>
      </c>
      <c r="L3204" s="233" t="s">
        <v>1917</v>
      </c>
      <c r="M3204" s="332"/>
      <c r="N3204" s="332"/>
    </row>
    <row r="3205" spans="1:14" s="7" customFormat="1" ht="15">
      <c r="A3205" s="81"/>
      <c r="B3205" s="109"/>
      <c r="C3205" s="29" t="s">
        <v>508</v>
      </c>
      <c r="D3205" s="32" t="s">
        <v>1631</v>
      </c>
      <c r="E3205" s="33"/>
      <c r="F3205" s="445">
        <v>250542055.50999999</v>
      </c>
      <c r="G3205" s="75" t="s">
        <v>509</v>
      </c>
      <c r="H3205" s="47">
        <v>167028043.68000001</v>
      </c>
      <c r="I3205" s="336"/>
      <c r="J3205" s="331">
        <f t="shared" si="177"/>
        <v>83514011.829999983</v>
      </c>
      <c r="K3205" s="316">
        <f t="shared" si="178"/>
        <v>14277956626.506178</v>
      </c>
      <c r="L3205" s="233" t="s">
        <v>1917</v>
      </c>
      <c r="M3205" s="332"/>
      <c r="N3205" s="332"/>
    </row>
    <row r="3206" spans="1:14" s="7" customFormat="1" ht="15">
      <c r="A3206" s="81"/>
      <c r="B3206" s="109"/>
      <c r="C3206" s="29" t="s">
        <v>355</v>
      </c>
      <c r="D3206" s="32" t="s">
        <v>1632</v>
      </c>
      <c r="E3206" s="33"/>
      <c r="F3206" s="445">
        <v>834193991.20305407</v>
      </c>
      <c r="G3206" s="75" t="s">
        <v>1931</v>
      </c>
      <c r="H3206" s="47">
        <f>295909899.66+224219957.48</f>
        <v>520129857.13999999</v>
      </c>
      <c r="I3206" s="336"/>
      <c r="J3206" s="331">
        <f t="shared" si="177"/>
        <v>314064134.06305408</v>
      </c>
      <c r="K3206" s="316">
        <f t="shared" si="178"/>
        <v>14361470638.336178</v>
      </c>
      <c r="L3206" s="233" t="s">
        <v>1917</v>
      </c>
      <c r="M3206" s="332"/>
      <c r="N3206" s="332"/>
    </row>
    <row r="3207" spans="1:14" s="7" customFormat="1" ht="15">
      <c r="A3207" s="81"/>
      <c r="B3207" s="109"/>
      <c r="C3207" s="31" t="s">
        <v>234</v>
      </c>
      <c r="D3207" s="32" t="s">
        <v>1633</v>
      </c>
      <c r="E3207" s="33"/>
      <c r="F3207" s="445">
        <v>688499629.7484678</v>
      </c>
      <c r="G3207" s="75" t="s">
        <v>755</v>
      </c>
      <c r="H3207" s="47">
        <v>458999753.16000003</v>
      </c>
      <c r="I3207" s="336"/>
      <c r="J3207" s="331">
        <f t="shared" si="177"/>
        <v>229499876.58846778</v>
      </c>
      <c r="K3207" s="316">
        <f t="shared" si="178"/>
        <v>14675534772.399231</v>
      </c>
      <c r="L3207" s="233" t="s">
        <v>1917</v>
      </c>
      <c r="M3207" s="332"/>
      <c r="N3207" s="332"/>
    </row>
    <row r="3208" spans="1:14" s="7" customFormat="1" ht="15">
      <c r="A3208" s="81"/>
      <c r="B3208" s="109"/>
      <c r="C3208" s="31" t="s">
        <v>416</v>
      </c>
      <c r="D3208" s="32" t="s">
        <v>1366</v>
      </c>
      <c r="E3208" s="33"/>
      <c r="F3208" s="445">
        <v>885066511.72436452</v>
      </c>
      <c r="G3208" s="75" t="s">
        <v>757</v>
      </c>
      <c r="H3208" s="47">
        <v>590044341.14999998</v>
      </c>
      <c r="I3208" s="336"/>
      <c r="J3208" s="331">
        <f t="shared" si="177"/>
        <v>295022170.57436454</v>
      </c>
      <c r="K3208" s="316">
        <f t="shared" si="178"/>
        <v>14905034648.9877</v>
      </c>
      <c r="L3208" s="233" t="s">
        <v>1917</v>
      </c>
      <c r="M3208" s="332"/>
      <c r="N3208" s="332"/>
    </row>
    <row r="3209" spans="1:14" s="7" customFormat="1" ht="15">
      <c r="A3209" s="81"/>
      <c r="B3209" s="109"/>
      <c r="C3209" s="102" t="s">
        <v>238</v>
      </c>
      <c r="D3209" s="32" t="s">
        <v>1369</v>
      </c>
      <c r="E3209" s="33"/>
      <c r="F3209" s="445">
        <v>831451576.86660266</v>
      </c>
      <c r="G3209" s="75" t="s">
        <v>507</v>
      </c>
      <c r="H3209" s="47">
        <f>551893237.99+2407813.25</f>
        <v>554301051.24000001</v>
      </c>
      <c r="I3209" s="336"/>
      <c r="J3209" s="331">
        <f t="shared" si="177"/>
        <v>277150525.62660265</v>
      </c>
      <c r="K3209" s="316">
        <f t="shared" si="178"/>
        <v>15200056819.562063</v>
      </c>
      <c r="L3209" s="233" t="s">
        <v>1917</v>
      </c>
      <c r="M3209" s="332"/>
      <c r="N3209" s="332"/>
    </row>
    <row r="3210" spans="1:14" s="7" customFormat="1" ht="15">
      <c r="A3210" s="81"/>
      <c r="B3210" s="109"/>
      <c r="C3210" s="102" t="s">
        <v>517</v>
      </c>
      <c r="D3210" s="32" t="s">
        <v>1246</v>
      </c>
      <c r="E3210" s="33"/>
      <c r="F3210" s="445">
        <v>643840599.22849798</v>
      </c>
      <c r="G3210" s="75" t="s">
        <v>957</v>
      </c>
      <c r="H3210" s="47">
        <v>429227066.14999998</v>
      </c>
      <c r="I3210" s="336"/>
      <c r="J3210" s="331">
        <f t="shared" si="177"/>
        <v>214613533.07849801</v>
      </c>
      <c r="K3210" s="316">
        <f t="shared" si="178"/>
        <v>15477207345.188665</v>
      </c>
      <c r="L3210" s="233" t="s">
        <v>1917</v>
      </c>
      <c r="M3210" s="332"/>
      <c r="N3210" s="332"/>
    </row>
    <row r="3211" spans="1:14" s="7" customFormat="1" ht="15">
      <c r="A3211" s="81"/>
      <c r="B3211" s="109"/>
      <c r="C3211" s="102" t="s">
        <v>243</v>
      </c>
      <c r="D3211" s="32" t="s">
        <v>1248</v>
      </c>
      <c r="E3211" s="33"/>
      <c r="F3211" s="445">
        <v>722891135.34530628</v>
      </c>
      <c r="G3211" s="75" t="s">
        <v>2001</v>
      </c>
      <c r="H3211" s="47">
        <v>481927423.56999999</v>
      </c>
      <c r="I3211" s="336"/>
      <c r="J3211" s="331">
        <f t="shared" si="177"/>
        <v>240963711.77530628</v>
      </c>
      <c r="K3211" s="316">
        <f t="shared" si="178"/>
        <v>15691820878.267164</v>
      </c>
      <c r="L3211" s="233" t="s">
        <v>1917</v>
      </c>
      <c r="M3211" s="332"/>
      <c r="N3211" s="332"/>
    </row>
    <row r="3212" spans="1:14" s="7" customFormat="1" ht="15">
      <c r="A3212" s="81"/>
      <c r="B3212" s="109"/>
      <c r="C3212" s="102" t="s">
        <v>246</v>
      </c>
      <c r="D3212" s="103" t="s">
        <v>1249</v>
      </c>
      <c r="E3212" s="322"/>
      <c r="F3212" s="445">
        <v>633436539.52950263</v>
      </c>
      <c r="G3212" s="105" t="s">
        <v>1256</v>
      </c>
      <c r="H3212" s="47">
        <f>25323623.69+396967402.66</f>
        <v>422291026.35000002</v>
      </c>
      <c r="J3212" s="331">
        <f t="shared" si="177"/>
        <v>211145513.17950261</v>
      </c>
      <c r="K3212" s="316">
        <f t="shared" si="178"/>
        <v>15932784590.042471</v>
      </c>
      <c r="L3212" s="233" t="s">
        <v>1917</v>
      </c>
      <c r="M3212" s="332"/>
      <c r="N3212" s="332"/>
    </row>
    <row r="3213" spans="1:14" s="7" customFormat="1" ht="15">
      <c r="A3213" s="81"/>
      <c r="B3213" s="109"/>
      <c r="C3213" s="102" t="s">
        <v>522</v>
      </c>
      <c r="D3213" s="103" t="s">
        <v>1250</v>
      </c>
      <c r="E3213" s="322"/>
      <c r="F3213" s="445">
        <v>618604261.69707382</v>
      </c>
      <c r="G3213" s="105" t="s">
        <v>1257</v>
      </c>
      <c r="H3213" s="47">
        <v>412402841.13</v>
      </c>
      <c r="J3213" s="331">
        <f t="shared" si="177"/>
        <v>206201420.56707382</v>
      </c>
      <c r="K3213" s="316">
        <f t="shared" si="178"/>
        <v>16143930103.221973</v>
      </c>
      <c r="L3213" s="233" t="s">
        <v>1917</v>
      </c>
      <c r="M3213" s="332"/>
      <c r="N3213" s="332"/>
    </row>
    <row r="3214" spans="1:14" s="7" customFormat="1" ht="15">
      <c r="A3214" s="81"/>
      <c r="B3214" s="109"/>
      <c r="C3214" s="102" t="s">
        <v>250</v>
      </c>
      <c r="D3214" s="103" t="s">
        <v>113</v>
      </c>
      <c r="E3214" s="322"/>
      <c r="F3214" s="445">
        <v>802085016.77999997</v>
      </c>
      <c r="G3214" s="105" t="s">
        <v>1137</v>
      </c>
      <c r="H3214" s="47">
        <v>534723344.51999998</v>
      </c>
      <c r="I3214" s="336" t="s">
        <v>252</v>
      </c>
      <c r="J3214" s="331">
        <f t="shared" si="177"/>
        <v>267361672.25999999</v>
      </c>
      <c r="K3214" s="316">
        <f t="shared" si="178"/>
        <v>16350131523.789047</v>
      </c>
      <c r="L3214" s="233" t="s">
        <v>1917</v>
      </c>
      <c r="M3214" s="332"/>
      <c r="N3214" s="332"/>
    </row>
    <row r="3215" spans="1:14" s="7" customFormat="1" ht="15">
      <c r="A3215" s="81"/>
      <c r="B3215" s="109"/>
      <c r="C3215" s="111" t="s">
        <v>139</v>
      </c>
      <c r="D3215" s="103" t="s">
        <v>229</v>
      </c>
      <c r="E3215" s="322"/>
      <c r="F3215" s="149">
        <v>554591940.92999995</v>
      </c>
      <c r="G3215" s="105" t="s">
        <v>519</v>
      </c>
      <c r="H3215" s="47">
        <v>369727960.62</v>
      </c>
      <c r="I3215" s="113"/>
      <c r="J3215" s="331">
        <f t="shared" si="177"/>
        <v>184863980.30999994</v>
      </c>
      <c r="K3215" s="316">
        <f t="shared" si="178"/>
        <v>16617493196.049047</v>
      </c>
      <c r="L3215" s="233" t="s">
        <v>1917</v>
      </c>
      <c r="M3215" s="332"/>
      <c r="N3215" s="332"/>
    </row>
    <row r="3216" spans="1:14" s="7" customFormat="1" ht="15">
      <c r="A3216" s="81"/>
      <c r="B3216" s="109"/>
      <c r="C3216" s="42" t="s">
        <v>142</v>
      </c>
      <c r="D3216" s="103" t="s">
        <v>232</v>
      </c>
      <c r="E3216" s="322"/>
      <c r="F3216" s="445">
        <v>634008188.32380998</v>
      </c>
      <c r="G3216" s="105"/>
      <c r="H3216" s="47">
        <v>160011590.38</v>
      </c>
      <c r="I3216" s="435" t="s">
        <v>895</v>
      </c>
      <c r="J3216" s="331">
        <f t="shared" si="177"/>
        <v>473996597.94380999</v>
      </c>
      <c r="K3216" s="316">
        <f t="shared" si="178"/>
        <v>16802357176.359047</v>
      </c>
      <c r="L3216" s="233" t="s">
        <v>1917</v>
      </c>
      <c r="M3216" s="332"/>
      <c r="N3216" s="332"/>
    </row>
    <row r="3217" spans="1:14" s="7" customFormat="1" ht="15">
      <c r="A3217" s="81"/>
      <c r="B3217" s="109"/>
      <c r="C3217" s="42" t="s">
        <v>145</v>
      </c>
      <c r="D3217" s="103" t="s">
        <v>235</v>
      </c>
      <c r="E3217" s="322"/>
      <c r="F3217" s="445">
        <v>599449347.367957</v>
      </c>
      <c r="G3217" s="105"/>
      <c r="H3217" s="47">
        <v>231739599.40000001</v>
      </c>
      <c r="I3217" s="435" t="s">
        <v>1259</v>
      </c>
      <c r="J3217" s="331">
        <f t="shared" si="177"/>
        <v>367709747.96795702</v>
      </c>
      <c r="K3217" s="316">
        <f t="shared" si="178"/>
        <v>17276353774.302856</v>
      </c>
      <c r="L3217" s="233" t="s">
        <v>1917</v>
      </c>
      <c r="M3217" s="332"/>
      <c r="N3217" s="332"/>
    </row>
    <row r="3218" spans="1:14" s="7" customFormat="1" ht="15">
      <c r="A3218" s="81"/>
      <c r="B3218" s="109"/>
      <c r="C3218" s="42" t="s">
        <v>148</v>
      </c>
      <c r="D3218" s="103" t="s">
        <v>237</v>
      </c>
      <c r="E3218" s="322"/>
      <c r="F3218" s="445">
        <v>690360867.51128435</v>
      </c>
      <c r="G3218" s="105" t="s">
        <v>2197</v>
      </c>
      <c r="H3218" s="47">
        <v>657486540.49000001</v>
      </c>
      <c r="I3218" s="336" t="s">
        <v>1352</v>
      </c>
      <c r="J3218" s="331">
        <f t="shared" si="177"/>
        <v>32874327.021284342</v>
      </c>
      <c r="K3218" s="316">
        <f t="shared" si="178"/>
        <v>17644063522.270813</v>
      </c>
      <c r="L3218" s="233"/>
      <c r="M3218" s="332"/>
      <c r="N3218" s="332"/>
    </row>
    <row r="3219" spans="1:14" s="7" customFormat="1" ht="15">
      <c r="A3219" s="81"/>
      <c r="B3219" s="109"/>
      <c r="C3219" s="42" t="s">
        <v>151</v>
      </c>
      <c r="D3219" s="103" t="s">
        <v>33</v>
      </c>
      <c r="E3219" s="322"/>
      <c r="F3219" s="445">
        <v>653232154.65549564</v>
      </c>
      <c r="G3219" s="105" t="s">
        <v>152</v>
      </c>
      <c r="H3219" s="47">
        <v>622125861.58000004</v>
      </c>
      <c r="I3219" s="336" t="s">
        <v>527</v>
      </c>
      <c r="J3219" s="331">
        <f t="shared" si="177"/>
        <v>31106293.075495601</v>
      </c>
      <c r="K3219" s="316">
        <f t="shared" si="178"/>
        <v>17676937849.292099</v>
      </c>
      <c r="L3219" s="233"/>
      <c r="M3219" s="332"/>
      <c r="N3219" s="332"/>
    </row>
    <row r="3220" spans="1:14" s="7" customFormat="1" ht="15">
      <c r="A3220" s="81"/>
      <c r="B3220" s="109"/>
      <c r="C3220" s="42" t="s">
        <v>154</v>
      </c>
      <c r="D3220" s="103" t="s">
        <v>241</v>
      </c>
      <c r="E3220" s="322"/>
      <c r="F3220" s="445">
        <v>470890119.93840587</v>
      </c>
      <c r="G3220" s="105" t="s">
        <v>156</v>
      </c>
      <c r="H3220" s="47">
        <v>358773424.72000003</v>
      </c>
      <c r="I3220" s="336" t="s">
        <v>527</v>
      </c>
      <c r="J3220" s="331">
        <f t="shared" si="177"/>
        <v>112116695.21840584</v>
      </c>
      <c r="K3220" s="316">
        <f t="shared" si="178"/>
        <v>17708044142.367596</v>
      </c>
      <c r="L3220" s="233"/>
      <c r="M3220" s="332"/>
      <c r="N3220" s="332"/>
    </row>
    <row r="3221" spans="1:14" s="7" customFormat="1" ht="15">
      <c r="A3221" s="81"/>
      <c r="B3221" s="109"/>
      <c r="C3221" s="42" t="s">
        <v>158</v>
      </c>
      <c r="D3221" s="103" t="s">
        <v>244</v>
      </c>
      <c r="E3221" s="322"/>
      <c r="F3221" s="445">
        <v>566474965.3589381</v>
      </c>
      <c r="G3221" s="105" t="s">
        <v>160</v>
      </c>
      <c r="H3221" s="47">
        <f>53949996.7+485549970.31</f>
        <v>539499967.00999999</v>
      </c>
      <c r="I3221" s="336" t="s">
        <v>527</v>
      </c>
      <c r="J3221" s="331">
        <f t="shared" si="177"/>
        <v>26974998.348938107</v>
      </c>
      <c r="K3221" s="316">
        <f t="shared" si="178"/>
        <v>17820160837.586002</v>
      </c>
      <c r="L3221" s="55"/>
      <c r="M3221" s="332"/>
      <c r="N3221" s="332"/>
    </row>
    <row r="3222" spans="1:14" s="7" customFormat="1" ht="15">
      <c r="A3222" s="81"/>
      <c r="B3222" s="109"/>
      <c r="C3222" s="42" t="s">
        <v>162</v>
      </c>
      <c r="D3222" s="103" t="s">
        <v>57</v>
      </c>
      <c r="E3222" s="322"/>
      <c r="F3222" s="445">
        <v>612199947.25992894</v>
      </c>
      <c r="G3222" s="105" t="s">
        <v>164</v>
      </c>
      <c r="H3222" s="47">
        <f>58304756.89+524742811.93</f>
        <v>583047568.82000005</v>
      </c>
      <c r="I3222" s="336" t="s">
        <v>1358</v>
      </c>
      <c r="J3222" s="331">
        <f t="shared" si="177"/>
        <v>29152378.439928889</v>
      </c>
      <c r="K3222" s="316">
        <f t="shared" si="178"/>
        <v>17847135835.93494</v>
      </c>
      <c r="L3222" s="39"/>
      <c r="M3222" s="332"/>
      <c r="N3222" s="332"/>
    </row>
    <row r="3223" spans="1:14" s="7" customFormat="1" ht="15">
      <c r="A3223" s="81"/>
      <c r="B3223" s="109"/>
      <c r="C3223" s="42" t="s">
        <v>166</v>
      </c>
      <c r="D3223" s="103" t="s">
        <v>249</v>
      </c>
      <c r="E3223" s="322"/>
      <c r="F3223" s="445">
        <v>588080666.895666</v>
      </c>
      <c r="G3223" s="105" t="s">
        <v>164</v>
      </c>
      <c r="H3223" s="47">
        <f>70009603.2+490067222.41</f>
        <v>560076825.61000001</v>
      </c>
      <c r="I3223" s="336" t="s">
        <v>1607</v>
      </c>
      <c r="J3223" s="331">
        <f t="shared" si="177"/>
        <v>28003841.285665989</v>
      </c>
      <c r="K3223" s="316">
        <f t="shared" si="178"/>
        <v>17876288214.37487</v>
      </c>
      <c r="L3223" s="39"/>
      <c r="M3223" s="332"/>
      <c r="N3223" s="332"/>
    </row>
    <row r="3224" spans="1:14" s="7" customFormat="1" ht="15">
      <c r="A3224" s="81"/>
      <c r="B3224" s="109"/>
      <c r="C3224" s="42" t="s">
        <v>170</v>
      </c>
      <c r="D3224" s="103" t="s">
        <v>249</v>
      </c>
      <c r="E3224" s="322"/>
      <c r="F3224" s="445">
        <v>418154260.46555912</v>
      </c>
      <c r="G3224" s="105" t="s">
        <v>172</v>
      </c>
      <c r="H3224" s="47">
        <f>49780269.1+348461883.72</f>
        <v>398242152.82000005</v>
      </c>
      <c r="I3224" s="336" t="s">
        <v>1205</v>
      </c>
      <c r="J3224" s="331">
        <f t="shared" si="177"/>
        <v>19912107.645559072</v>
      </c>
      <c r="K3224" s="316">
        <f t="shared" si="178"/>
        <v>17904292055.660538</v>
      </c>
      <c r="L3224" s="39"/>
      <c r="M3224" s="332"/>
      <c r="N3224" s="332"/>
    </row>
    <row r="3225" spans="1:14" s="7" customFormat="1" ht="15">
      <c r="A3225" s="81"/>
      <c r="B3225" s="109"/>
      <c r="C3225" s="42" t="s">
        <v>174</v>
      </c>
      <c r="D3225" s="103" t="s">
        <v>253</v>
      </c>
      <c r="E3225" s="322"/>
      <c r="F3225" s="445">
        <v>549467462.97611701</v>
      </c>
      <c r="G3225" s="105" t="s">
        <v>176</v>
      </c>
      <c r="H3225" s="47">
        <f>104660469.13+418641876.56</f>
        <v>523302345.69</v>
      </c>
      <c r="J3225" s="331">
        <f t="shared" si="177"/>
        <v>26165117.286117017</v>
      </c>
      <c r="K3225" s="316">
        <f t="shared" si="178"/>
        <v>17924204163.306095</v>
      </c>
      <c r="L3225" s="39"/>
      <c r="M3225" s="332"/>
      <c r="N3225" s="332"/>
    </row>
    <row r="3226" spans="1:14" s="7" customFormat="1" ht="15">
      <c r="A3226" s="81"/>
      <c r="B3226" s="109"/>
      <c r="C3226" s="42" t="s">
        <v>778</v>
      </c>
      <c r="D3226" s="103" t="s">
        <v>255</v>
      </c>
      <c r="E3226" s="322"/>
      <c r="F3226" s="445">
        <v>570565569.5832715</v>
      </c>
      <c r="G3226" s="105" t="s">
        <v>179</v>
      </c>
      <c r="H3226" s="47">
        <f>108679156.1+434716624.45</f>
        <v>543395780.54999995</v>
      </c>
      <c r="I3226" s="92" t="s">
        <v>165</v>
      </c>
      <c r="J3226" s="331">
        <f t="shared" si="177"/>
        <v>27169789.033271551</v>
      </c>
      <c r="K3226" s="316">
        <f t="shared" si="178"/>
        <v>17950369280.592213</v>
      </c>
      <c r="L3226" s="39"/>
      <c r="M3226" s="332"/>
      <c r="N3226" s="332"/>
    </row>
    <row r="3227" spans="1:14" s="7" customFormat="1" ht="15">
      <c r="A3227" s="81"/>
      <c r="B3227" s="109"/>
      <c r="C3227" s="42" t="s">
        <v>181</v>
      </c>
      <c r="D3227" s="103" t="s">
        <v>258</v>
      </c>
      <c r="E3227" s="322"/>
      <c r="F3227" s="445">
        <v>26949742.984136805</v>
      </c>
      <c r="G3227" s="105" t="s">
        <v>183</v>
      </c>
      <c r="H3227" s="47">
        <f>3849963.29+21816458.5</f>
        <v>25666421.789999999</v>
      </c>
      <c r="I3227" s="92" t="s">
        <v>1016</v>
      </c>
      <c r="J3227" s="331">
        <f t="shared" si="177"/>
        <v>1283321.1941368058</v>
      </c>
      <c r="K3227" s="316">
        <f t="shared" si="178"/>
        <v>17977539069.625484</v>
      </c>
      <c r="L3227" s="39"/>
      <c r="M3227" s="332"/>
      <c r="N3227" s="338"/>
    </row>
    <row r="3228" spans="1:14" s="7" customFormat="1" ht="15">
      <c r="A3228" s="81"/>
      <c r="B3228" s="109"/>
      <c r="C3228" s="42"/>
      <c r="D3228" s="103"/>
      <c r="E3228" s="322"/>
      <c r="F3228" s="445"/>
      <c r="G3228" s="105"/>
      <c r="H3228" s="47">
        <f>19966522+40606263.5+14795494.98+2119535.41+1266181.18+120930.66</f>
        <v>78874927.730000004</v>
      </c>
      <c r="I3228" s="92" t="s">
        <v>1330</v>
      </c>
      <c r="J3228" s="331">
        <f t="shared" si="177"/>
        <v>-78874927.730000004</v>
      </c>
      <c r="K3228" s="316">
        <f t="shared" si="178"/>
        <v>17978822390.819622</v>
      </c>
      <c r="L3228" s="39" t="s">
        <v>2005</v>
      </c>
      <c r="M3228" s="332"/>
      <c r="N3228" s="338"/>
    </row>
    <row r="3229" spans="1:14" s="7" customFormat="1" ht="15">
      <c r="A3229" s="81"/>
      <c r="B3229" s="109"/>
      <c r="C3229" s="42"/>
      <c r="D3229" s="103"/>
      <c r="E3229" s="322"/>
      <c r="F3229" s="445"/>
      <c r="G3229" s="105"/>
      <c r="H3229" s="47">
        <v>323013848.52999997</v>
      </c>
      <c r="I3229" s="92" t="s">
        <v>1066</v>
      </c>
      <c r="J3229" s="331">
        <f t="shared" si="177"/>
        <v>-323013848.52999997</v>
      </c>
      <c r="K3229" s="316">
        <f t="shared" si="178"/>
        <v>17899947463.089622</v>
      </c>
      <c r="L3229" s="39"/>
      <c r="M3229" s="332"/>
      <c r="N3229" s="338"/>
    </row>
    <row r="3230" spans="1:14" s="7" customFormat="1" ht="15">
      <c r="A3230" s="81"/>
      <c r="B3230" s="109"/>
      <c r="C3230" s="42"/>
      <c r="D3230" s="103"/>
      <c r="E3230" s="322"/>
      <c r="F3230" s="445"/>
      <c r="G3230" s="105"/>
      <c r="H3230" s="47">
        <v>89693356.180000007</v>
      </c>
      <c r="I3230" s="92" t="s">
        <v>2139</v>
      </c>
      <c r="J3230" s="331">
        <f t="shared" ref="J3230:J3237" si="179">F3230-H3230</f>
        <v>-89693356.180000007</v>
      </c>
      <c r="K3230" s="316">
        <f t="shared" si="178"/>
        <v>17576933614.559624</v>
      </c>
      <c r="L3230" s="39"/>
      <c r="M3230" s="332"/>
      <c r="N3230" s="338"/>
    </row>
    <row r="3231" spans="1:14" s="7" customFormat="1" ht="15">
      <c r="A3231" s="81"/>
      <c r="B3231" s="109"/>
      <c r="C3231" s="42"/>
      <c r="D3231" s="103"/>
      <c r="E3231" s="322"/>
      <c r="F3231" s="445"/>
      <c r="G3231" s="105"/>
      <c r="H3231" s="47">
        <v>1358066558.24</v>
      </c>
      <c r="I3231" s="92" t="s">
        <v>2141</v>
      </c>
      <c r="J3231" s="331">
        <f t="shared" si="179"/>
        <v>-1358066558.24</v>
      </c>
      <c r="K3231" s="316">
        <f t="shared" ref="K3231:K3238" si="180">K3230+J3230</f>
        <v>17487240258.379623</v>
      </c>
      <c r="L3231" s="39"/>
      <c r="M3231" s="332"/>
      <c r="N3231" s="338"/>
    </row>
    <row r="3232" spans="1:14" s="7" customFormat="1" ht="15">
      <c r="A3232" s="81"/>
      <c r="B3232" s="109"/>
      <c r="C3232" s="42"/>
      <c r="D3232" s="103"/>
      <c r="E3232" s="322"/>
      <c r="F3232" s="445"/>
      <c r="G3232" s="105"/>
      <c r="H3232" s="338">
        <v>337817372.2600174</v>
      </c>
      <c r="I3232" s="92"/>
      <c r="J3232" s="331">
        <f t="shared" si="179"/>
        <v>-337817372.2600174</v>
      </c>
      <c r="K3232" s="316">
        <f t="shared" si="180"/>
        <v>16129173700.139624</v>
      </c>
      <c r="L3232" s="39"/>
      <c r="M3232" s="424"/>
      <c r="N3232" s="338"/>
    </row>
    <row r="3233" spans="1:14" s="7" customFormat="1" ht="15">
      <c r="A3233" s="81"/>
      <c r="B3233" s="109"/>
      <c r="C3233" s="42"/>
      <c r="D3233" s="103"/>
      <c r="E3233" s="322"/>
      <c r="F3233" s="445"/>
      <c r="G3233" s="105"/>
      <c r="H3233" s="47">
        <v>329271700.31</v>
      </c>
      <c r="I3233" s="267">
        <v>43927</v>
      </c>
      <c r="J3233" s="331">
        <f t="shared" si="179"/>
        <v>-329271700.31</v>
      </c>
      <c r="K3233" s="316">
        <f t="shared" si="180"/>
        <v>15791356327.879606</v>
      </c>
      <c r="L3233" s="39"/>
      <c r="M3233" s="332"/>
      <c r="N3233" s="338"/>
    </row>
    <row r="3234" spans="1:14" s="7" customFormat="1" ht="15">
      <c r="A3234" s="81"/>
      <c r="B3234" s="109"/>
      <c r="C3234" s="42"/>
      <c r="D3234" s="103"/>
      <c r="E3234" s="322"/>
      <c r="F3234" s="445"/>
      <c r="G3234" s="105"/>
      <c r="H3234" s="47">
        <v>329271700.31</v>
      </c>
      <c r="I3234" s="267" t="s">
        <v>1336</v>
      </c>
      <c r="J3234" s="331">
        <f t="shared" si="179"/>
        <v>-329271700.31</v>
      </c>
      <c r="K3234" s="316">
        <f t="shared" si="180"/>
        <v>15462084627.569607</v>
      </c>
      <c r="L3234" s="39"/>
      <c r="M3234" s="332"/>
      <c r="N3234" s="338"/>
    </row>
    <row r="3235" spans="1:14" s="7" customFormat="1" ht="15">
      <c r="A3235" s="81"/>
      <c r="B3235" s="109"/>
      <c r="C3235" s="42"/>
      <c r="D3235" s="103"/>
      <c r="E3235" s="322"/>
      <c r="F3235" s="445"/>
      <c r="G3235" s="105"/>
      <c r="H3235" s="47">
        <v>96726854.689999998</v>
      </c>
      <c r="J3235" s="331">
        <f t="shared" si="179"/>
        <v>-96726854.689999998</v>
      </c>
      <c r="K3235" s="316">
        <f t="shared" si="180"/>
        <v>15132812927.259607</v>
      </c>
      <c r="L3235" s="39"/>
      <c r="M3235" s="332"/>
      <c r="N3235" s="338"/>
    </row>
    <row r="3236" spans="1:14" s="7" customFormat="1" ht="15">
      <c r="A3236" s="81"/>
      <c r="B3236" s="109"/>
      <c r="C3236" s="42"/>
      <c r="D3236" s="103"/>
      <c r="E3236" s="322"/>
      <c r="F3236" s="445"/>
      <c r="G3236" s="105"/>
      <c r="H3236" s="47">
        <v>188211148.58000001</v>
      </c>
      <c r="I3236" s="267"/>
      <c r="J3236" s="331">
        <f t="shared" si="179"/>
        <v>-188211148.58000001</v>
      </c>
      <c r="K3236" s="316">
        <f t="shared" si="180"/>
        <v>15036086072.569607</v>
      </c>
      <c r="L3236" s="39"/>
      <c r="M3236" s="332"/>
      <c r="N3236" s="338"/>
    </row>
    <row r="3237" spans="1:14" s="7" customFormat="1" ht="15">
      <c r="A3237" s="81"/>
      <c r="B3237" s="109"/>
      <c r="C3237" s="42"/>
      <c r="D3237" s="103"/>
      <c r="E3237" s="322"/>
      <c r="F3237" s="445"/>
      <c r="G3237" s="105"/>
      <c r="H3237" s="47">
        <v>56497755.43</v>
      </c>
      <c r="I3237" s="267"/>
      <c r="J3237" s="331">
        <f t="shared" si="179"/>
        <v>-56497755.43</v>
      </c>
      <c r="K3237" s="316">
        <f t="shared" si="180"/>
        <v>14847874923.989607</v>
      </c>
      <c r="L3237" s="39"/>
      <c r="M3237" s="332"/>
      <c r="N3237" s="338"/>
    </row>
    <row r="3238" spans="1:14" s="7" customFormat="1" ht="15">
      <c r="A3238" s="81"/>
      <c r="B3238" s="335" t="s">
        <v>2210</v>
      </c>
      <c r="C3238" s="313"/>
      <c r="D3238" s="327"/>
      <c r="E3238" s="328"/>
      <c r="F3238" s="329"/>
      <c r="G3238" s="336"/>
      <c r="H3238" s="115"/>
      <c r="I3238" s="336"/>
      <c r="J3238" s="331"/>
      <c r="K3238" s="65">
        <f t="shared" si="180"/>
        <v>14791377168.559607</v>
      </c>
      <c r="L3238" s="233"/>
      <c r="M3238" s="332"/>
    </row>
    <row r="3239" spans="1:14" s="7" customFormat="1" ht="15">
      <c r="A3239" s="30"/>
      <c r="B3239" s="30"/>
      <c r="D3239" s="51"/>
      <c r="E3239" s="52"/>
      <c r="F3239" s="53"/>
      <c r="H3239" s="54"/>
      <c r="L3239" s="55"/>
    </row>
    <row r="3240" spans="1:14" s="7" customFormat="1" ht="15">
      <c r="A3240" s="30"/>
      <c r="B3240" s="30"/>
      <c r="D3240" s="51"/>
      <c r="E3240" s="52"/>
      <c r="F3240" s="53"/>
      <c r="H3240" s="54"/>
      <c r="L3240" s="55"/>
    </row>
    <row r="3241" spans="1:14" s="7" customFormat="1" ht="15">
      <c r="A3241" s="30"/>
      <c r="B3241" s="30" t="s">
        <v>2211</v>
      </c>
      <c r="D3241" s="51"/>
      <c r="E3241" s="52"/>
      <c r="F3241" s="53"/>
      <c r="H3241" s="54"/>
      <c r="K3241" s="446">
        <f>K3238+K3162+K3090+K3018+K2972+K2949+K2944</f>
        <v>69442272287.191681</v>
      </c>
      <c r="L3241" s="55"/>
    </row>
    <row r="3242" spans="1:14" s="7" customFormat="1" ht="15">
      <c r="A3242" s="30"/>
      <c r="B3242" s="447"/>
      <c r="D3242" s="51"/>
      <c r="E3242" s="52"/>
      <c r="F3242" s="53"/>
      <c r="H3242" s="54"/>
      <c r="K3242" s="448"/>
      <c r="L3242" s="55"/>
    </row>
    <row r="3243" spans="1:14" s="7" customFormat="1" ht="15">
      <c r="A3243" s="46"/>
      <c r="B3243" s="449" t="s">
        <v>2212</v>
      </c>
      <c r="D3243" s="51"/>
      <c r="E3243" s="52"/>
      <c r="F3243" s="53"/>
      <c r="H3243" s="54"/>
      <c r="K3243" s="450">
        <f>K3241+K2872+K2460</f>
        <v>187892005787.99216</v>
      </c>
      <c r="L3243" s="283"/>
      <c r="N3243" s="55"/>
    </row>
    <row r="3244" spans="1:14" s="7" customFormat="1" ht="15.75" thickBot="1">
      <c r="A3244" s="46"/>
      <c r="B3244" s="30"/>
      <c r="C3244" s="451"/>
      <c r="D3244" s="452"/>
      <c r="E3244" s="453"/>
      <c r="F3244" s="454"/>
      <c r="G3244" s="451"/>
      <c r="H3244" s="455"/>
      <c r="I3244" s="451"/>
      <c r="J3244" s="451"/>
      <c r="K3244" s="30"/>
      <c r="L3244" s="283"/>
    </row>
    <row r="3245" spans="1:14" s="19" customFormat="1" ht="18.75" thickBot="1">
      <c r="A3245" s="456"/>
      <c r="B3245" s="457" t="s">
        <v>2213</v>
      </c>
      <c r="C3245" s="458"/>
      <c r="D3245" s="459"/>
      <c r="E3245" s="460"/>
      <c r="F3245" s="461"/>
      <c r="G3245" s="458"/>
      <c r="H3245" s="462"/>
      <c r="I3245" s="458"/>
      <c r="J3245" s="458"/>
      <c r="K3245" s="463">
        <f>K3243+K2453</f>
        <v>268072844630.52612</v>
      </c>
      <c r="L3245" s="464"/>
    </row>
    <row r="3246" spans="1:14" s="7" customFormat="1" ht="15">
      <c r="A3246" s="30"/>
      <c r="B3246" s="465"/>
      <c r="C3246" s="466"/>
      <c r="D3246" s="467"/>
      <c r="E3246" s="468"/>
      <c r="F3246" s="469"/>
      <c r="G3246" s="466"/>
      <c r="H3246" s="470"/>
      <c r="I3246" s="466"/>
      <c r="J3246" s="466"/>
      <c r="K3246" s="466"/>
      <c r="L3246" s="55"/>
    </row>
    <row r="3247" spans="1:14" s="7" customFormat="1" ht="15">
      <c r="A3247" s="30"/>
      <c r="B3247" s="30"/>
      <c r="D3247" s="51"/>
      <c r="E3247" s="52"/>
      <c r="F3247" s="53"/>
      <c r="H3247" s="54"/>
      <c r="L3247" s="55"/>
    </row>
    <row r="3248" spans="1:14" s="7" customFormat="1" ht="15">
      <c r="A3248" s="30"/>
      <c r="B3248" s="30"/>
      <c r="D3248" s="51"/>
      <c r="E3248" s="52"/>
      <c r="F3248" s="53"/>
      <c r="H3248" s="54"/>
      <c r="L3248" s="55"/>
    </row>
  </sheetData>
  <mergeCells count="3">
    <mergeCell ref="A1:L1"/>
    <mergeCell ref="A2:L2"/>
    <mergeCell ref="B2457:O2457"/>
  </mergeCell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REPORT (2)</vt:lpstr>
      <vt:lpstr>THE AGE OF ANALYSIS</vt:lpstr>
      <vt:lpstr>WEEKLY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2021-06-23T12:05:19Z</dcterms:created>
  <dcterms:modified xsi:type="dcterms:W3CDTF">2021-08-12T11:17:43Z</dcterms:modified>
</cp:coreProperties>
</file>