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b00b54ad71f52/Documentos/UNI/4A/Disseny aeronaus/Avions/Treball/MAIN/"/>
    </mc:Choice>
  </mc:AlternateContent>
  <xr:revisionPtr revIDLastSave="2103" documentId="8_{A8413743-DCD1-4BC4-8CA5-8EAF52284B27}" xr6:coauthVersionLast="47" xr6:coauthVersionMax="47" xr10:uidLastSave="{82A198A1-7DD8-48F1-8778-EF31C45018B1}"/>
  <bookViews>
    <workbookView xWindow="12075" yWindow="1935" windowWidth="18870" windowHeight="17400" activeTab="1" xr2:uid="{C4CA2FFF-E566-4F1C-B649-D68A7CA8B244}"/>
  </bookViews>
  <sheets>
    <sheet name="FULLA NETA" sheetId="2" r:id="rId1"/>
    <sheet name="Centrad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3" l="1"/>
  <c r="G17" i="3" s="1"/>
  <c r="N5" i="2"/>
  <c r="M5" i="2"/>
  <c r="K5" i="2"/>
  <c r="J5" i="2"/>
  <c r="I5" i="2"/>
  <c r="G5" i="2"/>
  <c r="F5" i="2"/>
  <c r="E15" i="3"/>
  <c r="I25" i="2"/>
  <c r="F21" i="3" s="1"/>
  <c r="G11" i="3" s="1"/>
  <c r="I20" i="3"/>
  <c r="F16" i="2"/>
  <c r="J20" i="3" s="1"/>
  <c r="E10" i="3"/>
  <c r="J23" i="3"/>
  <c r="E3" i="3" s="1"/>
  <c r="D16" i="2"/>
  <c r="C9" i="3"/>
  <c r="E9" i="3"/>
  <c r="C8" i="3"/>
  <c r="C7" i="3"/>
  <c r="C6" i="3"/>
  <c r="C5" i="3"/>
  <c r="C4" i="3"/>
  <c r="C3" i="3"/>
  <c r="E16" i="2"/>
  <c r="J22" i="3" s="1"/>
  <c r="E25" i="2"/>
  <c r="D25" i="2"/>
  <c r="C25" i="2"/>
  <c r="N11" i="2"/>
  <c r="N3" i="2"/>
  <c r="P11" i="2"/>
  <c r="M6" i="2"/>
  <c r="N6" i="2"/>
  <c r="H7" i="2"/>
  <c r="I3" i="2"/>
  <c r="E7" i="2"/>
  <c r="D7" i="2"/>
  <c r="C7" i="2"/>
  <c r="J3" i="2"/>
  <c r="P7" i="2"/>
  <c r="P10" i="2" s="1"/>
  <c r="P13" i="2" s="1"/>
  <c r="M4" i="2"/>
  <c r="K4" i="2"/>
  <c r="J4" i="2"/>
  <c r="I4" i="2"/>
  <c r="G4" i="2"/>
  <c r="F4" i="2"/>
  <c r="M3" i="2"/>
  <c r="K3" i="2"/>
  <c r="G3" i="2"/>
  <c r="F3" i="2"/>
  <c r="C21" i="3" l="1"/>
  <c r="L5" i="2"/>
  <c r="O5" i="2"/>
  <c r="K20" i="3"/>
  <c r="G8" i="3"/>
  <c r="G9" i="3"/>
  <c r="F24" i="3"/>
  <c r="I7" i="2"/>
  <c r="L4" i="2"/>
  <c r="L3" i="2"/>
  <c r="E7" i="3"/>
  <c r="E6" i="3"/>
  <c r="E5" i="3"/>
  <c r="E4" i="3"/>
  <c r="E8" i="3"/>
  <c r="O6" i="2"/>
  <c r="G13" i="2"/>
  <c r="L6" i="2"/>
  <c r="L7" i="2"/>
  <c r="F13" i="2"/>
  <c r="F7" i="2"/>
  <c r="O3" i="2"/>
  <c r="G7" i="2"/>
  <c r="N7" i="2" s="1"/>
  <c r="J7" i="2"/>
  <c r="N4" i="2"/>
  <c r="O4" i="2" s="1"/>
  <c r="M7" i="2"/>
  <c r="C19" i="3" l="1"/>
  <c r="C20" i="3" s="1"/>
  <c r="I22" i="3"/>
  <c r="K22" i="3" s="1"/>
  <c r="J13" i="2"/>
  <c r="H16" i="2" s="1"/>
  <c r="O7" i="2"/>
  <c r="I16" i="2" l="1"/>
  <c r="J21" i="3"/>
  <c r="E11" i="3"/>
  <c r="C22" i="3"/>
  <c r="K13" i="2"/>
  <c r="I21" i="3" l="1"/>
  <c r="K21" i="3" s="1"/>
  <c r="F11" i="3"/>
  <c r="F19" i="3"/>
  <c r="F20" i="3" s="1"/>
  <c r="F22" i="3" s="1"/>
  <c r="I23" i="3"/>
  <c r="K2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Elías Marín Sotil</author>
    <author>tc={EA98C9FD-3B09-434E-AA3D-FA5369D05EF9}</author>
    <author>Elías Marín</author>
  </authors>
  <commentList>
    <comment ref="H7" authorId="0" shapeId="0" xr:uid="{E71AAEBA-7A7E-4892-986D-170056020279}">
      <text>
        <r>
          <rPr>
            <sz val="11"/>
            <color theme="1"/>
            <rFont val="Calibri"/>
            <family val="2"/>
            <scheme val="minor"/>
          </rPr>
          <t xml:space="preserve">Cogemos este valor como MFW de nuestro avion
</t>
        </r>
      </text>
    </comment>
    <comment ref="P10" authorId="1" shapeId="0" xr:uid="{EA98C9FD-3B09-434E-AA3D-FA5369D05EF9}">
      <text>
        <t>[Threaded comment]
Your version of Excel allows you to read this threaded comment; however, any edits to it will get removed if the file is opened in a newer version of Excel. Learn more: https://go.microsoft.com/fwlink/?linkid=870924
Comment:
    De donde la has sacado?
Reply:
    ec. 4.25</t>
      </text>
    </comment>
    <comment ref="K12" authorId="2" shapeId="0" xr:uid="{1DCC44BC-8DFF-4B6C-BEA4-CB27E4E2F369}">
      <text>
        <r>
          <rPr>
            <b/>
            <sz val="9"/>
            <color indexed="81"/>
            <rFont val="Tahoma"/>
            <family val="2"/>
          </rPr>
          <t>Incluye reserva de fuel</t>
        </r>
      </text>
    </comment>
    <comment ref="E15" authorId="2" shapeId="0" xr:uid="{BC21181D-0C42-4471-A93A-4858E20E8EEB}">
      <text>
        <r>
          <rPr>
            <b/>
            <sz val="9"/>
            <color indexed="81"/>
            <rFont val="Tahoma"/>
            <family val="2"/>
          </rPr>
          <t xml:space="preserve">Utilizando formula libro 4.26 pag 135
Revisar pq hay que resolver dos eq para que cuadre el MTOW
</t>
        </r>
      </text>
    </comment>
    <comment ref="F16" authorId="2" shapeId="0" xr:uid="{535D54C9-A1A1-4895-A96A-05016AF5AB32}">
      <text>
        <r>
          <rPr>
            <b/>
            <sz val="9"/>
            <color indexed="81"/>
            <rFont val="Tahoma"/>
            <charset val="1"/>
          </rPr>
          <t>40 pasajeros:
78kg por pasajeros
15kg equipaje por pasajero
3 crew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tc={E243A51A-0F2C-42AA-A574-54A86C4BCB7E}</author>
    <author>tc={0ABBDDFB-FC05-4932-B015-875DCCBD9DF7}</author>
  </authors>
  <commentList>
    <comment ref="C2" authorId="0" shapeId="0" xr:uid="{E243A51A-0F2C-42AA-A574-54A86C4BCB7E}">
      <text>
        <t>[Threaded comment]
Your version of Excel allows you to read this threaded comment; however, any edits to it will get removed if the file is opened in a newer version of Excel. Learn more: https://go.microsoft.com/fwlink/?linkid=870924
Comment:
    pag 285-298 del PDF Torenbeek útils!
Reply:
    donen weights, no posicions però still</t>
      </text>
    </comment>
    <comment ref="B11" authorId="1" shapeId="0" xr:uid="{0ABBDDFB-FC05-4932-B015-875DCCBD9DF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Paràmetres que varien el CoM durant el vol. Sadraey pg 608 del PDF.</t>
      </text>
    </comment>
  </commentList>
</comments>
</file>

<file path=xl/sharedStrings.xml><?xml version="1.0" encoding="utf-8"?>
<sst xmlns="http://schemas.openxmlformats.org/spreadsheetml/2006/main" count="101" uniqueCount="74">
  <si>
    <t>MTOW [kg]</t>
  </si>
  <si>
    <t>OEW [kg]</t>
  </si>
  <si>
    <t>MPL [kg]</t>
  </si>
  <si>
    <t>PL [kg]</t>
  </si>
  <si>
    <t>FW [kg]</t>
  </si>
  <si>
    <t>MFW [kg]</t>
  </si>
  <si>
    <t>α [-]</t>
  </si>
  <si>
    <t>Fuel [kg]</t>
  </si>
  <si>
    <t>Rango [m]</t>
  </si>
  <si>
    <t>Cruise (P5)</t>
  </si>
  <si>
    <t>OEW/MTOW</t>
  </si>
  <si>
    <t>FW/MTOW</t>
  </si>
  <si>
    <t>MTOW</t>
  </si>
  <si>
    <t xml:space="preserve">V clean stall </t>
  </si>
  <si>
    <t>Dash-7 STOL</t>
  </si>
  <si>
    <t xml:space="preserve">Do328 </t>
  </si>
  <si>
    <t>CASA 295</t>
  </si>
  <si>
    <t>Media</t>
  </si>
  <si>
    <t>V_Emax</t>
  </si>
  <si>
    <t>Weight fractions</t>
  </si>
  <si>
    <t>C</t>
  </si>
  <si>
    <t>E</t>
  </si>
  <si>
    <t>Engine start (P1)</t>
  </si>
  <si>
    <t>Taxi(P2)</t>
  </si>
  <si>
    <t>Take-off (P3)</t>
  </si>
  <si>
    <t>Climb (P4)</t>
  </si>
  <si>
    <t>Loiter (P6)</t>
  </si>
  <si>
    <t>Descend (P7)</t>
  </si>
  <si>
    <t>Ldg taxi sd (P8)</t>
  </si>
  <si>
    <t>Multi. coeficients</t>
  </si>
  <si>
    <t>Fuel-weight ratio</t>
  </si>
  <si>
    <t xml:space="preserve">eta_p </t>
  </si>
  <si>
    <t>L/D max</t>
  </si>
  <si>
    <t>AR</t>
  </si>
  <si>
    <t>MTOW recalculated</t>
  </si>
  <si>
    <t>Avio disseny</t>
  </si>
  <si>
    <t>Atr-42-400</t>
  </si>
  <si>
    <t>Wing area [m^2]</t>
  </si>
  <si>
    <t>ROC [ft/min]</t>
  </si>
  <si>
    <t>Ceiling [FL]</t>
  </si>
  <si>
    <t>S [m^2]</t>
  </si>
  <si>
    <t>P [kW]</t>
  </si>
  <si>
    <t>CMA</t>
  </si>
  <si>
    <t>Calculado</t>
  </si>
  <si>
    <t>Teoria</t>
  </si>
  <si>
    <t>Diferencia</t>
  </si>
  <si>
    <t>Weight fokker 27/200</t>
  </si>
  <si>
    <t>% MTOW</t>
  </si>
  <si>
    <t>Weight max</t>
  </si>
  <si>
    <t>Weight min</t>
  </si>
  <si>
    <t>X position</t>
  </si>
  <si>
    <t>PL</t>
  </si>
  <si>
    <t>Wing</t>
  </si>
  <si>
    <t>FW</t>
  </si>
  <si>
    <t>Tail</t>
  </si>
  <si>
    <t>OEW</t>
  </si>
  <si>
    <t>Fuselage</t>
  </si>
  <si>
    <t>Landing gear</t>
  </si>
  <si>
    <t>Surface controls</t>
  </si>
  <si>
    <t>Nacelle</t>
  </si>
  <si>
    <t>Engine</t>
  </si>
  <si>
    <t>Pilots</t>
  </si>
  <si>
    <t>Fuel</t>
  </si>
  <si>
    <t>Crew</t>
  </si>
  <si>
    <t>Passengers</t>
  </si>
  <si>
    <t>Xcg</t>
  </si>
  <si>
    <t>x b.a.</t>
  </si>
  <si>
    <t>Xcg barra</t>
  </si>
  <si>
    <t>Baggage Fwd</t>
  </si>
  <si>
    <t>Baggage rear</t>
  </si>
  <si>
    <t>1a fila pas</t>
  </si>
  <si>
    <t>ultima fila pas</t>
  </si>
  <si>
    <t>X</t>
  </si>
  <si>
    <t>NO TOCAR LA POSICION DE LAS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</si>
</sst>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"/>
    <numFmt numFmtId="165" formatCode="0.0000"/>
    <numFmt numFmtId="166" formatCode="0.0"/>
    <numFmt numFmtId="167" formatCode="0.0%"/>
    <numFmt numFmtId="168" formatCode="0.000"/>
    <numFmt numFmtId="169" formatCode="0.000000"/>
    <numFmt numFmtId="170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</font>
    <font>
      <sz val="11"/>
      <color rgb="FF444444"/>
      <name val="Calibri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2" fontId="0" fillId="0" borderId="2" xfId="0" applyNumberFormat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/>
    <xf numFmtId="0" fontId="3" fillId="0" borderId="0" xfId="1"/>
    <xf numFmtId="2" fontId="0" fillId="3" borderId="1" xfId="0" applyNumberFormat="1" applyFill="1" applyBorder="1"/>
    <xf numFmtId="2" fontId="0" fillId="3" borderId="3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0" fontId="1" fillId="0" borderId="2" xfId="0" applyFont="1" applyBorder="1"/>
    <xf numFmtId="0" fontId="1" fillId="0" borderId="3" xfId="0" applyFont="1" applyBorder="1"/>
    <xf numFmtId="2" fontId="0" fillId="0" borderId="3" xfId="0" applyNumberFormat="1" applyBorder="1"/>
    <xf numFmtId="0" fontId="1" fillId="0" borderId="9" xfId="0" applyFont="1" applyBorder="1"/>
    <xf numFmtId="1" fontId="0" fillId="3" borderId="5" xfId="0" applyNumberFormat="1" applyFill="1" applyBorder="1"/>
    <xf numFmtId="165" fontId="4" fillId="3" borderId="2" xfId="0" applyNumberFormat="1" applyFont="1" applyFill="1" applyBorder="1"/>
    <xf numFmtId="0" fontId="4" fillId="0" borderId="0" xfId="0" applyFont="1"/>
    <xf numFmtId="0" fontId="0" fillId="0" borderId="2" xfId="0" applyBorder="1"/>
    <xf numFmtId="164" fontId="0" fillId="0" borderId="2" xfId="0" applyNumberFormat="1" applyBorder="1"/>
    <xf numFmtId="0" fontId="0" fillId="0" borderId="11" xfId="0" applyBorder="1"/>
    <xf numFmtId="1" fontId="0" fillId="0" borderId="2" xfId="0" applyNumberFormat="1" applyBorder="1"/>
    <xf numFmtId="1" fontId="0" fillId="3" borderId="12" xfId="0" applyNumberFormat="1" applyFill="1" applyBorder="1"/>
    <xf numFmtId="2" fontId="0" fillId="0" borderId="13" xfId="0" applyNumberFormat="1" applyBorder="1"/>
    <xf numFmtId="0" fontId="0" fillId="0" borderId="3" xfId="0" applyBorder="1"/>
    <xf numFmtId="165" fontId="0" fillId="0" borderId="2" xfId="0" applyNumberFormat="1" applyBorder="1"/>
    <xf numFmtId="0" fontId="0" fillId="0" borderId="8" xfId="0" applyBorder="1"/>
    <xf numFmtId="0" fontId="0" fillId="0" borderId="5" xfId="0" applyBorder="1"/>
    <xf numFmtId="2" fontId="0" fillId="4" borderId="5" xfId="0" applyNumberFormat="1" applyFill="1" applyBorder="1"/>
    <xf numFmtId="2" fontId="0" fillId="4" borderId="1" xfId="0" applyNumberFormat="1" applyFill="1" applyBorder="1"/>
    <xf numFmtId="2" fontId="0" fillId="4" borderId="3" xfId="0" applyNumberFormat="1" applyFill="1" applyBorder="1"/>
    <xf numFmtId="2" fontId="0" fillId="0" borderId="7" xfId="0" applyNumberFormat="1" applyBorder="1"/>
    <xf numFmtId="0" fontId="1" fillId="0" borderId="17" xfId="0" applyFont="1" applyBorder="1"/>
    <xf numFmtId="0" fontId="0" fillId="0" borderId="17" xfId="0" applyBorder="1"/>
    <xf numFmtId="0" fontId="1" fillId="5" borderId="17" xfId="0" applyFont="1" applyFill="1" applyBorder="1"/>
    <xf numFmtId="0" fontId="1" fillId="5" borderId="1" xfId="0" applyFont="1" applyFill="1" applyBorder="1"/>
    <xf numFmtId="166" fontId="0" fillId="0" borderId="13" xfId="0" applyNumberFormat="1" applyBorder="1"/>
    <xf numFmtId="166" fontId="0" fillId="0" borderId="1" xfId="0" applyNumberFormat="1" applyBorder="1"/>
    <xf numFmtId="2" fontId="0" fillId="0" borderId="17" xfId="0" applyNumberFormat="1" applyBorder="1"/>
    <xf numFmtId="166" fontId="0" fillId="0" borderId="17" xfId="0" applyNumberFormat="1" applyBorder="1"/>
    <xf numFmtId="167" fontId="0" fillId="0" borderId="13" xfId="2" applyNumberFormat="1" applyFont="1" applyBorder="1"/>
    <xf numFmtId="167" fontId="0" fillId="0" borderId="1" xfId="2" applyNumberFormat="1" applyFont="1" applyBorder="1"/>
    <xf numFmtId="2" fontId="0" fillId="0" borderId="7" xfId="0" applyNumberFormat="1" applyBorder="1" applyAlignment="1">
      <alignment horizontal="center"/>
    </xf>
    <xf numFmtId="167" fontId="0" fillId="0" borderId="0" xfId="0" applyNumberFormat="1"/>
    <xf numFmtId="9" fontId="0" fillId="0" borderId="0" xfId="2" applyFont="1"/>
    <xf numFmtId="166" fontId="0" fillId="0" borderId="0" xfId="0" applyNumberFormat="1"/>
    <xf numFmtId="2" fontId="0" fillId="6" borderId="1" xfId="0" applyNumberFormat="1" applyFill="1" applyBorder="1"/>
    <xf numFmtId="165" fontId="0" fillId="0" borderId="0" xfId="0" applyNumberFormat="1"/>
    <xf numFmtId="0" fontId="1" fillId="5" borderId="1" xfId="0" applyFont="1" applyFill="1" applyBorder="1" applyAlignment="1">
      <alignment wrapText="1"/>
    </xf>
    <xf numFmtId="0" fontId="6" fillId="0" borderId="0" xfId="0" quotePrefix="1" applyFont="1"/>
    <xf numFmtId="170" fontId="0" fillId="6" borderId="17" xfId="0" applyNumberFormat="1" applyFill="1" applyBorder="1"/>
    <xf numFmtId="0" fontId="0" fillId="0" borderId="1" xfId="0" applyBorder="1" applyAlignment="1">
      <alignment horizontal="center"/>
    </xf>
    <xf numFmtId="168" fontId="0" fillId="6" borderId="17" xfId="0" applyNumberFormat="1" applyFill="1" applyBorder="1"/>
    <xf numFmtId="9" fontId="0" fillId="6" borderId="18" xfId="2" applyFont="1" applyFill="1" applyBorder="1"/>
    <xf numFmtId="2" fontId="10" fillId="0" borderId="0" xfId="0" applyNumberFormat="1" applyFont="1"/>
    <xf numFmtId="2" fontId="0" fillId="0" borderId="3" xfId="0" applyNumberFormat="1" applyBorder="1" applyAlignment="1">
      <alignment horizontal="right"/>
    </xf>
    <xf numFmtId="2" fontId="0" fillId="0" borderId="17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  <xf numFmtId="168" fontId="0" fillId="0" borderId="1" xfId="0" applyNumberFormat="1" applyBorder="1"/>
    <xf numFmtId="2" fontId="0" fillId="0" borderId="4" xfId="0" applyNumberFormat="1" applyBorder="1"/>
    <xf numFmtId="0" fontId="0" fillId="0" borderId="0" xfId="0" applyFill="1" applyBorder="1"/>
    <xf numFmtId="0" fontId="1" fillId="0" borderId="0" xfId="0" applyFont="1" applyFill="1" applyBorder="1"/>
    <xf numFmtId="2" fontId="0" fillId="0" borderId="0" xfId="0" applyNumberFormat="1" applyFill="1" applyBorder="1"/>
    <xf numFmtId="169" fontId="0" fillId="0" borderId="0" xfId="0" applyNumberFormat="1" applyFill="1" applyBorder="1"/>
    <xf numFmtId="168" fontId="0" fillId="0" borderId="0" xfId="0" applyNumberFormat="1" applyFill="1" applyBorder="1"/>
    <xf numFmtId="170" fontId="0" fillId="0" borderId="0" xfId="0" applyNumberFormat="1" applyFill="1" applyBorder="1"/>
    <xf numFmtId="9" fontId="0" fillId="0" borderId="0" xfId="2" applyFont="1" applyFill="1" applyBorder="1"/>
    <xf numFmtId="166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2" fontId="1" fillId="6" borderId="3" xfId="0" applyNumberFormat="1" applyFont="1" applyFill="1" applyBorder="1"/>
    <xf numFmtId="2" fontId="0" fillId="0" borderId="0" xfId="0" applyNumberFormat="1" applyFont="1"/>
    <xf numFmtId="0" fontId="1" fillId="0" borderId="13" xfId="0" applyFont="1" applyBorder="1"/>
    <xf numFmtId="0" fontId="1" fillId="0" borderId="6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0" xfId="0" applyFont="1" applyBorder="1"/>
    <xf numFmtId="1" fontId="0" fillId="3" borderId="1" xfId="0" applyNumberFormat="1" applyFill="1" applyBorder="1"/>
    <xf numFmtId="165" fontId="4" fillId="3" borderId="1" xfId="0" applyNumberFormat="1" applyFont="1" applyFill="1" applyBorder="1"/>
    <xf numFmtId="168" fontId="0" fillId="0" borderId="2" xfId="0" applyNumberFormat="1" applyBorder="1"/>
    <xf numFmtId="168" fontId="6" fillId="0" borderId="2" xfId="0" applyNumberFormat="1" applyFont="1" applyBorder="1"/>
    <xf numFmtId="0" fontId="5" fillId="0" borderId="5" xfId="0" applyFont="1" applyBorder="1"/>
    <xf numFmtId="0" fontId="5" fillId="0" borderId="19" xfId="0" applyFont="1" applyBorder="1"/>
    <xf numFmtId="0" fontId="1" fillId="0" borderId="11" xfId="0" applyFont="1" applyBorder="1"/>
    <xf numFmtId="0" fontId="1" fillId="0" borderId="5" xfId="0" applyFont="1" applyBorder="1"/>
    <xf numFmtId="0" fontId="0" fillId="7" borderId="1" xfId="0" applyFill="1" applyBorder="1"/>
    <xf numFmtId="2" fontId="1" fillId="6" borderId="1" xfId="0" applyNumberFormat="1" applyFont="1" applyFill="1" applyBorder="1"/>
    <xf numFmtId="0" fontId="1" fillId="6" borderId="17" xfId="0" applyFont="1" applyFill="1" applyBorder="1"/>
    <xf numFmtId="0" fontId="0" fillId="0" borderId="16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2" borderId="15" xfId="0" applyFont="1" applyFill="1" applyBorder="1" applyAlignment="1">
      <alignment horizontal="center"/>
    </xf>
  </cellXfs>
  <cellStyles count="3">
    <cellStyle name="Hyperlink" xfId="1" xr:uid="{00000000-000B-0000-0000-000008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 invitado" id="{00186393-F10B-4B13-99FE-289FB0344C36}" userId="" providerId="Windows Live"/>
  <person displayName="Irene Muñoz Simó" id="{2EF12981-28C6-4481-AC98-33C8DF90A0CD}" userId="c937d25bc0d054a7" providerId="Windows Live"/>
  <person displayName="Elías Marín Sotil" id="{CDF70289-010B-4F71-99D8-95464C9002BD}" userId="d612b688ec9c918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0" dT="2021-10-13T16:27:51.61" personId="{CDF70289-010B-4F71-99D8-95464C9002BD}" id="{EA98C9FD-3B09-434E-AA3D-FA5369D05EF9}">
    <text>De donde la has sacado?</text>
  </threadedComment>
  <threadedComment ref="P10" dT="2021-10-13T17:37:55.95" personId="{00186393-F10B-4B13-99FE-289FB0344C36}" id="{8EA4B35E-D6BF-40C4-A454-076815BDE2A5}" parentId="{EA98C9FD-3B09-434E-AA3D-FA5369D05EF9}">
    <text>ec. 4.25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1-10-20T14:18:05.63" personId="{2EF12981-28C6-4481-AC98-33C8DF90A0CD}" id="{E243A51A-0F2C-42AA-A574-54A86C4BCB7E}">
    <text>pag 285-298 del PDF Torenbeek útils!</text>
  </threadedComment>
  <threadedComment ref="C2" dT="2021-10-20T14:18:57.70" personId="{2EF12981-28C6-4481-AC98-33C8DF90A0CD}" id="{91C61130-CF04-4EF6-8D4F-C71FFEE6B91D}" parentId="{E243A51A-0F2C-42AA-A574-54A86C4BCB7E}">
    <text>donen weights, no posicions però still</text>
  </threadedComment>
  <threadedComment ref="B11" dT="2021-10-20T14:23:31.89" personId="{2EF12981-28C6-4481-AC98-33C8DF90A0CD}" id="{0ABBDDFB-FC05-4932-B015-875DCCBD9DF7}">
    <text>Paràmetres que varien el CoM durant el vol. Sadraey pg 608 del PDF.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3CBC-C7A5-4F8C-B21D-43A63B37ED48}">
  <dimension ref="B2:Q38"/>
  <sheetViews>
    <sheetView workbookViewId="0">
      <selection activeCell="E26" sqref="E26"/>
    </sheetView>
  </sheetViews>
  <sheetFormatPr defaultColWidth="9.140625" defaultRowHeight="15" x14ac:dyDescent="0.25"/>
  <cols>
    <col min="2" max="2" width="15.28515625" customWidth="1"/>
    <col min="3" max="3" width="16" customWidth="1"/>
    <col min="4" max="4" width="12.7109375" customWidth="1"/>
    <col min="5" max="5" width="11.7109375" customWidth="1"/>
    <col min="6" max="6" width="11.85546875" customWidth="1"/>
    <col min="7" max="7" width="12.5703125" customWidth="1"/>
    <col min="8" max="8" width="13.85546875" customWidth="1"/>
    <col min="9" max="9" width="18.7109375" customWidth="1"/>
    <col min="10" max="10" width="16.5703125" customWidth="1"/>
    <col min="11" max="11" width="17.42578125" customWidth="1"/>
    <col min="12" max="12" width="12.42578125" customWidth="1"/>
    <col min="13" max="17" width="17.42578125" customWidth="1"/>
    <col min="19" max="19" width="15.42578125" customWidth="1"/>
    <col min="20" max="20" width="10.42578125" bestFit="1" customWidth="1"/>
    <col min="21" max="21" width="13" customWidth="1"/>
    <col min="22" max="23" width="11.5703125" customWidth="1"/>
    <col min="24" max="24" width="13.42578125" customWidth="1"/>
    <col min="25" max="25" width="24.42578125" customWidth="1"/>
    <col min="26" max="26" width="13.42578125" customWidth="1"/>
  </cols>
  <sheetData>
    <row r="2" spans="2:17" x14ac:dyDescent="0.25">
      <c r="B2" s="2"/>
      <c r="C2" s="2" t="s">
        <v>0</v>
      </c>
      <c r="D2" s="2" t="s">
        <v>1</v>
      </c>
      <c r="E2" s="19" t="s">
        <v>2</v>
      </c>
      <c r="F2" s="18" t="s">
        <v>3</v>
      </c>
      <c r="G2" s="21" t="s">
        <v>4</v>
      </c>
      <c r="H2" s="2" t="s">
        <v>5</v>
      </c>
      <c r="I2" s="3" t="s">
        <v>6</v>
      </c>
      <c r="J2" s="6" t="s">
        <v>7</v>
      </c>
      <c r="K2" s="7" t="s">
        <v>8</v>
      </c>
      <c r="L2" s="5" t="s">
        <v>9</v>
      </c>
      <c r="M2" s="5" t="s">
        <v>10</v>
      </c>
      <c r="N2" s="5" t="s">
        <v>11</v>
      </c>
      <c r="O2" s="7" t="s">
        <v>12</v>
      </c>
      <c r="P2" s="90" t="s">
        <v>13</v>
      </c>
      <c r="Q2" s="91"/>
    </row>
    <row r="3" spans="2:17" x14ac:dyDescent="0.25">
      <c r="B3" s="2" t="s">
        <v>14</v>
      </c>
      <c r="C3" s="14">
        <v>19958</v>
      </c>
      <c r="D3" s="14">
        <v>12542</v>
      </c>
      <c r="E3" s="20">
        <v>5100</v>
      </c>
      <c r="F3" s="35">
        <f>C3-D3-H3</f>
        <v>3716</v>
      </c>
      <c r="G3" s="36">
        <f>C3-D3-E3</f>
        <v>2316</v>
      </c>
      <c r="H3" s="16">
        <v>3700</v>
      </c>
      <c r="I3" s="15">
        <f>D3/C3</f>
        <v>0.62841968133079462</v>
      </c>
      <c r="J3" s="10">
        <f>C3*(1-$B$13*$C$13*$D$13*$E$13)</f>
        <v>690.0901859075002</v>
      </c>
      <c r="K3" s="22">
        <f>1280000</f>
        <v>1280000</v>
      </c>
      <c r="L3" s="23">
        <f>EXP(-(K3)*$N$11/($N$12*$N$13))</f>
        <v>0.90012591784748053</v>
      </c>
      <c r="M3" s="8">
        <f>D3/C3</f>
        <v>0.62841968133079462</v>
      </c>
      <c r="N3" s="8">
        <f>H3/C3</f>
        <v>0.18538931756689048</v>
      </c>
      <c r="O3" s="10">
        <f>$F$16/(1-M3-N3)</f>
        <v>22154.668998923567</v>
      </c>
      <c r="P3" s="88">
        <v>51.444000000000003</v>
      </c>
    </row>
    <row r="4" spans="2:17" x14ac:dyDescent="0.25">
      <c r="B4" s="2" t="s">
        <v>15</v>
      </c>
      <c r="C4" s="14">
        <v>13990</v>
      </c>
      <c r="D4" s="14">
        <v>9100</v>
      </c>
      <c r="E4" s="20">
        <v>3510</v>
      </c>
      <c r="F4" s="35">
        <f t="shared" ref="F4:F5" si="0">C4-D4-H4</f>
        <v>1462</v>
      </c>
      <c r="G4" s="36">
        <f>C4-D4-E4</f>
        <v>1380</v>
      </c>
      <c r="H4" s="17">
        <v>3428</v>
      </c>
      <c r="I4" s="15">
        <f t="shared" ref="I4:I5" si="1">D4/C4</f>
        <v>0.65046461758398855</v>
      </c>
      <c r="J4" s="10">
        <f>C4*(1-$B$13*$C$13*$D$13*$E$13)</f>
        <v>483.73392628750014</v>
      </c>
      <c r="K4" s="22">
        <f>1352*1000</f>
        <v>1352000</v>
      </c>
      <c r="L4" s="23">
        <f t="shared" ref="L4:L7" si="2">EXP(-(K4)*$N$11/($N$12*$N$13))</f>
        <v>0.89481411374757747</v>
      </c>
      <c r="M4" s="8">
        <f>D4/C4</f>
        <v>0.65046461758398855</v>
      </c>
      <c r="N4" s="8">
        <f>G4/C4</f>
        <v>9.8641887062187281E-2</v>
      </c>
      <c r="O4" s="10">
        <f>$F$16/(1-M4-N4)</f>
        <v>16441.239316239316</v>
      </c>
      <c r="P4" s="88"/>
    </row>
    <row r="5" spans="2:17" x14ac:dyDescent="0.25">
      <c r="B5" s="2" t="s">
        <v>36</v>
      </c>
      <c r="C5" s="14">
        <v>17900</v>
      </c>
      <c r="D5" s="14">
        <v>11050</v>
      </c>
      <c r="E5" s="9">
        <v>5550</v>
      </c>
      <c r="F5" s="36">
        <f t="shared" si="0"/>
        <v>2350</v>
      </c>
      <c r="G5" s="36">
        <f>C5-D5-E5</f>
        <v>1300</v>
      </c>
      <c r="H5" s="14">
        <v>4500</v>
      </c>
      <c r="I5" s="14">
        <f t="shared" si="1"/>
        <v>0.61731843575418999</v>
      </c>
      <c r="J5" s="9">
        <f>C5*(1-$B$13*$C$13*$D$13*$E$13)</f>
        <v>618.93047037500014</v>
      </c>
      <c r="K5" s="86">
        <f>1300*1000</f>
        <v>1300000</v>
      </c>
      <c r="L5" s="87">
        <f t="shared" si="2"/>
        <v>0.89864726174847454</v>
      </c>
      <c r="M5" s="9">
        <f>D5/C5</f>
        <v>0.61731843575418999</v>
      </c>
      <c r="N5" s="9">
        <f>H5/C5</f>
        <v>0.25139664804469275</v>
      </c>
      <c r="O5" s="9">
        <f>$F$16/(1-M5-N5)</f>
        <v>31420.212765957462</v>
      </c>
      <c r="P5" s="68">
        <v>53.502200000000002</v>
      </c>
    </row>
    <row r="6" spans="2:17" x14ac:dyDescent="0.25">
      <c r="B6" s="2" t="s">
        <v>16</v>
      </c>
      <c r="C6" s="14">
        <v>23200</v>
      </c>
      <c r="D6" s="14">
        <v>11000</v>
      </c>
      <c r="E6" s="20">
        <v>9250</v>
      </c>
      <c r="F6" s="37"/>
      <c r="G6" s="36"/>
      <c r="H6" s="14">
        <v>6468</v>
      </c>
      <c r="I6" s="14">
        <v>0.47413793103448276</v>
      </c>
      <c r="J6" s="9">
        <v>802.18921300000022</v>
      </c>
      <c r="K6" s="29">
        <v>2150000</v>
      </c>
      <c r="L6" s="23">
        <f t="shared" si="2"/>
        <v>0.83799951718246557</v>
      </c>
      <c r="M6" s="8">
        <f>D6/C6</f>
        <v>0.47413793103448276</v>
      </c>
      <c r="N6" s="8">
        <f>H6/C6</f>
        <v>0.27879310344827585</v>
      </c>
      <c r="O6" s="10">
        <f>$F$16/(1-M6-N6)</f>
        <v>16695.743196092113</v>
      </c>
      <c r="P6" s="88"/>
    </row>
    <row r="7" spans="2:17" x14ac:dyDescent="0.25">
      <c r="B7" s="2" t="s">
        <v>17</v>
      </c>
      <c r="C7" s="9">
        <f>AVERAGE(C3:C6)</f>
        <v>18762</v>
      </c>
      <c r="D7" s="9">
        <f>AVERAGE(D3:D6)</f>
        <v>10923</v>
      </c>
      <c r="E7" s="20">
        <f>AVERAGE(E3:E6)</f>
        <v>5852.5</v>
      </c>
      <c r="F7" s="37">
        <f t="shared" ref="F7:G7" si="3">AVERAGE(F3:F5)</f>
        <v>2509.3333333333335</v>
      </c>
      <c r="G7" s="37">
        <f t="shared" si="3"/>
        <v>1665.3333333333333</v>
      </c>
      <c r="H7" s="20">
        <f>AVERAGE(H3:H6)</f>
        <v>4524</v>
      </c>
      <c r="I7" s="30">
        <f>AVERAGE(I3:I5)</f>
        <v>0.63206757822299109</v>
      </c>
      <c r="J7" s="11">
        <f>AVERAGE(J3:J5)</f>
        <v>597.58486085666686</v>
      </c>
      <c r="K7" s="28">
        <v>1200000</v>
      </c>
      <c r="L7" s="23">
        <f t="shared" si="2"/>
        <v>0.90606491247761323</v>
      </c>
      <c r="M7" s="8">
        <f>D7/C7</f>
        <v>0.58218740006395908</v>
      </c>
      <c r="N7" s="8">
        <f>G7/C7</f>
        <v>8.8760970756493612E-2</v>
      </c>
      <c r="O7" s="10">
        <f>$F$16/(1-M7-N7)</f>
        <v>12536.026672425895</v>
      </c>
      <c r="P7" s="89">
        <f>AVERAGE(P3:P5)</f>
        <v>52.473100000000002</v>
      </c>
    </row>
    <row r="8" spans="2:17" x14ac:dyDescent="0.25">
      <c r="F8" s="97"/>
      <c r="G8" s="97"/>
    </row>
    <row r="10" spans="2:17" x14ac:dyDescent="0.25">
      <c r="O10" s="92" t="s">
        <v>18</v>
      </c>
      <c r="P10" s="27">
        <f>1.3*P7</f>
        <v>68.215029999999999</v>
      </c>
    </row>
    <row r="11" spans="2:17" x14ac:dyDescent="0.25">
      <c r="B11" s="98" t="s">
        <v>19</v>
      </c>
      <c r="C11" s="98"/>
      <c r="D11" s="98"/>
      <c r="E11" s="98"/>
      <c r="F11" s="98"/>
      <c r="G11" s="98"/>
      <c r="H11" s="98"/>
      <c r="I11" s="98"/>
      <c r="J11" s="98"/>
      <c r="K11" s="98"/>
      <c r="M11" s="18" t="s">
        <v>20</v>
      </c>
      <c r="N11" s="26">
        <f>0.7/(3600*550)*1/0.3048</f>
        <v>1.1598928921763567E-6</v>
      </c>
      <c r="O11" s="18" t="s">
        <v>21</v>
      </c>
      <c r="P11" s="25">
        <f>45*60</f>
        <v>2700</v>
      </c>
    </row>
    <row r="12" spans="2:17" x14ac:dyDescent="0.25">
      <c r="B12" s="81" t="s">
        <v>22</v>
      </c>
      <c r="C12" s="81" t="s">
        <v>23</v>
      </c>
      <c r="D12" s="81" t="s">
        <v>24</v>
      </c>
      <c r="E12" s="82" t="s">
        <v>25</v>
      </c>
      <c r="F12" s="83" t="s">
        <v>9</v>
      </c>
      <c r="G12" s="83" t="s">
        <v>26</v>
      </c>
      <c r="H12" s="84" t="s">
        <v>27</v>
      </c>
      <c r="I12" s="85" t="s">
        <v>28</v>
      </c>
      <c r="J12" s="81" t="s">
        <v>29</v>
      </c>
      <c r="K12" s="81" t="s">
        <v>30</v>
      </c>
      <c r="M12" s="18" t="s">
        <v>31</v>
      </c>
      <c r="N12" s="8">
        <v>0.83</v>
      </c>
      <c r="O12" s="4"/>
    </row>
    <row r="13" spans="2:17" x14ac:dyDescent="0.25">
      <c r="B13" s="1">
        <v>0.99</v>
      </c>
      <c r="C13" s="1">
        <v>0.995</v>
      </c>
      <c r="D13" s="1">
        <v>0.995</v>
      </c>
      <c r="E13" s="31">
        <v>0.98499999999999999</v>
      </c>
      <c r="F13" s="32">
        <f>EXP(-(K7-100000)*$N$11/($N$12*$N$13))</f>
        <v>0.91354379028069033</v>
      </c>
      <c r="G13" s="25">
        <f>P13</f>
        <v>0.98266890678114271</v>
      </c>
      <c r="H13" s="33">
        <v>0.98499999999999999</v>
      </c>
      <c r="I13" s="34">
        <v>0.995</v>
      </c>
      <c r="J13" s="1">
        <f>B13*C13*D13*E13*F13*G13*H13*I13</f>
        <v>0.84940239696375719</v>
      </c>
      <c r="K13" s="1">
        <f>1.05*(1-J13)</f>
        <v>0.15812748318805495</v>
      </c>
      <c r="M13" s="92" t="s">
        <v>32</v>
      </c>
      <c r="N13" s="27">
        <v>17</v>
      </c>
      <c r="O13" s="93" t="s">
        <v>26</v>
      </c>
      <c r="P13" s="1">
        <f>EXP(-P11*N11*P10/(0.866*N12*N13))</f>
        <v>0.98266890678114271</v>
      </c>
    </row>
    <row r="14" spans="2:17" x14ac:dyDescent="0.25">
      <c r="F14" s="54"/>
      <c r="M14" s="2" t="s">
        <v>33</v>
      </c>
      <c r="N14" s="1">
        <v>8</v>
      </c>
    </row>
    <row r="15" spans="2:17" x14ac:dyDescent="0.25">
      <c r="C15" s="39" t="s">
        <v>0</v>
      </c>
      <c r="D15" s="39" t="s">
        <v>1</v>
      </c>
      <c r="E15" s="2" t="s">
        <v>1</v>
      </c>
      <c r="F15" s="19" t="s">
        <v>2</v>
      </c>
      <c r="G15" s="18" t="s">
        <v>3</v>
      </c>
      <c r="H15" s="21" t="s">
        <v>4</v>
      </c>
      <c r="I15" s="2" t="s">
        <v>34</v>
      </c>
    </row>
    <row r="16" spans="2:17" x14ac:dyDescent="0.25">
      <c r="B16" s="19" t="s">
        <v>35</v>
      </c>
      <c r="C16" s="8">
        <v>19819.8402023813</v>
      </c>
      <c r="D16" s="8">
        <f>0.633747731034047*C16</f>
        <v>12560.778757716536</v>
      </c>
      <c r="E16" s="38">
        <f>C16*(-8.2*10^-7*C16 + 0.65)</f>
        <v>12560.778757716542</v>
      </c>
      <c r="F16" s="1">
        <f>44*(77+15)+(77)</f>
        <v>4125</v>
      </c>
      <c r="G16" s="1"/>
      <c r="H16" s="9">
        <f>C16*1.05*(1-J13)</f>
        <v>3134.0614483919849</v>
      </c>
      <c r="I16" s="9">
        <f>H16+F16+E16</f>
        <v>19819.840206108529</v>
      </c>
    </row>
    <row r="17" spans="2:10" x14ac:dyDescent="0.25">
      <c r="C17" s="12"/>
      <c r="D17" s="12"/>
      <c r="H17" s="12"/>
    </row>
    <row r="18" spans="2:10" x14ac:dyDescent="0.25">
      <c r="C18" s="12"/>
      <c r="D18" s="12"/>
      <c r="F18" s="12"/>
      <c r="G18" s="4"/>
      <c r="H18" s="80"/>
    </row>
    <row r="19" spans="2:10" x14ac:dyDescent="0.25">
      <c r="C19" s="12"/>
      <c r="D19" s="12"/>
      <c r="H19" s="12"/>
    </row>
    <row r="20" spans="2:10" x14ac:dyDescent="0.25">
      <c r="B20" s="12"/>
      <c r="C20" s="2" t="s">
        <v>37</v>
      </c>
      <c r="D20" s="2" t="s">
        <v>38</v>
      </c>
      <c r="E20" s="2" t="s">
        <v>39</v>
      </c>
      <c r="F20" s="4"/>
      <c r="J20" s="24"/>
    </row>
    <row r="21" spans="2:10" x14ac:dyDescent="0.25">
      <c r="B21" s="2" t="s">
        <v>14</v>
      </c>
      <c r="C21" s="1">
        <v>79.900000000000006</v>
      </c>
      <c r="D21" s="1">
        <v>750</v>
      </c>
      <c r="E21" s="1">
        <v>210</v>
      </c>
      <c r="J21" s="24"/>
    </row>
    <row r="22" spans="2:10" x14ac:dyDescent="0.25">
      <c r="B22" s="2" t="s">
        <v>15</v>
      </c>
      <c r="C22" s="1">
        <v>40</v>
      </c>
      <c r="D22" s="1">
        <v>1250</v>
      </c>
      <c r="E22" s="1">
        <v>310</v>
      </c>
      <c r="H22" s="2" t="s">
        <v>40</v>
      </c>
      <c r="I22" s="94">
        <v>55.102789999999999</v>
      </c>
      <c r="J22" s="24"/>
    </row>
    <row r="23" spans="2:10" x14ac:dyDescent="0.25">
      <c r="B23" s="2" t="s">
        <v>36</v>
      </c>
      <c r="C23" s="1">
        <v>54.5</v>
      </c>
      <c r="D23" s="1">
        <v>1100</v>
      </c>
      <c r="E23" s="1">
        <v>250</v>
      </c>
      <c r="H23" s="2" t="s">
        <v>41</v>
      </c>
      <c r="I23" s="94">
        <v>3820.23</v>
      </c>
      <c r="J23" s="24"/>
    </row>
    <row r="24" spans="2:10" x14ac:dyDescent="0.25">
      <c r="B24" s="2" t="s">
        <v>16</v>
      </c>
      <c r="C24" s="1">
        <v>59</v>
      </c>
      <c r="D24" s="1"/>
      <c r="E24" s="1"/>
      <c r="J24" s="24"/>
    </row>
    <row r="25" spans="2:10" x14ac:dyDescent="0.25">
      <c r="B25" s="2" t="s">
        <v>17</v>
      </c>
      <c r="C25" s="9">
        <f>AVERAGE(C21:C24)</f>
        <v>58.35</v>
      </c>
      <c r="D25" s="9">
        <f>AVERAGE(D21:D24)</f>
        <v>1033.3333333333333</v>
      </c>
      <c r="E25" s="9">
        <f>AVERAGE(E21:E24)</f>
        <v>256.66666666666669</v>
      </c>
      <c r="H25" s="2" t="s">
        <v>42</v>
      </c>
      <c r="I25" s="1">
        <f>I22/(SQRT(N14*I22))</f>
        <v>2.6244711372007887</v>
      </c>
      <c r="J25" s="24"/>
    </row>
    <row r="26" spans="2:10" x14ac:dyDescent="0.25">
      <c r="C26" s="13"/>
      <c r="G26" s="24"/>
      <c r="H26" s="24"/>
      <c r="I26" s="24"/>
    </row>
    <row r="36" spans="4:5" x14ac:dyDescent="0.25">
      <c r="D36" s="12"/>
      <c r="E36" s="12"/>
    </row>
    <row r="38" spans="4:5" x14ac:dyDescent="0.25">
      <c r="D38" s="13"/>
    </row>
  </sheetData>
  <mergeCells count="2">
    <mergeCell ref="F8:G8"/>
    <mergeCell ref="B11:K11"/>
  </mergeCells>
  <pageMargins left="0.7" right="0.7" top="0.75" bottom="0.75" header="0.3" footer="0.3"/>
  <pageSetup paperSize="9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D1C0-3A87-48F1-8350-39394557521E}">
  <dimension ref="B1:R43"/>
  <sheetViews>
    <sheetView tabSelected="1" zoomScaleNormal="100" workbookViewId="0">
      <selection activeCell="J17" sqref="J17"/>
    </sheetView>
  </sheetViews>
  <sheetFormatPr defaultColWidth="9.140625" defaultRowHeight="15" x14ac:dyDescent="0.25"/>
  <cols>
    <col min="1" max="1" width="13.7109375" customWidth="1"/>
    <col min="2" max="2" width="18.140625" customWidth="1"/>
    <col min="3" max="3" width="22.5703125" customWidth="1"/>
    <col min="4" max="4" width="13.28515625" customWidth="1"/>
    <col min="5" max="5" width="14.5703125" customWidth="1"/>
    <col min="6" max="6" width="11.85546875" customWidth="1"/>
    <col min="7" max="7" width="12.5703125" customWidth="1"/>
    <col min="8" max="8" width="11.28515625" customWidth="1"/>
    <col min="10" max="10" width="9.85546875" customWidth="1"/>
    <col min="11" max="11" width="10.7109375" customWidth="1"/>
    <col min="12" max="12" width="11.5703125" customWidth="1"/>
    <col min="13" max="13" width="10" customWidth="1"/>
    <col min="14" max="14" width="9.28515625" bestFit="1" customWidth="1"/>
    <col min="15" max="15" width="12.42578125" customWidth="1"/>
    <col min="16" max="16" width="10.42578125" customWidth="1"/>
    <col min="18" max="18" width="10.42578125" customWidth="1"/>
  </cols>
  <sheetData>
    <row r="1" spans="2:18" x14ac:dyDescent="0.25">
      <c r="B1" s="99" t="s">
        <v>73</v>
      </c>
      <c r="C1" s="99"/>
      <c r="D1" s="99"/>
      <c r="E1" s="99"/>
      <c r="F1" s="99"/>
      <c r="G1" s="99"/>
    </row>
    <row r="2" spans="2:18" x14ac:dyDescent="0.25">
      <c r="B2" s="1"/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</row>
    <row r="3" spans="2:18" x14ac:dyDescent="0.25">
      <c r="B3" s="39" t="s">
        <v>52</v>
      </c>
      <c r="C3" s="43">
        <f>0.45359237*4.505*10^3</f>
        <v>2043.4336268500001</v>
      </c>
      <c r="D3" s="47">
        <v>0.15</v>
      </c>
      <c r="E3" s="62">
        <f t="shared" ref="E3:E8" si="0">D3*$J$23</f>
        <v>2972.9760303571948</v>
      </c>
      <c r="F3" s="49"/>
      <c r="G3" s="30">
        <v>11.5</v>
      </c>
    </row>
    <row r="4" spans="2:18" x14ac:dyDescent="0.25">
      <c r="B4" s="39" t="s">
        <v>54</v>
      </c>
      <c r="C4" s="44">
        <f>0.45359237*1.501*10^3</f>
        <v>680.84214737000002</v>
      </c>
      <c r="D4" s="48">
        <v>3.5000000000000003E-2</v>
      </c>
      <c r="E4" s="62">
        <f t="shared" si="0"/>
        <v>693.6944070833456</v>
      </c>
      <c r="F4" s="49"/>
      <c r="G4" s="9">
        <v>20.92</v>
      </c>
    </row>
    <row r="5" spans="2:18" x14ac:dyDescent="0.25">
      <c r="B5" s="39" t="s">
        <v>56</v>
      </c>
      <c r="C5" s="44">
        <f>0.45359237*4.303*10^3</f>
        <v>1951.80796811</v>
      </c>
      <c r="D5" s="48">
        <v>0.32</v>
      </c>
      <c r="E5" s="62">
        <f t="shared" si="0"/>
        <v>6342.3488647620161</v>
      </c>
      <c r="F5" s="49"/>
      <c r="G5" s="9">
        <v>10.3</v>
      </c>
    </row>
    <row r="6" spans="2:18" x14ac:dyDescent="0.25">
      <c r="B6" s="39" t="s">
        <v>57</v>
      </c>
      <c r="C6" s="44">
        <f>0.45359237*1.825*10^3</f>
        <v>827.80607525000005</v>
      </c>
      <c r="D6" s="48">
        <v>4.2000000000000003E-2</v>
      </c>
      <c r="E6" s="62">
        <f t="shared" si="0"/>
        <v>832.43328850001467</v>
      </c>
      <c r="F6" s="49"/>
      <c r="G6" s="9">
        <v>8.0215999999999994</v>
      </c>
      <c r="O6" s="70"/>
      <c r="P6" s="70"/>
      <c r="Q6" s="70"/>
      <c r="R6" s="70"/>
    </row>
    <row r="7" spans="2:18" x14ac:dyDescent="0.25">
      <c r="B7" s="39" t="s">
        <v>58</v>
      </c>
      <c r="C7" s="44">
        <f>0.45359237*0.62*10^3</f>
        <v>281.22726940000001</v>
      </c>
      <c r="D7" s="48">
        <v>1.4999999999999999E-2</v>
      </c>
      <c r="E7" s="62">
        <f t="shared" si="0"/>
        <v>297.29760303571948</v>
      </c>
      <c r="F7" s="49"/>
      <c r="G7" s="9">
        <v>12.574400000000001</v>
      </c>
      <c r="O7" s="71"/>
      <c r="P7" s="70"/>
      <c r="Q7" s="70"/>
      <c r="R7" s="70"/>
    </row>
    <row r="8" spans="2:18" x14ac:dyDescent="0.25">
      <c r="B8" s="39" t="s">
        <v>59</v>
      </c>
      <c r="C8" s="44">
        <f>0.667*10^3*0.453592</f>
        <v>302.54586399999999</v>
      </c>
      <c r="D8" s="48">
        <v>1.5299999999999999E-2</v>
      </c>
      <c r="E8" s="62">
        <f t="shared" si="0"/>
        <v>303.24355509643385</v>
      </c>
      <c r="F8" s="49"/>
      <c r="G8" s="9">
        <f>F21</f>
        <v>10.187764431399605</v>
      </c>
      <c r="I8" s="12"/>
      <c r="N8" s="51"/>
      <c r="O8" s="71"/>
      <c r="P8" s="70"/>
      <c r="Q8" s="70"/>
      <c r="R8" s="70"/>
    </row>
    <row r="9" spans="2:18" x14ac:dyDescent="0.25">
      <c r="B9" s="39" t="s">
        <v>60</v>
      </c>
      <c r="C9" s="46">
        <f>2*547</f>
        <v>1094</v>
      </c>
      <c r="D9" s="40"/>
      <c r="E9" s="62">
        <f>2*481.7</f>
        <v>963.4</v>
      </c>
      <c r="F9" s="49"/>
      <c r="G9" s="45">
        <f>F21</f>
        <v>10.187764431399605</v>
      </c>
      <c r="I9" s="12"/>
      <c r="J9" s="12"/>
      <c r="O9" s="71"/>
      <c r="P9" s="70"/>
      <c r="Q9" s="70"/>
      <c r="R9" s="70"/>
    </row>
    <row r="10" spans="2:18" x14ac:dyDescent="0.25">
      <c r="B10" s="39" t="s">
        <v>61</v>
      </c>
      <c r="C10" s="77" t="s">
        <v>72</v>
      </c>
      <c r="D10" s="40"/>
      <c r="E10" s="62">
        <f>77*2</f>
        <v>154</v>
      </c>
      <c r="F10" s="49"/>
      <c r="G10" s="45">
        <v>2.2764000000000002</v>
      </c>
      <c r="I10" s="12"/>
      <c r="J10" s="12"/>
      <c r="O10" s="71"/>
      <c r="P10" s="70"/>
      <c r="Q10" s="70"/>
      <c r="R10" s="70"/>
    </row>
    <row r="11" spans="2:18" x14ac:dyDescent="0.25">
      <c r="B11" s="41" t="s">
        <v>62</v>
      </c>
      <c r="C11" s="78" t="s">
        <v>72</v>
      </c>
      <c r="D11" s="40"/>
      <c r="E11" s="63">
        <f>'FULLA NETA'!H16</f>
        <v>3134.0614483919849</v>
      </c>
      <c r="F11" s="45">
        <f>E11*0.05</f>
        <v>156.70307241959927</v>
      </c>
      <c r="G11" s="45">
        <f>F21+'FULLA NETA'!I25/4</f>
        <v>10.843882215699802</v>
      </c>
      <c r="O11" s="71"/>
      <c r="P11" s="70"/>
      <c r="Q11" s="70"/>
      <c r="R11" s="70"/>
    </row>
    <row r="12" spans="2:18" x14ac:dyDescent="0.25">
      <c r="B12" s="42" t="s">
        <v>63</v>
      </c>
      <c r="C12" s="58" t="s">
        <v>72</v>
      </c>
      <c r="D12" s="1"/>
      <c r="E12" s="64">
        <v>77</v>
      </c>
      <c r="F12" s="9">
        <v>0</v>
      </c>
      <c r="G12" s="1">
        <v>15.61</v>
      </c>
      <c r="O12" s="71"/>
      <c r="P12" s="70"/>
      <c r="Q12" s="70"/>
      <c r="R12" s="72"/>
    </row>
    <row r="13" spans="2:18" x14ac:dyDescent="0.25">
      <c r="B13" s="42" t="s">
        <v>68</v>
      </c>
      <c r="C13" s="58" t="s">
        <v>72</v>
      </c>
      <c r="D13" s="1"/>
      <c r="E13" s="9">
        <v>300</v>
      </c>
      <c r="F13" s="9">
        <v>0</v>
      </c>
      <c r="G13" s="45">
        <v>3.84</v>
      </c>
      <c r="O13" s="71"/>
      <c r="P13" s="70"/>
      <c r="Q13" s="70"/>
      <c r="R13" s="72"/>
    </row>
    <row r="14" spans="2:18" x14ac:dyDescent="0.25">
      <c r="B14" s="41" t="s">
        <v>69</v>
      </c>
      <c r="C14" s="58" t="s">
        <v>72</v>
      </c>
      <c r="D14" s="40"/>
      <c r="E14" s="45">
        <v>140</v>
      </c>
      <c r="F14" s="69">
        <v>0</v>
      </c>
      <c r="G14" s="9">
        <v>17.12</v>
      </c>
      <c r="O14" s="70"/>
      <c r="P14" s="70"/>
      <c r="Q14" s="70"/>
      <c r="R14" s="73"/>
    </row>
    <row r="15" spans="2:18" x14ac:dyDescent="0.25">
      <c r="B15" s="41" t="s">
        <v>64</v>
      </c>
      <c r="C15" s="58" t="s">
        <v>72</v>
      </c>
      <c r="D15" s="40"/>
      <c r="E15" s="45">
        <f>77*44+5*44</f>
        <v>3608</v>
      </c>
      <c r="F15" s="69">
        <v>0</v>
      </c>
      <c r="G15" s="1">
        <v>10.62</v>
      </c>
      <c r="O15" s="70"/>
      <c r="P15" s="70"/>
      <c r="Q15" s="70"/>
      <c r="R15" s="70"/>
    </row>
    <row r="16" spans="2:18" x14ac:dyDescent="0.25">
      <c r="B16" s="41" t="s">
        <v>70</v>
      </c>
      <c r="C16" s="58" t="s">
        <v>72</v>
      </c>
      <c r="D16" s="40"/>
      <c r="E16" s="45"/>
      <c r="F16" s="69"/>
      <c r="G16" s="9">
        <v>5.8167609999999996</v>
      </c>
      <c r="I16">
        <v>5.8167609999999996</v>
      </c>
      <c r="O16" s="70"/>
      <c r="P16" s="70"/>
      <c r="Q16" s="70"/>
      <c r="R16" s="70"/>
    </row>
    <row r="17" spans="2:18" x14ac:dyDescent="0.25">
      <c r="B17" s="55" t="s">
        <v>71</v>
      </c>
      <c r="C17" s="58" t="s">
        <v>72</v>
      </c>
      <c r="D17" s="1"/>
      <c r="E17" s="9"/>
      <c r="F17" s="20"/>
      <c r="G17" s="9">
        <f>G16+J17</f>
        <v>14.267530000000001</v>
      </c>
      <c r="I17">
        <v>14.267530000000001</v>
      </c>
      <c r="J17">
        <f>I17-I16</f>
        <v>8.4507690000000011</v>
      </c>
      <c r="O17" s="70"/>
      <c r="P17" s="70"/>
      <c r="Q17" s="70"/>
      <c r="R17" s="70"/>
    </row>
    <row r="18" spans="2:18" x14ac:dyDescent="0.25">
      <c r="B18" s="4"/>
      <c r="E18" s="12"/>
      <c r="F18" s="12"/>
      <c r="O18" s="70"/>
      <c r="P18" s="70"/>
      <c r="Q18" s="70"/>
      <c r="R18" s="70"/>
    </row>
    <row r="19" spans="2:18" x14ac:dyDescent="0.25">
      <c r="B19" s="95" t="s">
        <v>55</v>
      </c>
      <c r="C19" s="53">
        <f>SUM(E3:E10)</f>
        <v>12559.393748834726</v>
      </c>
      <c r="E19" s="95" t="s">
        <v>12</v>
      </c>
      <c r="F19" s="53">
        <f>SUM(E3:E15)</f>
        <v>19818.455197226711</v>
      </c>
      <c r="G19" s="61"/>
      <c r="H19" s="1"/>
      <c r="I19" s="1" t="s">
        <v>43</v>
      </c>
      <c r="J19" s="1" t="s">
        <v>44</v>
      </c>
      <c r="K19" s="1" t="s">
        <v>45</v>
      </c>
      <c r="O19" s="72"/>
      <c r="P19" s="72"/>
      <c r="Q19" s="70"/>
      <c r="R19" s="70"/>
    </row>
    <row r="20" spans="2:18" x14ac:dyDescent="0.25">
      <c r="B20" s="96" t="s">
        <v>65</v>
      </c>
      <c r="C20" s="57">
        <f>(E3*G3+E4*G4+E5*G5+E6*G6+E7*G7+E8*G8+E9*G9+E10*G10)/C19</f>
        <v>10.963755497325096</v>
      </c>
      <c r="E20" s="96" t="s">
        <v>65</v>
      </c>
      <c r="F20" s="57">
        <f>(E3*G3+E4*G4+E5*G5+E6*G6+E7*G7+E8*G8+E9*G9+E10*G10+E11*G11+E12*G12+E13*G13+E14*G14+E15*G15)/F19</f>
        <v>10.835922544055629</v>
      </c>
      <c r="H20" s="2" t="s">
        <v>51</v>
      </c>
      <c r="I20" s="9">
        <f>E15+E13+E12</f>
        <v>3985</v>
      </c>
      <c r="J20" s="1">
        <f>'FULLA NETA'!F16</f>
        <v>4125</v>
      </c>
      <c r="K20" s="68">
        <f>ABS(J20-I20)</f>
        <v>140</v>
      </c>
      <c r="O20" s="70"/>
      <c r="P20" s="73"/>
      <c r="Q20" s="70"/>
      <c r="R20" s="70"/>
    </row>
    <row r="21" spans="2:18" x14ac:dyDescent="0.25">
      <c r="B21" s="95" t="s">
        <v>66</v>
      </c>
      <c r="C21" s="59">
        <f>G3-'FULLA NETA'!I25/2</f>
        <v>10.187764431399605</v>
      </c>
      <c r="E21" s="95" t="s">
        <v>66</v>
      </c>
      <c r="F21" s="59">
        <f>G3-'FULLA NETA'!I25/2</f>
        <v>10.187764431399605</v>
      </c>
      <c r="H21" s="2" t="s">
        <v>53</v>
      </c>
      <c r="I21" s="9">
        <f>E11</f>
        <v>3134.0614483919849</v>
      </c>
      <c r="J21" s="9">
        <f>'FULLA NETA'!H16</f>
        <v>3134.0614483919849</v>
      </c>
      <c r="K21" s="68">
        <f t="shared" ref="K21:K23" si="1">ABS(J21-I21)</f>
        <v>0</v>
      </c>
      <c r="O21" s="72"/>
      <c r="P21" s="74"/>
      <c r="Q21" s="70"/>
      <c r="R21" s="70"/>
    </row>
    <row r="22" spans="2:18" x14ac:dyDescent="0.25">
      <c r="B22" s="79" t="s">
        <v>67</v>
      </c>
      <c r="C22" s="60">
        <f>(C20-C21)/F24</f>
        <v>0.29567521430361304</v>
      </c>
      <c r="E22" s="79" t="s">
        <v>67</v>
      </c>
      <c r="F22" s="60">
        <f>(F20-F21)/F24</f>
        <v>0.24696713309918006</v>
      </c>
      <c r="H22" s="2" t="s">
        <v>55</v>
      </c>
      <c r="I22" s="9">
        <f>SUM(E3:E10)</f>
        <v>12559.393748834726</v>
      </c>
      <c r="J22" s="9">
        <f>'FULLA NETA'!E16</f>
        <v>12560.778757716542</v>
      </c>
      <c r="K22" s="68">
        <f t="shared" si="1"/>
        <v>1.3850088818162476</v>
      </c>
      <c r="O22" s="70"/>
      <c r="P22" s="70"/>
      <c r="Q22" s="70"/>
      <c r="R22" s="70"/>
    </row>
    <row r="23" spans="2:18" x14ac:dyDescent="0.25">
      <c r="D23" s="50"/>
      <c r="E23" s="4"/>
      <c r="H23" s="2" t="s">
        <v>12</v>
      </c>
      <c r="I23" s="9">
        <f>SUM(E3:E15)</f>
        <v>19818.455197226711</v>
      </c>
      <c r="J23" s="9">
        <f>'FULLA NETA'!C16</f>
        <v>19819.8402023813</v>
      </c>
      <c r="K23" s="68">
        <f t="shared" si="1"/>
        <v>1.3850051545887254</v>
      </c>
    </row>
    <row r="24" spans="2:18" x14ac:dyDescent="0.25">
      <c r="E24" s="2" t="s">
        <v>42</v>
      </c>
      <c r="F24" s="1">
        <f>'FULLA NETA'!I25</f>
        <v>2.6244711372007887</v>
      </c>
      <c r="P24" s="56"/>
    </row>
    <row r="25" spans="2:18" x14ac:dyDescent="0.25">
      <c r="B25" s="65"/>
      <c r="C25" s="66"/>
    </row>
    <row r="26" spans="2:18" x14ac:dyDescent="0.25">
      <c r="B26" s="65"/>
      <c r="C26" s="66"/>
      <c r="F26" s="51"/>
    </row>
    <row r="27" spans="2:18" x14ac:dyDescent="0.25">
      <c r="B27" s="65"/>
      <c r="C27" s="67"/>
      <c r="D27" s="52"/>
      <c r="E27" s="52"/>
    </row>
    <row r="28" spans="2:18" x14ac:dyDescent="0.25">
      <c r="B28" s="65"/>
      <c r="C28" s="67"/>
      <c r="D28" s="51"/>
    </row>
    <row r="32" spans="2:18" x14ac:dyDescent="0.25">
      <c r="E32" s="70"/>
      <c r="F32" s="70"/>
      <c r="G32" s="70"/>
      <c r="H32" s="70"/>
      <c r="I32" s="70"/>
      <c r="J32" s="70"/>
    </row>
    <row r="33" spans="5:10" x14ac:dyDescent="0.25">
      <c r="E33" s="70"/>
      <c r="F33" s="70"/>
      <c r="G33" s="70"/>
      <c r="H33" s="70"/>
      <c r="I33" s="70"/>
      <c r="J33" s="70"/>
    </row>
    <row r="34" spans="5:10" x14ac:dyDescent="0.25">
      <c r="E34" s="70"/>
      <c r="G34" s="70"/>
      <c r="H34" s="70"/>
      <c r="I34" s="70"/>
      <c r="J34" s="70"/>
    </row>
    <row r="35" spans="5:10" x14ac:dyDescent="0.25">
      <c r="E35" s="70"/>
      <c r="G35" s="70"/>
      <c r="H35" s="75"/>
      <c r="I35" s="70"/>
      <c r="J35" s="70"/>
    </row>
    <row r="36" spans="5:10" x14ac:dyDescent="0.25">
      <c r="E36" s="70"/>
      <c r="G36" s="72"/>
      <c r="H36" s="74"/>
      <c r="I36" s="70"/>
      <c r="J36" s="70"/>
    </row>
    <row r="37" spans="5:10" x14ac:dyDescent="0.25">
      <c r="E37" s="70"/>
      <c r="F37" s="70"/>
      <c r="G37" s="72"/>
      <c r="H37" s="76"/>
      <c r="I37" s="70"/>
      <c r="J37" s="70"/>
    </row>
    <row r="38" spans="5:10" x14ac:dyDescent="0.25">
      <c r="E38" s="70"/>
      <c r="F38" s="70"/>
      <c r="G38" s="70"/>
      <c r="H38" s="70"/>
      <c r="I38" s="70"/>
      <c r="J38" s="70"/>
    </row>
    <row r="39" spans="5:10" x14ac:dyDescent="0.25">
      <c r="E39" s="70"/>
      <c r="F39" s="70"/>
      <c r="G39" s="70"/>
      <c r="H39" s="70"/>
      <c r="I39" s="70"/>
      <c r="J39" s="70"/>
    </row>
    <row r="40" spans="5:10" x14ac:dyDescent="0.25">
      <c r="E40" s="70"/>
      <c r="F40" s="70"/>
      <c r="G40" s="70"/>
      <c r="H40" s="70"/>
      <c r="I40" s="70"/>
      <c r="J40" s="70"/>
    </row>
    <row r="41" spans="5:10" x14ac:dyDescent="0.25">
      <c r="E41" s="70"/>
      <c r="F41" s="70"/>
      <c r="G41" s="70"/>
      <c r="H41" s="70"/>
      <c r="I41" s="70"/>
      <c r="J41" s="70"/>
    </row>
    <row r="42" spans="5:10" x14ac:dyDescent="0.25">
      <c r="E42" s="70"/>
      <c r="F42" s="70"/>
      <c r="G42" s="70"/>
      <c r="H42" s="70"/>
      <c r="I42" s="70"/>
      <c r="J42" s="70"/>
    </row>
    <row r="43" spans="5:10" x14ac:dyDescent="0.25">
      <c r="E43" s="70"/>
      <c r="F43" s="70"/>
      <c r="G43" s="70"/>
      <c r="H43" s="70"/>
      <c r="I43" s="70"/>
      <c r="J43" s="70"/>
    </row>
  </sheetData>
  <mergeCells count="1">
    <mergeCell ref="B1:G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FULLA NETA</vt:lpstr>
      <vt:lpstr>Centrado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Biada Sala</dc:creator>
  <cp:keywords/>
  <dc:description/>
  <cp:lastModifiedBy>Antonio Biada Sala</cp:lastModifiedBy>
  <cp:revision/>
  <dcterms:created xsi:type="dcterms:W3CDTF">2021-10-10T10:39:28Z</dcterms:created>
  <dcterms:modified xsi:type="dcterms:W3CDTF">2021-10-30T14:20:58Z</dcterms:modified>
  <cp:category/>
  <cp:contentStatus/>
</cp:coreProperties>
</file>