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b00b54ad71f52/Documentos/UNI/4A/Disseny aeronaus/Avions/Treball/MAIN/"/>
    </mc:Choice>
  </mc:AlternateContent>
  <xr:revisionPtr revIDLastSave="2047" documentId="8_{A8413743-DCD1-4BC4-8CA5-8EAF52284B27}" xr6:coauthVersionLast="47" xr6:coauthVersionMax="47" xr10:uidLastSave="{2AD17E93-2EC6-4FBD-8037-95C24298B160}"/>
  <bookViews>
    <workbookView xWindow="14385" yWindow="1710" windowWidth="18870" windowHeight="17400" xr2:uid="{C4CA2FFF-E566-4F1C-B649-D68A7CA8B244}"/>
  </bookViews>
  <sheets>
    <sheet name="FULLA NETA" sheetId="2" r:id="rId1"/>
    <sheet name="Centrado" sheetId="3" r:id="rId2"/>
    <sheet name="Latex" sheetId="4" r:id="rId3"/>
    <sheet name="XXXXXX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3" l="1"/>
  <c r="C21" i="3"/>
  <c r="J17" i="3"/>
  <c r="G17" i="3"/>
  <c r="J20" i="3"/>
  <c r="J21" i="3"/>
  <c r="J22" i="3"/>
  <c r="E11" i="3"/>
  <c r="I21" i="3" s="1"/>
  <c r="E15" i="3"/>
  <c r="F21" i="3"/>
  <c r="G11" i="3" s="1"/>
  <c r="I36" i="2"/>
  <c r="P13" i="2"/>
  <c r="I20" i="3"/>
  <c r="F16" i="2"/>
  <c r="E10" i="3"/>
  <c r="J23" i="3"/>
  <c r="E3" i="3" s="1"/>
  <c r="D16" i="2"/>
  <c r="C9" i="3"/>
  <c r="E9" i="3"/>
  <c r="C8" i="3"/>
  <c r="C7" i="3"/>
  <c r="C6" i="3"/>
  <c r="C5" i="3"/>
  <c r="C4" i="3"/>
  <c r="C3" i="3"/>
  <c r="F5" i="2"/>
  <c r="G5" i="2"/>
  <c r="I5" i="2"/>
  <c r="J5" i="2"/>
  <c r="K5" i="2"/>
  <c r="M5" i="2"/>
  <c r="N5" i="2"/>
  <c r="N20" i="2"/>
  <c r="M20" i="2"/>
  <c r="K20" i="2"/>
  <c r="J20" i="2"/>
  <c r="I20" i="2"/>
  <c r="G20" i="2"/>
  <c r="F20" i="2"/>
  <c r="E16" i="2"/>
  <c r="E36" i="2"/>
  <c r="E37" i="2" s="1"/>
  <c r="D36" i="2"/>
  <c r="D37" i="2" s="1"/>
  <c r="C36" i="2"/>
  <c r="B28" i="1"/>
  <c r="N11" i="2"/>
  <c r="N3" i="2"/>
  <c r="P11" i="2"/>
  <c r="M6" i="2"/>
  <c r="N6" i="2"/>
  <c r="H7" i="2"/>
  <c r="I3" i="2"/>
  <c r="E7" i="2"/>
  <c r="D7" i="2"/>
  <c r="C7" i="2"/>
  <c r="J3" i="2"/>
  <c r="P7" i="2"/>
  <c r="P10" i="2" s="1"/>
  <c r="M4" i="2"/>
  <c r="K4" i="2"/>
  <c r="J4" i="2"/>
  <c r="I4" i="2"/>
  <c r="G4" i="2"/>
  <c r="F4" i="2"/>
  <c r="M3" i="2"/>
  <c r="K3" i="2"/>
  <c r="G3" i="2"/>
  <c r="F3" i="2"/>
  <c r="T10" i="1"/>
  <c r="H6" i="1"/>
  <c r="F4" i="1"/>
  <c r="F5" i="1"/>
  <c r="F3" i="1"/>
  <c r="F6" i="1" s="1"/>
  <c r="G3" i="1"/>
  <c r="G4" i="1"/>
  <c r="G5" i="1"/>
  <c r="K10" i="1"/>
  <c r="L10" i="1" s="1"/>
  <c r="K11" i="1"/>
  <c r="L11" i="1" s="1"/>
  <c r="K12" i="1"/>
  <c r="L12" i="1" s="1"/>
  <c r="I3" i="1"/>
  <c r="K3" i="1"/>
  <c r="J3" i="1"/>
  <c r="C6" i="1"/>
  <c r="N4" i="1"/>
  <c r="N5" i="1"/>
  <c r="N3" i="1"/>
  <c r="M4" i="1"/>
  <c r="M5" i="1"/>
  <c r="M3" i="1"/>
  <c r="K4" i="1"/>
  <c r="L4" i="1" s="1"/>
  <c r="K5" i="1"/>
  <c r="L5" i="1" s="1"/>
  <c r="B30" i="1"/>
  <c r="B29" i="1"/>
  <c r="B31" i="1"/>
  <c r="K6" i="1"/>
  <c r="L6" i="1" s="1"/>
  <c r="W4" i="1" s="1"/>
  <c r="J4" i="1"/>
  <c r="J5" i="1"/>
  <c r="E8" i="1"/>
  <c r="I4" i="1"/>
  <c r="I5" i="1"/>
  <c r="D6" i="1"/>
  <c r="E6" i="1"/>
  <c r="F36" i="3" l="1"/>
  <c r="F11" i="3"/>
  <c r="K21" i="3"/>
  <c r="K20" i="3"/>
  <c r="G8" i="3"/>
  <c r="G9" i="3"/>
  <c r="F24" i="3"/>
  <c r="L5" i="2"/>
  <c r="O5" i="2"/>
  <c r="I7" i="2"/>
  <c r="O20" i="2"/>
  <c r="L4" i="2"/>
  <c r="L20" i="2"/>
  <c r="L3" i="2"/>
  <c r="E7" i="3"/>
  <c r="E6" i="3"/>
  <c r="E5" i="3"/>
  <c r="E4" i="3"/>
  <c r="E8" i="3"/>
  <c r="O6" i="2"/>
  <c r="G13" i="2"/>
  <c r="L6" i="2"/>
  <c r="L7" i="2"/>
  <c r="F13" i="2"/>
  <c r="F7" i="2"/>
  <c r="O3" i="2"/>
  <c r="G7" i="2"/>
  <c r="N7" i="2" s="1"/>
  <c r="J7" i="2"/>
  <c r="N4" i="2"/>
  <c r="O4" i="2" s="1"/>
  <c r="M7" i="2"/>
  <c r="R20" i="1"/>
  <c r="L3" i="1"/>
  <c r="M15" i="1"/>
  <c r="O11" i="1"/>
  <c r="O10" i="1"/>
  <c r="G6" i="1"/>
  <c r="O9" i="1"/>
  <c r="I6" i="1"/>
  <c r="J10" i="1"/>
  <c r="O4" i="1"/>
  <c r="O5" i="1"/>
  <c r="O3" i="1"/>
  <c r="M6" i="1"/>
  <c r="J6" i="1"/>
  <c r="C20" i="3" l="1"/>
  <c r="F20" i="3"/>
  <c r="F22" i="3" s="1"/>
  <c r="C19" i="3"/>
  <c r="I22" i="3"/>
  <c r="K22" i="3" s="1"/>
  <c r="F19" i="3"/>
  <c r="I23" i="3"/>
  <c r="K23" i="3" s="1"/>
  <c r="J13" i="2"/>
  <c r="H16" i="2" s="1"/>
  <c r="I16" i="2" s="1"/>
  <c r="O7" i="2"/>
  <c r="O12" i="1"/>
  <c r="N6" i="1"/>
  <c r="C8" i="1"/>
  <c r="D8" i="1" s="1"/>
  <c r="G8" i="1"/>
  <c r="O6" i="1"/>
  <c r="C22" i="3" l="1"/>
  <c r="K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Elías Marín Sotil</author>
    <author>tc={EA98C9FD-3B09-434E-AA3D-FA5369D05EF9}</author>
    <author>Elías Marín</author>
  </authors>
  <commentList>
    <comment ref="H7" authorId="0" shapeId="0" xr:uid="{E71AAEBA-7A7E-4892-986D-170056020279}">
      <text>
        <r>
          <rPr>
            <sz val="11"/>
            <color theme="1"/>
            <rFont val="Calibri"/>
            <family val="2"/>
            <scheme val="minor"/>
          </rPr>
          <t xml:space="preserve">Cogemos este valor como MFW de nuestro avion
</t>
        </r>
      </text>
    </comment>
    <comment ref="P10" authorId="1" shapeId="0" xr:uid="{EA98C9FD-3B09-434E-AA3D-FA5369D05E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 donde la has sacado?
Reply:
    ec. 4.25</t>
      </text>
    </comment>
    <comment ref="K12" authorId="2" shapeId="0" xr:uid="{1DCC44BC-8DFF-4B6C-BEA4-CB27E4E2F369}">
      <text>
        <r>
          <rPr>
            <b/>
            <sz val="9"/>
            <color indexed="81"/>
            <rFont val="Tahoma"/>
            <family val="2"/>
          </rPr>
          <t>Incluye reserva de fuel</t>
        </r>
      </text>
    </comment>
    <comment ref="E15" authorId="2" shapeId="0" xr:uid="{BC21181D-0C42-4471-A93A-4858E20E8EEB}">
      <text>
        <r>
          <rPr>
            <b/>
            <sz val="9"/>
            <color indexed="81"/>
            <rFont val="Tahoma"/>
            <family val="2"/>
          </rPr>
          <t xml:space="preserve">Utilizando formula libro 4.26 pag 135
Revisar pq hay que resolver dos eq para que cuadre el MTOW
</t>
        </r>
      </text>
    </comment>
    <comment ref="F16" authorId="2" shapeId="0" xr:uid="{535D54C9-A1A1-4895-A96A-05016AF5AB32}">
      <text>
        <r>
          <rPr>
            <b/>
            <sz val="9"/>
            <color indexed="81"/>
            <rFont val="Tahoma"/>
            <charset val="1"/>
          </rPr>
          <t>40 pasajeros:
78kg por pasajeros
15kg equipaje por pasajero
3 crew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tc={E243A51A-0F2C-42AA-A574-54A86C4BCB7E}</author>
    <author>tc={0ABBDDFB-FC05-4932-B015-875DCCBD9DF7}</author>
  </authors>
  <commentList>
    <comment ref="C2" authorId="0" shapeId="0" xr:uid="{E243A51A-0F2C-42AA-A574-54A86C4BCB7E}">
      <text>
        <t>[Threaded comment]
Your version of Excel allows you to read this threaded comment; however, any edits to it will get removed if the file is opened in a newer version of Excel. Learn more: https://go.microsoft.com/fwlink/?linkid=870924
Comment:
    pag 285-298 del PDF Torenbeek útils!
Reply:
    donen weights, no posicions però still</t>
      </text>
    </comment>
    <comment ref="B11" authorId="1" shapeId="0" xr:uid="{0ABBDDFB-FC05-4932-B015-875DCCBD9DF7}">
      <text>
        <t>[Threaded comment]
Your version of Excel allows you to read this threaded comment; however, any edits to it will get removed if the file is opened in a newer version of Excel. Learn more: https://go.microsoft.com/fwlink/?linkid=870924
Comment:
    Paràmetres que varien el CoM durant el vol. Sadraey pg 608 del PDF.</t>
      </text>
    </comment>
  </commentList>
</comments>
</file>

<file path=xl/sharedStrings.xml><?xml version="1.0" encoding="utf-8"?>
<sst xmlns="http://schemas.openxmlformats.org/spreadsheetml/2006/main" count="234" uniqueCount="130">
  <si>
    <t>MTOW [kg]</t>
  </si>
  <si>
    <t>OEW [kg]</t>
  </si>
  <si>
    <t>MPL [kg]</t>
  </si>
  <si>
    <t>PL [kg]</t>
  </si>
  <si>
    <t>FW [kg]</t>
  </si>
  <si>
    <t>MFW [kg]</t>
  </si>
  <si>
    <t>α [-]</t>
  </si>
  <si>
    <t>Fuel [kg]</t>
  </si>
  <si>
    <t>Rango [m]</t>
  </si>
  <si>
    <t>Cruise (P5)</t>
  </si>
  <si>
    <t>OEW/MTOW</t>
  </si>
  <si>
    <t>FW/MTOW</t>
  </si>
  <si>
    <t>MTOW</t>
  </si>
  <si>
    <t xml:space="preserve">V clean stall </t>
  </si>
  <si>
    <t xml:space="preserve">V </t>
  </si>
  <si>
    <t>Dash-7 STOL</t>
  </si>
  <si>
    <t xml:space="preserve">Do328 </t>
  </si>
  <si>
    <t>Atr-42-600</t>
  </si>
  <si>
    <t>CASA 295</t>
  </si>
  <si>
    <t>Media</t>
  </si>
  <si>
    <t>No son datos</t>
  </si>
  <si>
    <t>V_Emax</t>
  </si>
  <si>
    <t>Weight fractions</t>
  </si>
  <si>
    <t>C</t>
  </si>
  <si>
    <t>E</t>
  </si>
  <si>
    <t>Engine start (P1)</t>
  </si>
  <si>
    <t>Taxi(P2)</t>
  </si>
  <si>
    <t>Take-off (P3)</t>
  </si>
  <si>
    <t>Climb (P4)</t>
  </si>
  <si>
    <t>Loiter (P6)</t>
  </si>
  <si>
    <t>Descend (P7)</t>
  </si>
  <si>
    <t>Ldg taxi sd (P8)</t>
  </si>
  <si>
    <t>Multi. coeficients</t>
  </si>
  <si>
    <t>Fuel-weight ratio</t>
  </si>
  <si>
    <t xml:space="preserve">eta_p </t>
  </si>
  <si>
    <t>L/D max</t>
  </si>
  <si>
    <t>AR</t>
  </si>
  <si>
    <t>MTOW recalculated</t>
  </si>
  <si>
    <t>Avio disseny</t>
  </si>
  <si>
    <t>Por si aka</t>
  </si>
  <si>
    <t>Atr-42-400</t>
  </si>
  <si>
    <t>Links stall speed</t>
  </si>
  <si>
    <t>Stall speed clean pq en espera no es posen flaps</t>
  </si>
  <si>
    <t>http://all-aero.com/index.php/contactus/45-planes-d-e-f/2854-de-havilland-canada-dhc-7-dash-7</t>
  </si>
  <si>
    <t>ATR-42-600</t>
  </si>
  <si>
    <t>https://www.atr-aircraft.com/wp-content/uploads/2020/07/Factsheets_-_ATR_42-600.pdf</t>
  </si>
  <si>
    <t>http://www.flightsafety.org/asw/mar09/asw_mar09_p32-37.pdf</t>
  </si>
  <si>
    <t>SFC</t>
  </si>
  <si>
    <t>https://www.sciencedirect.com/topics/engineering/propulsive-efficiency</t>
  </si>
  <si>
    <t>1 kg -----------&gt;</t>
  </si>
  <si>
    <t>2,20462262 lb</t>
  </si>
  <si>
    <t>RESERVE FUEL</t>
  </si>
  <si>
    <t>Eq 4.11 pag 128</t>
  </si>
  <si>
    <t>W/S</t>
  </si>
  <si>
    <t>S</t>
  </si>
  <si>
    <t>m^2</t>
  </si>
  <si>
    <t>W/P</t>
  </si>
  <si>
    <t>P</t>
  </si>
  <si>
    <t>kW</t>
  </si>
  <si>
    <t>Wing area [m^2]</t>
  </si>
  <si>
    <t>ROC [ft/min]</t>
  </si>
  <si>
    <t>Ceiling [FL]</t>
  </si>
  <si>
    <t>Max speed</t>
  </si>
  <si>
    <t>S [ft^2]</t>
  </si>
  <si>
    <t>P [hp]</t>
  </si>
  <si>
    <t>S [m^2]</t>
  </si>
  <si>
    <t>P [kW]</t>
  </si>
  <si>
    <t>CMA</t>
  </si>
  <si>
    <t>https://contentzone.eurocontrol.int/aircraftperformance/details.aspx?ICAO=D328&amp;</t>
  </si>
  <si>
    <t>Calculado</t>
  </si>
  <si>
    <t>Teoria</t>
  </si>
  <si>
    <t>Diferencia</t>
  </si>
  <si>
    <t>Weight fokker 27/200</t>
  </si>
  <si>
    <t>% MTOW</t>
  </si>
  <si>
    <t>Weight max</t>
  </si>
  <si>
    <t>Weight min</t>
  </si>
  <si>
    <t>X position</t>
  </si>
  <si>
    <t>PL</t>
  </si>
  <si>
    <t>Wing</t>
  </si>
  <si>
    <t>FW</t>
  </si>
  <si>
    <t>Tail</t>
  </si>
  <si>
    <t>OEW</t>
  </si>
  <si>
    <t>Fuselage</t>
  </si>
  <si>
    <t>Landing gear</t>
  </si>
  <si>
    <t>Surface controls</t>
  </si>
  <si>
    <t>m³</t>
  </si>
  <si>
    <t>Nacelle</t>
  </si>
  <si>
    <t>Engine</t>
  </si>
  <si>
    <t>Pilots</t>
  </si>
  <si>
    <t>Fuel</t>
  </si>
  <si>
    <t>Crew</t>
  </si>
  <si>
    <t>nota: mirar pesos max y min estadisticos de los pilotos</t>
  </si>
  <si>
    <t>Passengers</t>
  </si>
  <si>
    <t>Xcg</t>
  </si>
  <si>
    <t>(una bodega)</t>
  </si>
  <si>
    <t>x b.a.</t>
  </si>
  <si>
    <t>Xcg barra</t>
  </si>
  <si>
    <t>https://www.airlines-inform.com/commercial-aircraft/fokker-f27.html</t>
  </si>
  <si>
    <t>Landing taxi shutdown (P8)</t>
  </si>
  <si>
    <t>MPL</t>
  </si>
  <si>
    <t>ATENCIO FW</t>
  </si>
  <si>
    <t xml:space="preserve">L/D </t>
  </si>
  <si>
    <t>RESERVES</t>
  </si>
  <si>
    <t>Range (km)</t>
  </si>
  <si>
    <t>per la velocitat mitja de vol</t>
  </si>
  <si>
    <t>Comprovar (MFW)</t>
  </si>
  <si>
    <t>W/W</t>
  </si>
  <si>
    <t>Segons Power Tema 4:</t>
  </si>
  <si>
    <t>L/D</t>
  </si>
  <si>
    <t xml:space="preserve">POSAR LINKS </t>
  </si>
  <si>
    <t>http://www.flugzeuginfo.net/acdata_php/acdata_dhc7_en.php</t>
  </si>
  <si>
    <t>https://www.fairchild-dornier.com/resources/Dornier_328TP_page+2.pdf</t>
  </si>
  <si>
    <t>https://www.easa.europa.eu/sites/default/files/dfu/TCDS_EASA.A.096_Do328_Iss_07%20%28Final%29.pdf</t>
  </si>
  <si>
    <t>.</t>
  </si>
  <si>
    <t>Link principal:  https://www.fairchild-dornier.com/2.html</t>
  </si>
  <si>
    <t>https://www.easa.europa.eu/sites/default/files/dfu/EASA-TCDS-A.084_ATR_42---ATR_72-03-17102012.pdf</t>
  </si>
  <si>
    <t>https://www.google.com/search?q=atr-42-400+empty+weight&amp;rlz=1C1CHBF_esES922ES922&amp;sxsrf=AOaemvJD2--YVnhL9joNrpnR5EG-PzpDHg%3A1634122851655&amp;ei=Y7xmYY6zJ8aM8gKdz7mADg&amp;ved=0ahUKEwjO8N2AnsfzAhVGhlwKHZ1nDuAQ4dUDCA4&amp;uact=5&amp;oq=atr-42-400+empty+weight&amp;gs_lcp=Cgdnd3Mtd2l6EAM6BwgjELADECdKBAhBGAFQ6PWxAliC_bECYNP-sQJoAXAAeACAAXKIAdYCkgEDMy4xmAEAoAEByAEBwAEB&amp;sclient=gws-wiz</t>
  </si>
  <si>
    <t>https://en.wikipedia.org/wiki/ATR_42</t>
  </si>
  <si>
    <t>Velo creuer</t>
  </si>
  <si>
    <t>Baggage Fwd</t>
  </si>
  <si>
    <t>Baggage rear</t>
  </si>
  <si>
    <t>1a fila pas</t>
  </si>
  <si>
    <t>ultima fila pas</t>
  </si>
  <si>
    <t>X</t>
  </si>
  <si>
    <t>NO TOCAR LA POSICION DE LAS TABLAS</t>
  </si>
  <si>
    <t>Weight [kg]</t>
  </si>
  <si>
    <t>x [m]</t>
  </si>
  <si>
    <t>Fwd baggage c.</t>
  </si>
  <si>
    <t>Rear baggage c.</t>
  </si>
  <si>
    <t>MFW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</si>
</sst>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"/>
    <numFmt numFmtId="166" formatCode="0.0"/>
    <numFmt numFmtId="167" formatCode="0.0%"/>
    <numFmt numFmtId="168" formatCode="0.000"/>
    <numFmt numFmtId="169" formatCode="0.000000"/>
    <numFmt numFmtId="170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</font>
    <font>
      <b/>
      <sz val="11"/>
      <color theme="1"/>
      <name val="Calibri"/>
    </font>
    <font>
      <sz val="11"/>
      <color rgb="FF444444"/>
      <name val="Calibri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3" fillId="0" borderId="0" xfId="1"/>
    <xf numFmtId="0" fontId="5" fillId="0" borderId="0" xfId="1" applyFont="1"/>
    <xf numFmtId="2" fontId="0" fillId="5" borderId="1" xfId="0" applyNumberFormat="1" applyFill="1" applyBorder="1"/>
    <xf numFmtId="2" fontId="0" fillId="5" borderId="3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1" fillId="0" borderId="2" xfId="0" applyFont="1" applyBorder="1"/>
    <xf numFmtId="2" fontId="0" fillId="5" borderId="2" xfId="0" applyNumberFormat="1" applyFill="1" applyBorder="1"/>
    <xf numFmtId="0" fontId="1" fillId="0" borderId="3" xfId="0" applyFont="1" applyBorder="1"/>
    <xf numFmtId="2" fontId="0" fillId="0" borderId="3" xfId="0" applyNumberFormat="1" applyBorder="1"/>
    <xf numFmtId="0" fontId="1" fillId="0" borderId="9" xfId="0" applyFont="1" applyBorder="1"/>
    <xf numFmtId="2" fontId="0" fillId="6" borderId="10" xfId="0" applyNumberFormat="1" applyFill="1" applyBorder="1"/>
    <xf numFmtId="2" fontId="0" fillId="0" borderId="11" xfId="0" applyNumberFormat="1" applyBorder="1"/>
    <xf numFmtId="1" fontId="0" fillId="5" borderId="5" xfId="0" applyNumberFormat="1" applyFill="1" applyBorder="1"/>
    <xf numFmtId="165" fontId="4" fillId="7" borderId="2" xfId="0" applyNumberFormat="1" applyFont="1" applyFill="1" applyBorder="1"/>
    <xf numFmtId="165" fontId="0" fillId="0" borderId="1" xfId="0" applyNumberFormat="1" applyBorder="1"/>
    <xf numFmtId="165" fontId="4" fillId="5" borderId="2" xfId="0" applyNumberFormat="1" applyFont="1" applyFill="1" applyBorder="1"/>
    <xf numFmtId="0" fontId="4" fillId="0" borderId="0" xfId="0" applyFont="1"/>
    <xf numFmtId="0" fontId="6" fillId="0" borderId="2" xfId="0" applyFont="1" applyBorder="1"/>
    <xf numFmtId="0" fontId="0" fillId="0" borderId="2" xfId="0" applyBorder="1"/>
    <xf numFmtId="0" fontId="3" fillId="0" borderId="0" xfId="1" applyFill="1" applyBorder="1"/>
    <xf numFmtId="1" fontId="7" fillId="0" borderId="2" xfId="0" applyNumberFormat="1" applyFont="1" applyBorder="1"/>
    <xf numFmtId="164" fontId="0" fillId="0" borderId="2" xfId="0" applyNumberFormat="1" applyBorder="1"/>
    <xf numFmtId="0" fontId="0" fillId="0" borderId="12" xfId="0" applyBorder="1"/>
    <xf numFmtId="1" fontId="0" fillId="0" borderId="2" xfId="0" applyNumberFormat="1" applyBorder="1"/>
    <xf numFmtId="1" fontId="0" fillId="5" borderId="14" xfId="0" applyNumberFormat="1" applyFill="1" applyBorder="1"/>
    <xf numFmtId="2" fontId="0" fillId="5" borderId="4" xfId="0" applyNumberFormat="1" applyFill="1" applyBorder="1"/>
    <xf numFmtId="2" fontId="0" fillId="0" borderId="13" xfId="0" applyNumberFormat="1" applyBorder="1"/>
    <xf numFmtId="2" fontId="0" fillId="0" borderId="15" xfId="0" applyNumberFormat="1" applyBorder="1"/>
    <xf numFmtId="0" fontId="0" fillId="0" borderId="3" xfId="0" applyBorder="1"/>
    <xf numFmtId="165" fontId="0" fillId="0" borderId="2" xfId="0" applyNumberFormat="1" applyBorder="1"/>
    <xf numFmtId="0" fontId="0" fillId="0" borderId="8" xfId="0" applyBorder="1"/>
    <xf numFmtId="0" fontId="0" fillId="0" borderId="5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2" fontId="0" fillId="8" borderId="5" xfId="0" applyNumberFormat="1" applyFill="1" applyBorder="1"/>
    <xf numFmtId="2" fontId="0" fillId="8" borderId="1" xfId="0" applyNumberFormat="1" applyFill="1" applyBorder="1"/>
    <xf numFmtId="2" fontId="0" fillId="8" borderId="13" xfId="0" applyNumberFormat="1" applyFill="1" applyBorder="1"/>
    <xf numFmtId="2" fontId="0" fillId="8" borderId="3" xfId="0" applyNumberFormat="1" applyFill="1" applyBorder="1"/>
    <xf numFmtId="0" fontId="0" fillId="9" borderId="1" xfId="0" applyFill="1" applyBorder="1"/>
    <xf numFmtId="2" fontId="0" fillId="0" borderId="7" xfId="0" applyNumberFormat="1" applyBorder="1"/>
    <xf numFmtId="0" fontId="1" fillId="0" borderId="19" xfId="0" applyFont="1" applyBorder="1"/>
    <xf numFmtId="0" fontId="0" fillId="0" borderId="19" xfId="0" applyBorder="1"/>
    <xf numFmtId="0" fontId="1" fillId="10" borderId="19" xfId="0" applyFont="1" applyFill="1" applyBorder="1"/>
    <xf numFmtId="0" fontId="1" fillId="10" borderId="1" xfId="0" applyFont="1" applyFill="1" applyBorder="1"/>
    <xf numFmtId="166" fontId="0" fillId="0" borderId="15" xfId="0" applyNumberFormat="1" applyBorder="1"/>
    <xf numFmtId="166" fontId="0" fillId="0" borderId="1" xfId="0" applyNumberFormat="1" applyBorder="1"/>
    <xf numFmtId="2" fontId="0" fillId="0" borderId="19" xfId="0" applyNumberFormat="1" applyBorder="1"/>
    <xf numFmtId="166" fontId="0" fillId="0" borderId="19" xfId="0" applyNumberFormat="1" applyBorder="1"/>
    <xf numFmtId="167" fontId="0" fillId="0" borderId="15" xfId="2" applyNumberFormat="1" applyFont="1" applyBorder="1"/>
    <xf numFmtId="167" fontId="0" fillId="0" borderId="1" xfId="2" applyNumberFormat="1" applyFont="1" applyBorder="1"/>
    <xf numFmtId="2" fontId="0" fillId="0" borderId="7" xfId="0" applyNumberFormat="1" applyBorder="1" applyAlignment="1">
      <alignment horizontal="center"/>
    </xf>
    <xf numFmtId="167" fontId="0" fillId="0" borderId="0" xfId="0" applyNumberFormat="1"/>
    <xf numFmtId="9" fontId="0" fillId="0" borderId="0" xfId="2" applyFont="1"/>
    <xf numFmtId="166" fontId="0" fillId="0" borderId="0" xfId="0" applyNumberFormat="1"/>
    <xf numFmtId="2" fontId="0" fillId="11" borderId="1" xfId="0" applyNumberFormat="1" applyFill="1" applyBorder="1"/>
    <xf numFmtId="0" fontId="0" fillId="11" borderId="19" xfId="0" applyFill="1" applyBorder="1"/>
    <xf numFmtId="0" fontId="0" fillId="9" borderId="1" xfId="0" applyFill="1" applyBorder="1" applyAlignment="1">
      <alignment horizontal="right"/>
    </xf>
    <xf numFmtId="165" fontId="0" fillId="0" borderId="0" xfId="0" applyNumberFormat="1"/>
    <xf numFmtId="0" fontId="1" fillId="10" borderId="1" xfId="0" applyFont="1" applyFill="1" applyBorder="1" applyAlignment="1">
      <alignment wrapText="1"/>
    </xf>
    <xf numFmtId="0" fontId="7" fillId="0" borderId="0" xfId="0" quotePrefix="1" applyFont="1"/>
    <xf numFmtId="170" fontId="0" fillId="11" borderId="19" xfId="0" applyNumberFormat="1" applyFill="1" applyBorder="1"/>
    <xf numFmtId="0" fontId="0" fillId="0" borderId="1" xfId="0" applyBorder="1" applyAlignment="1">
      <alignment horizontal="center"/>
    </xf>
    <xf numFmtId="168" fontId="0" fillId="11" borderId="19" xfId="0" applyNumberFormat="1" applyFill="1" applyBorder="1"/>
    <xf numFmtId="9" fontId="0" fillId="11" borderId="20" xfId="2" applyFont="1" applyFill="1" applyBorder="1"/>
    <xf numFmtId="2" fontId="11" fillId="0" borderId="0" xfId="0" applyNumberFormat="1" applyFont="1"/>
    <xf numFmtId="2" fontId="0" fillId="0" borderId="3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168" fontId="0" fillId="0" borderId="1" xfId="0" applyNumberFormat="1" applyBorder="1"/>
    <xf numFmtId="2" fontId="0" fillId="0" borderId="4" xfId="0" applyNumberFormat="1" applyBorder="1"/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Fill="1" applyBorder="1"/>
    <xf numFmtId="169" fontId="0" fillId="0" borderId="0" xfId="0" applyNumberFormat="1" applyFill="1" applyBorder="1"/>
    <xf numFmtId="168" fontId="0" fillId="0" borderId="0" xfId="0" applyNumberFormat="1" applyFill="1" applyBorder="1"/>
    <xf numFmtId="170" fontId="0" fillId="0" borderId="0" xfId="0" applyNumberFormat="1" applyFill="1" applyBorder="1"/>
    <xf numFmtId="9" fontId="0" fillId="0" borderId="0" xfId="2" applyFont="1" applyFill="1" applyBorder="1"/>
    <xf numFmtId="166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1" fillId="11" borderId="3" xfId="0" applyNumberFormat="1" applyFont="1" applyFill="1" applyBorder="1"/>
    <xf numFmtId="0" fontId="1" fillId="1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2" fontId="0" fillId="0" borderId="0" xfId="0" applyNumberFormat="1" applyFont="1"/>
  </cellXfs>
  <cellStyles count="3">
    <cellStyle name="Hyperlink" xfId="1" xr:uid="{00000000-000B-0000-0000-000008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invitado" id="{00186393-F10B-4B13-99FE-289FB0344C36}" userId="" providerId="Windows Live"/>
  <person displayName="Irene Muñoz Simó" id="{2EF12981-28C6-4481-AC98-33C8DF90A0CD}" userId="c937d25bc0d054a7" providerId="Windows Live"/>
  <person displayName="Elías Marín Sotil" id="{CDF70289-010B-4F71-99D8-95464C9002BD}" userId="d612b688ec9c918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0" dT="2021-10-13T16:27:51.61" personId="{CDF70289-010B-4F71-99D8-95464C9002BD}" id="{EA98C9FD-3B09-434E-AA3D-FA5369D05EF9}">
    <text>De donde la has sacado?</text>
  </threadedComment>
  <threadedComment ref="P10" dT="2021-10-13T17:37:55.95" personId="{00186393-F10B-4B13-99FE-289FB0344C36}" id="{8EA4B35E-D6BF-40C4-A454-076815BDE2A5}" parentId="{EA98C9FD-3B09-434E-AA3D-FA5369D05EF9}">
    <text>ec. 4.25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1-10-20T14:18:05.63" personId="{2EF12981-28C6-4481-AC98-33C8DF90A0CD}" id="{E243A51A-0F2C-42AA-A574-54A86C4BCB7E}">
    <text>pag 285-298 del PDF Torenbeek útils!</text>
  </threadedComment>
  <threadedComment ref="C2" dT="2021-10-20T14:18:57.70" personId="{2EF12981-28C6-4481-AC98-33C8DF90A0CD}" id="{91C61130-CF04-4EF6-8D4F-C71FFEE6B91D}" parentId="{E243A51A-0F2C-42AA-A574-54A86C4BCB7E}">
    <text>donen weights, no posicions però still</text>
  </threadedComment>
  <threadedComment ref="B11" dT="2021-10-20T14:23:31.89" personId="{2EF12981-28C6-4481-AC98-33C8DF90A0CD}" id="{0ABBDDFB-FC05-4932-B015-875DCCBD9DF7}">
    <text>Paràmetres que varien el CoM durant el vol. Sadraey pg 608 del PDF.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ciencedirect.com/topics/engineering/propulsive-efficiency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flightsafety.org/asw/mar09/asw_mar09_p32-37.pdf" TargetMode="External"/><Relationship Id="rId1" Type="http://schemas.openxmlformats.org/officeDocument/2006/relationships/hyperlink" Target="http://all-aero.com/index.php/contactus/45-planes-d-e-f/2854-de-havilland-canada-dhc-7-dash-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tr-aircraft.com/wp-content/uploads/2020/07/Factsheets_-_ATR_42-600.pdf" TargetMode="External"/><Relationship Id="rId4" Type="http://schemas.openxmlformats.org/officeDocument/2006/relationships/hyperlink" Target="https://contentzone.eurocontrol.int/aircraftperformance/details.aspx?ICAO=D328&amp;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flugzeuginfo.net/acdata_php/acdata_dhc7_en.php" TargetMode="External"/><Relationship Id="rId7" Type="http://schemas.openxmlformats.org/officeDocument/2006/relationships/hyperlink" Target="https://en.wikipedia.org/wiki/ATR_42" TargetMode="External"/><Relationship Id="rId2" Type="http://schemas.openxmlformats.org/officeDocument/2006/relationships/hyperlink" Target="https://www.easa.europa.eu/sites/default/files/dfu/EASA-TCDS-A.084_ATR_42---ATR_72-03-17102012.pdf" TargetMode="External"/><Relationship Id="rId1" Type="http://schemas.openxmlformats.org/officeDocument/2006/relationships/hyperlink" Target="https://www.fairchild-dornier.com/resources/Dornier_328TP_page+2.pdf" TargetMode="External"/><Relationship Id="rId6" Type="http://schemas.openxmlformats.org/officeDocument/2006/relationships/hyperlink" Target="https://www.google.com/search?q=atr-42-400+empty+weight&amp;rlz=1C1CHBF_esES922ES922&amp;sxsrf=AOaemvJD2--YVnhL9joNrpnR5EG-PzpDHg%3A1634122851655&amp;ei=Y7xmYY6zJ8aM8gKdz7mADg&amp;ved=0ahUKEwjO8N2AnsfzAhVGhlwKHZ1nDuAQ4dUDCA4&amp;uact=5&amp;oq=atr-42-400+empty+weight&amp;gs_lcp=Cgdnd3Mtd2l6EAM6BwgjELADECdKBAhBGAFQ6PWxAliC_bECYNP-sQJoAXAAeACAAXKIAdYCkgEDMy4xmAEAoAEByAEBwAEB&amp;sclient=gws-wiz" TargetMode="External"/><Relationship Id="rId5" Type="http://schemas.openxmlformats.org/officeDocument/2006/relationships/hyperlink" Target="https://www.easa.europa.eu/sites/default/files/dfu/TCDS_EASA.A.096_Do328_Iss_07%20%28Final%29.pdf" TargetMode="External"/><Relationship Id="rId4" Type="http://schemas.openxmlformats.org/officeDocument/2006/relationships/hyperlink" Target="https://www.fairchild-dornier.com/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3CBC-C7A5-4F8C-B21D-43A63B37ED48}">
  <dimension ref="B2:Q39"/>
  <sheetViews>
    <sheetView tabSelected="1" workbookViewId="0">
      <selection activeCell="H18" sqref="H18"/>
    </sheetView>
  </sheetViews>
  <sheetFormatPr defaultColWidth="9.140625" defaultRowHeight="15" x14ac:dyDescent="0.25"/>
  <cols>
    <col min="2" max="2" width="15.28515625" customWidth="1"/>
    <col min="3" max="3" width="16" customWidth="1"/>
    <col min="4" max="4" width="12.7109375" customWidth="1"/>
    <col min="5" max="5" width="11.7109375" customWidth="1"/>
    <col min="6" max="6" width="11.85546875" customWidth="1"/>
    <col min="7" max="7" width="12.5703125" customWidth="1"/>
    <col min="8" max="8" width="13.85546875" customWidth="1"/>
    <col min="9" max="9" width="18.7109375" customWidth="1"/>
    <col min="10" max="10" width="16.5703125" customWidth="1"/>
    <col min="11" max="11" width="17.42578125" customWidth="1"/>
    <col min="12" max="12" width="12.42578125" customWidth="1"/>
    <col min="13" max="17" width="17.42578125" customWidth="1"/>
    <col min="19" max="19" width="15.42578125" customWidth="1"/>
    <col min="20" max="20" width="10.42578125" bestFit="1" customWidth="1"/>
    <col min="21" max="21" width="13" customWidth="1"/>
    <col min="22" max="23" width="11.5703125" customWidth="1"/>
    <col min="24" max="24" width="13.42578125" customWidth="1"/>
    <col min="25" max="25" width="24.42578125" customWidth="1"/>
    <col min="26" max="26" width="13.42578125" customWidth="1"/>
  </cols>
  <sheetData>
    <row r="2" spans="2:17" x14ac:dyDescent="0.25">
      <c r="B2" s="2"/>
      <c r="C2" s="2" t="s">
        <v>0</v>
      </c>
      <c r="D2" s="2" t="s">
        <v>1</v>
      </c>
      <c r="E2" s="26" t="s">
        <v>2</v>
      </c>
      <c r="F2" s="24" t="s">
        <v>3</v>
      </c>
      <c r="G2" s="28" t="s">
        <v>4</v>
      </c>
      <c r="H2" s="2" t="s">
        <v>5</v>
      </c>
      <c r="I2" s="3" t="s">
        <v>6</v>
      </c>
      <c r="J2" s="7" t="s">
        <v>7</v>
      </c>
      <c r="K2" s="8" t="s">
        <v>8</v>
      </c>
      <c r="L2" s="6" t="s">
        <v>9</v>
      </c>
      <c r="M2" s="6" t="s">
        <v>10</v>
      </c>
      <c r="N2" s="6" t="s">
        <v>11</v>
      </c>
      <c r="O2" s="8" t="s">
        <v>12</v>
      </c>
      <c r="P2" s="36" t="s">
        <v>13</v>
      </c>
      <c r="Q2" s="36" t="s">
        <v>14</v>
      </c>
    </row>
    <row r="3" spans="2:17" x14ac:dyDescent="0.25">
      <c r="B3" s="2" t="s">
        <v>15</v>
      </c>
      <c r="C3" s="20">
        <v>19958</v>
      </c>
      <c r="D3" s="20">
        <v>12542</v>
      </c>
      <c r="E3" s="27">
        <v>5100</v>
      </c>
      <c r="F3" s="56">
        <f>C3-D3-H3</f>
        <v>3716</v>
      </c>
      <c r="G3" s="57">
        <f>C3-D3-E3</f>
        <v>2316</v>
      </c>
      <c r="H3" s="22">
        <v>3700</v>
      </c>
      <c r="I3" s="21">
        <f>D3/C3</f>
        <v>0.62841968133079462</v>
      </c>
      <c r="J3" s="11">
        <f>C3*(1-$B$13*$C$13*$D$13*$E$13)</f>
        <v>690.0901859075002</v>
      </c>
      <c r="K3" s="31">
        <f>1280000</f>
        <v>1280000</v>
      </c>
      <c r="L3" s="34">
        <f>EXP(-(K3)*$N$11/($N$12*$N$13))</f>
        <v>0.90012591784748053</v>
      </c>
      <c r="M3" s="9">
        <f>D3/C3</f>
        <v>0.62841968133079462</v>
      </c>
      <c r="N3" s="9">
        <f>H3/C3</f>
        <v>0.18538931756689048</v>
      </c>
      <c r="O3" s="11">
        <f>$F$16/(1-M3-N3)</f>
        <v>22154.668998923567</v>
      </c>
      <c r="P3" s="37">
        <v>51.444000000000003</v>
      </c>
    </row>
    <row r="4" spans="2:17" x14ac:dyDescent="0.25">
      <c r="B4" s="2" t="s">
        <v>16</v>
      </c>
      <c r="C4" s="20">
        <v>13990</v>
      </c>
      <c r="D4" s="20">
        <v>9100</v>
      </c>
      <c r="E4" s="27">
        <v>3510</v>
      </c>
      <c r="F4" s="56">
        <f t="shared" ref="F4:F5" si="0">C4-D4-H4</f>
        <v>1462</v>
      </c>
      <c r="G4" s="57">
        <f>C4-D4-E4</f>
        <v>1380</v>
      </c>
      <c r="H4" s="23">
        <v>3428</v>
      </c>
      <c r="I4" s="21">
        <f t="shared" ref="I4:I5" si="1">D4/C4</f>
        <v>0.65046461758398855</v>
      </c>
      <c r="J4" s="11">
        <f>C4*(1-$B$13*$C$13*$D$13*$E$13)</f>
        <v>483.73392628750014</v>
      </c>
      <c r="K4" s="31">
        <f>1352*1000</f>
        <v>1352000</v>
      </c>
      <c r="L4" s="34">
        <f t="shared" ref="L4:L7" si="2">EXP(-(K4)*$N$11/($N$12*$N$13))</f>
        <v>0.89481411374757747</v>
      </c>
      <c r="M4" s="9">
        <f>D4/C4</f>
        <v>0.65046461758398855</v>
      </c>
      <c r="N4" s="9">
        <f>G4/C4</f>
        <v>9.8641887062187281E-2</v>
      </c>
      <c r="O4" s="11">
        <f>$F$16/(1-M4-N4)</f>
        <v>16441.239316239316</v>
      </c>
      <c r="P4" s="37"/>
    </row>
    <row r="5" spans="2:17" x14ac:dyDescent="0.25">
      <c r="B5" s="2" t="s">
        <v>17</v>
      </c>
      <c r="C5" s="20">
        <v>18600</v>
      </c>
      <c r="D5" s="20">
        <v>11550</v>
      </c>
      <c r="E5" s="27">
        <v>5300</v>
      </c>
      <c r="F5" s="58">
        <f t="shared" si="0"/>
        <v>2550</v>
      </c>
      <c r="G5" s="57">
        <f>C5-D5-E5</f>
        <v>1750</v>
      </c>
      <c r="H5" s="22">
        <v>4500</v>
      </c>
      <c r="I5" s="44">
        <f t="shared" si="1"/>
        <v>0.62096774193548387</v>
      </c>
      <c r="J5" s="45">
        <f>C5*(1-$B$13*$C$13*$D$13*$E$13)</f>
        <v>643.1344552500002</v>
      </c>
      <c r="K5" s="31">
        <f>1300*1000</f>
        <v>1300000</v>
      </c>
      <c r="L5" s="34">
        <f t="shared" si="2"/>
        <v>0.89864726174847454</v>
      </c>
      <c r="M5" s="9">
        <f>D5/C5</f>
        <v>0.62096774193548387</v>
      </c>
      <c r="N5" s="9">
        <f>H5/C5</f>
        <v>0.24193548387096775</v>
      </c>
      <c r="O5" s="11">
        <f>$F$16/(1-M5-N5)</f>
        <v>30088.23529411765</v>
      </c>
      <c r="P5" s="37">
        <v>53.502200000000002</v>
      </c>
    </row>
    <row r="6" spans="2:17" x14ac:dyDescent="0.25">
      <c r="B6" s="2" t="s">
        <v>18</v>
      </c>
      <c r="C6" s="20">
        <v>23200</v>
      </c>
      <c r="D6" s="20">
        <v>11000</v>
      </c>
      <c r="E6" s="27">
        <v>9250</v>
      </c>
      <c r="F6" s="59"/>
      <c r="G6" s="57"/>
      <c r="H6" s="20">
        <v>6468</v>
      </c>
      <c r="I6" s="20">
        <v>0.47413793103448276</v>
      </c>
      <c r="J6" s="10">
        <v>802.18921300000022</v>
      </c>
      <c r="K6" s="43">
        <v>2150000</v>
      </c>
      <c r="L6" s="34">
        <f t="shared" si="2"/>
        <v>0.83799951718246557</v>
      </c>
      <c r="M6" s="9">
        <f>D6/C6</f>
        <v>0.47413793103448276</v>
      </c>
      <c r="N6" s="9">
        <f>H6/C6</f>
        <v>0.27879310344827585</v>
      </c>
      <c r="O6" s="11">
        <f>$F$16/(1-M6-N6)</f>
        <v>16695.743196092113</v>
      </c>
      <c r="P6" s="37">
        <v>0.27879310344827585</v>
      </c>
    </row>
    <row r="7" spans="2:17" x14ac:dyDescent="0.25">
      <c r="B7" s="2" t="s">
        <v>19</v>
      </c>
      <c r="C7" s="10">
        <f>AVERAGE(C3:C6)</f>
        <v>18937</v>
      </c>
      <c r="D7" s="10">
        <f>AVERAGE(D3:D6)</f>
        <v>11048</v>
      </c>
      <c r="E7" s="27">
        <f>AVERAGE(E3:E6)</f>
        <v>5790</v>
      </c>
      <c r="F7" s="59">
        <f t="shared" ref="F7:G7" si="3">AVERAGE(F3:F5)</f>
        <v>2576</v>
      </c>
      <c r="G7" s="59">
        <f t="shared" si="3"/>
        <v>1815.3333333333333</v>
      </c>
      <c r="H7" s="27">
        <f>AVERAGE(H3:H6)</f>
        <v>4524</v>
      </c>
      <c r="I7" s="46">
        <f>AVERAGE(I3:I5)</f>
        <v>0.63328401361675579</v>
      </c>
      <c r="J7" s="12">
        <f>AVERAGE(J3:J5)</f>
        <v>605.65285581500018</v>
      </c>
      <c r="K7" s="42">
        <v>1200000</v>
      </c>
      <c r="L7" s="34">
        <f t="shared" si="2"/>
        <v>0.90606491247761323</v>
      </c>
      <c r="M7" s="9">
        <f>D7/C7</f>
        <v>0.58340814278924857</v>
      </c>
      <c r="N7" s="9">
        <f>G7/C7</f>
        <v>9.5861716921018816E-2</v>
      </c>
      <c r="O7" s="11">
        <f>$F$16/(1-M7-N7)</f>
        <v>12861.279567531968</v>
      </c>
      <c r="P7" s="39">
        <f>AVERAGE(P3:P5)</f>
        <v>52.473100000000002</v>
      </c>
    </row>
    <row r="8" spans="2:17" x14ac:dyDescent="0.25">
      <c r="F8" s="108" t="s">
        <v>20</v>
      </c>
      <c r="G8" s="108"/>
    </row>
    <row r="10" spans="2:17" x14ac:dyDescent="0.25">
      <c r="O10" s="41" t="s">
        <v>21</v>
      </c>
      <c r="P10" s="41">
        <f>1.3*P7</f>
        <v>68.215029999999999</v>
      </c>
    </row>
    <row r="11" spans="2:17" x14ac:dyDescent="0.25">
      <c r="B11" s="109" t="s">
        <v>22</v>
      </c>
      <c r="C11" s="109"/>
      <c r="D11" s="109"/>
      <c r="E11" s="109"/>
      <c r="F11" s="109"/>
      <c r="G11" s="109"/>
      <c r="H11" s="109"/>
      <c r="I11" s="109"/>
      <c r="J11" s="109"/>
      <c r="K11" s="109"/>
      <c r="M11" s="37" t="s">
        <v>23</v>
      </c>
      <c r="N11" s="40">
        <f>0.7/(3600*550)*1/0.3048</f>
        <v>1.1598928921763567E-6</v>
      </c>
      <c r="O11" s="37" t="s">
        <v>24</v>
      </c>
      <c r="P11" s="37">
        <f>45*60</f>
        <v>2700</v>
      </c>
    </row>
    <row r="12" spans="2:17" x14ac:dyDescent="0.25">
      <c r="B12" s="51" t="s">
        <v>25</v>
      </c>
      <c r="C12" s="51" t="s">
        <v>26</v>
      </c>
      <c r="D12" s="51" t="s">
        <v>27</v>
      </c>
      <c r="E12" s="52" t="s">
        <v>28</v>
      </c>
      <c r="F12" s="53" t="s">
        <v>9</v>
      </c>
      <c r="G12" s="53" t="s">
        <v>29</v>
      </c>
      <c r="H12" s="54" t="s">
        <v>30</v>
      </c>
      <c r="I12" s="55" t="s">
        <v>31</v>
      </c>
      <c r="J12" s="51" t="s">
        <v>32</v>
      </c>
      <c r="K12" s="51" t="s">
        <v>33</v>
      </c>
      <c r="M12" s="37" t="s">
        <v>34</v>
      </c>
      <c r="N12" s="9">
        <v>0.83</v>
      </c>
    </row>
    <row r="13" spans="2:17" x14ac:dyDescent="0.25">
      <c r="B13" s="1">
        <v>0.99</v>
      </c>
      <c r="C13" s="1">
        <v>0.995</v>
      </c>
      <c r="D13" s="1">
        <v>0.995</v>
      </c>
      <c r="E13" s="47">
        <v>0.98499999999999999</v>
      </c>
      <c r="F13" s="48">
        <f>EXP(-(K7-100000)*$N$11/($N$12*$N$13))</f>
        <v>0.91354379028069033</v>
      </c>
      <c r="G13" s="37">
        <f>P13</f>
        <v>0.98266890678114271</v>
      </c>
      <c r="H13" s="49">
        <v>0.98499999999999999</v>
      </c>
      <c r="I13" s="50">
        <v>0.995</v>
      </c>
      <c r="J13" s="1">
        <f>B13*C13*D13*E13*F13*G13*H13*I13</f>
        <v>0.84940239696375719</v>
      </c>
      <c r="K13" s="1">
        <f>1.05*(1-J13)</f>
        <v>0.15812748318805495</v>
      </c>
      <c r="M13" s="41" t="s">
        <v>35</v>
      </c>
      <c r="N13" s="41">
        <v>17</v>
      </c>
      <c r="O13" s="50" t="s">
        <v>29</v>
      </c>
      <c r="P13" s="1">
        <f>EXP(-P11*N11*P10/(0.866*N12*N13))</f>
        <v>0.98266890678114271</v>
      </c>
    </row>
    <row r="14" spans="2:17" x14ac:dyDescent="0.25">
      <c r="F14" s="79"/>
      <c r="M14" s="1" t="s">
        <v>36</v>
      </c>
      <c r="N14" s="1">
        <v>8</v>
      </c>
    </row>
    <row r="15" spans="2:17" x14ac:dyDescent="0.25">
      <c r="C15" s="62" t="s">
        <v>0</v>
      </c>
      <c r="D15" s="62" t="s">
        <v>1</v>
      </c>
      <c r="E15" s="2" t="s">
        <v>1</v>
      </c>
      <c r="F15" s="26" t="s">
        <v>2</v>
      </c>
      <c r="G15" s="24" t="s">
        <v>3</v>
      </c>
      <c r="H15" s="28" t="s">
        <v>4</v>
      </c>
      <c r="I15" s="2" t="s">
        <v>37</v>
      </c>
    </row>
    <row r="16" spans="2:17" x14ac:dyDescent="0.25">
      <c r="B16" s="26" t="s">
        <v>38</v>
      </c>
      <c r="C16" s="9">
        <v>19819.8402023813</v>
      </c>
      <c r="D16" s="9">
        <f>0.633747731034047*C16</f>
        <v>12560.778757716536</v>
      </c>
      <c r="E16" s="61">
        <f>C16*(-8.2*10^-7*C16 + 0.65)</f>
        <v>12560.778757716542</v>
      </c>
      <c r="F16" s="1">
        <f>44*(77+15)+(77)</f>
        <v>4125</v>
      </c>
      <c r="G16" s="1"/>
      <c r="H16" s="10">
        <f>C16*1.05*(1-J13)</f>
        <v>3134.0614483919849</v>
      </c>
      <c r="I16" s="10">
        <f>H16+F16+E16</f>
        <v>19819.840206108529</v>
      </c>
    </row>
    <row r="17" spans="2:16" x14ac:dyDescent="0.25">
      <c r="C17" s="14"/>
      <c r="D17" s="14"/>
      <c r="H17" s="14"/>
    </row>
    <row r="18" spans="2:16" x14ac:dyDescent="0.25">
      <c r="C18" s="14"/>
      <c r="D18" s="14"/>
      <c r="F18" s="14"/>
      <c r="G18" s="4" t="s">
        <v>129</v>
      </c>
      <c r="H18" s="111"/>
    </row>
    <row r="19" spans="2:16" x14ac:dyDescent="0.25">
      <c r="B19" t="s">
        <v>39</v>
      </c>
      <c r="C19" s="14"/>
      <c r="D19" s="14"/>
      <c r="H19" s="14"/>
    </row>
    <row r="20" spans="2:16" x14ac:dyDescent="0.25">
      <c r="B20" s="2" t="s">
        <v>40</v>
      </c>
      <c r="C20" s="20">
        <v>17900</v>
      </c>
      <c r="D20" s="20">
        <v>11050</v>
      </c>
      <c r="E20" s="27">
        <v>5550</v>
      </c>
      <c r="F20" s="58">
        <f t="shared" ref="F20" si="4">C20-D20-H20</f>
        <v>2350</v>
      </c>
      <c r="G20" s="57">
        <f>C20-D20-E20</f>
        <v>1300</v>
      </c>
      <c r="H20" s="22">
        <v>4500</v>
      </c>
      <c r="I20" s="44">
        <f t="shared" ref="I20" si="5">D20/C20</f>
        <v>0.61731843575418999</v>
      </c>
      <c r="J20" s="45">
        <f>C20*(1-$B$13*$C$13*$D$13*$E$13)</f>
        <v>618.93047037500014</v>
      </c>
      <c r="K20" s="31">
        <f>1300*1000</f>
        <v>1300000</v>
      </c>
      <c r="L20" s="34">
        <f t="shared" ref="L20" si="6">EXP(-(K20)*$N$11/($N$12*$N$13))</f>
        <v>0.89864726174847454</v>
      </c>
      <c r="M20" s="9">
        <f>D20/C20</f>
        <v>0.61731843575418999</v>
      </c>
      <c r="N20" s="9">
        <f>H20/C20</f>
        <v>0.25139664804469275</v>
      </c>
      <c r="O20" s="11">
        <f>$F$16/(1-M20-N20)</f>
        <v>31420.212765957462</v>
      </c>
      <c r="P20" s="37">
        <v>53.502200000000002</v>
      </c>
    </row>
    <row r="21" spans="2:16" x14ac:dyDescent="0.25">
      <c r="C21" s="4"/>
      <c r="G21" s="35"/>
      <c r="H21" s="35"/>
      <c r="I21" s="35"/>
      <c r="J21" s="35"/>
    </row>
    <row r="22" spans="2:16" x14ac:dyDescent="0.25">
      <c r="B22" t="s">
        <v>41</v>
      </c>
      <c r="C22" s="4" t="s">
        <v>42</v>
      </c>
      <c r="G22" s="35"/>
      <c r="H22" s="35"/>
      <c r="I22" s="35"/>
      <c r="J22" s="35"/>
    </row>
    <row r="23" spans="2:16" x14ac:dyDescent="0.25">
      <c r="B23" s="2" t="s">
        <v>15</v>
      </c>
      <c r="C23" s="38" t="s">
        <v>43</v>
      </c>
      <c r="G23" s="35"/>
      <c r="H23" s="35"/>
      <c r="I23" s="35"/>
      <c r="J23" s="35"/>
    </row>
    <row r="24" spans="2:16" x14ac:dyDescent="0.25">
      <c r="B24" s="2" t="s">
        <v>16</v>
      </c>
      <c r="G24" s="35"/>
      <c r="H24" s="35"/>
      <c r="I24" s="35"/>
      <c r="J24" s="35"/>
    </row>
    <row r="25" spans="2:16" x14ac:dyDescent="0.25">
      <c r="B25" s="2" t="s">
        <v>44</v>
      </c>
      <c r="C25" s="18" t="s">
        <v>45</v>
      </c>
      <c r="G25" s="35"/>
      <c r="H25" s="35"/>
      <c r="I25" s="35"/>
      <c r="J25" s="35"/>
    </row>
    <row r="26" spans="2:16" x14ac:dyDescent="0.25">
      <c r="B26" s="2" t="s">
        <v>40</v>
      </c>
      <c r="C26" s="38" t="s">
        <v>46</v>
      </c>
      <c r="G26" s="35"/>
      <c r="H26" s="35"/>
      <c r="I26" s="35"/>
      <c r="J26" s="35"/>
    </row>
    <row r="27" spans="2:16" x14ac:dyDescent="0.25">
      <c r="B27" s="2" t="s">
        <v>47</v>
      </c>
      <c r="C27" s="18" t="s">
        <v>48</v>
      </c>
      <c r="G27" s="35"/>
      <c r="H27" s="35"/>
      <c r="I27" s="35"/>
      <c r="J27" s="35" t="s">
        <v>49</v>
      </c>
      <c r="K27" t="s">
        <v>50</v>
      </c>
    </row>
    <row r="28" spans="2:16" x14ac:dyDescent="0.25">
      <c r="B28" s="2" t="s">
        <v>51</v>
      </c>
      <c r="C28" t="s">
        <v>52</v>
      </c>
    </row>
    <row r="29" spans="2:16" x14ac:dyDescent="0.25">
      <c r="B29" s="5"/>
      <c r="H29" s="2" t="s">
        <v>53</v>
      </c>
      <c r="I29" s="1"/>
      <c r="K29" s="78" t="s">
        <v>54</v>
      </c>
      <c r="L29" s="60">
        <v>55.102789999999999</v>
      </c>
      <c r="M29" s="60" t="s">
        <v>55</v>
      </c>
    </row>
    <row r="30" spans="2:16" x14ac:dyDescent="0.25">
      <c r="B30" s="14"/>
      <c r="H30" s="2" t="s">
        <v>56</v>
      </c>
      <c r="I30" s="1"/>
      <c r="K30" s="78" t="s">
        <v>57</v>
      </c>
      <c r="L30" s="60">
        <v>3820.23</v>
      </c>
      <c r="M30" s="60" t="s">
        <v>58</v>
      </c>
    </row>
    <row r="31" spans="2:16" x14ac:dyDescent="0.25">
      <c r="B31" s="14"/>
      <c r="C31" s="2" t="s">
        <v>59</v>
      </c>
      <c r="D31" s="2" t="s">
        <v>60</v>
      </c>
      <c r="E31" s="2" t="s">
        <v>61</v>
      </c>
      <c r="F31" s="4" t="s">
        <v>62</v>
      </c>
      <c r="H31" s="2" t="s">
        <v>63</v>
      </c>
      <c r="I31" s="10"/>
    </row>
    <row r="32" spans="2:16" x14ac:dyDescent="0.25">
      <c r="B32" s="2" t="s">
        <v>15</v>
      </c>
      <c r="C32" s="1">
        <v>79.900000000000006</v>
      </c>
      <c r="D32" s="1">
        <v>750</v>
      </c>
      <c r="E32" s="1">
        <v>210</v>
      </c>
      <c r="H32" s="2" t="s">
        <v>64</v>
      </c>
      <c r="I32" s="10"/>
    </row>
    <row r="33" spans="2:9" x14ac:dyDescent="0.25">
      <c r="B33" s="2" t="s">
        <v>16</v>
      </c>
      <c r="C33" s="1">
        <v>40</v>
      </c>
      <c r="D33" s="1">
        <v>1250</v>
      </c>
      <c r="E33" s="1">
        <v>310</v>
      </c>
      <c r="H33" s="2" t="s">
        <v>65</v>
      </c>
      <c r="I33" s="60">
        <v>55.102789999999999</v>
      </c>
    </row>
    <row r="34" spans="2:9" x14ac:dyDescent="0.25">
      <c r="B34" s="2" t="s">
        <v>40</v>
      </c>
      <c r="C34" s="1">
        <v>54.5</v>
      </c>
      <c r="D34" s="1">
        <v>1100</v>
      </c>
      <c r="E34" s="1">
        <v>250</v>
      </c>
      <c r="H34" s="2" t="s">
        <v>66</v>
      </c>
      <c r="I34" s="60">
        <v>3820.23</v>
      </c>
    </row>
    <row r="35" spans="2:9" x14ac:dyDescent="0.25">
      <c r="B35" s="2" t="s">
        <v>18</v>
      </c>
      <c r="C35" s="1">
        <v>59</v>
      </c>
      <c r="D35" s="1"/>
      <c r="E35" s="1"/>
    </row>
    <row r="36" spans="2:9" x14ac:dyDescent="0.25">
      <c r="B36" s="2" t="s">
        <v>19</v>
      </c>
      <c r="C36" s="10">
        <f>AVERAGE(C32:C35)</f>
        <v>58.35</v>
      </c>
      <c r="D36" s="10">
        <f>AVERAGE(D32:D35)</f>
        <v>1033.3333333333333</v>
      </c>
      <c r="E36" s="10">
        <f>AVERAGE(E32:E35)</f>
        <v>256.66666666666669</v>
      </c>
      <c r="H36" s="2" t="s">
        <v>67</v>
      </c>
      <c r="I36" s="1">
        <f>I33/(SQRT(N14*I33))</f>
        <v>2.6244711372007887</v>
      </c>
    </row>
    <row r="37" spans="2:9" x14ac:dyDescent="0.25">
      <c r="D37" s="14">
        <f>D36*1/3.28084*1/60</f>
        <v>5.2493331653546713</v>
      </c>
      <c r="E37" s="14">
        <f>E36*100/3.28083</f>
        <v>7823.2235948423622</v>
      </c>
    </row>
    <row r="39" spans="2:9" x14ac:dyDescent="0.25">
      <c r="D39" s="18" t="s">
        <v>68</v>
      </c>
    </row>
  </sheetData>
  <mergeCells count="2">
    <mergeCell ref="F8:G8"/>
    <mergeCell ref="B11:K11"/>
  </mergeCells>
  <hyperlinks>
    <hyperlink ref="C23" r:id="rId1" xr:uid="{F77A5235-9DD6-4834-A030-FF70889E76C4}"/>
    <hyperlink ref="C26" r:id="rId2" xr:uid="{E22C4AD0-1860-4D57-A47C-D73CE7328C0A}"/>
    <hyperlink ref="C27" r:id="rId3" xr:uid="{4D4D3826-D0C4-4B67-BACE-3DF78CC70783}"/>
    <hyperlink ref="D39" r:id="rId4" xr:uid="{FD6E79EE-7B8F-434E-AD1D-170977488FFA}"/>
    <hyperlink ref="C25" r:id="rId5" xr:uid="{BD819F76-AAFD-4FB6-99BD-1854A3A07AD6}"/>
  </hyperlinks>
  <pageMargins left="0.7" right="0.7" top="0.75" bottom="0.75" header="0.3" footer="0.3"/>
  <pageSetup paperSize="9" orientation="portrait" horizontalDpi="4294967293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D1C0-3A87-48F1-8350-39394557521E}">
  <dimension ref="B1:R43"/>
  <sheetViews>
    <sheetView zoomScaleNormal="100" workbookViewId="0">
      <selection activeCell="B2" sqref="B2:K25"/>
    </sheetView>
  </sheetViews>
  <sheetFormatPr defaultColWidth="9.140625" defaultRowHeight="15" x14ac:dyDescent="0.25"/>
  <cols>
    <col min="1" max="1" width="13.7109375" customWidth="1"/>
    <col min="2" max="2" width="18.140625" customWidth="1"/>
    <col min="3" max="3" width="22.5703125" customWidth="1"/>
    <col min="4" max="4" width="13.28515625" customWidth="1"/>
    <col min="5" max="5" width="14.5703125" customWidth="1"/>
    <col min="6" max="6" width="11.85546875" customWidth="1"/>
    <col min="7" max="7" width="12.5703125" customWidth="1"/>
    <col min="8" max="8" width="11.28515625" customWidth="1"/>
    <col min="10" max="10" width="9.85546875" customWidth="1"/>
    <col min="11" max="11" width="10.7109375" customWidth="1"/>
    <col min="12" max="12" width="11.5703125" customWidth="1"/>
    <col min="13" max="13" width="10" customWidth="1"/>
    <col min="14" max="14" width="9.28515625" bestFit="1" customWidth="1"/>
    <col min="15" max="15" width="12.42578125" customWidth="1"/>
    <col min="16" max="16" width="10.42578125" customWidth="1"/>
    <col min="18" max="18" width="10.42578125" customWidth="1"/>
  </cols>
  <sheetData>
    <row r="1" spans="2:18" x14ac:dyDescent="0.25">
      <c r="B1" s="110" t="s">
        <v>124</v>
      </c>
      <c r="C1" s="110"/>
      <c r="D1" s="110"/>
      <c r="E1" s="110"/>
      <c r="F1" s="110"/>
      <c r="G1" s="110"/>
    </row>
    <row r="2" spans="2:18" x14ac:dyDescent="0.25">
      <c r="B2" s="1"/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</row>
    <row r="3" spans="2:18" x14ac:dyDescent="0.25">
      <c r="B3" s="62" t="s">
        <v>78</v>
      </c>
      <c r="C3" s="66">
        <f>0.45359237*4.505*10^3</f>
        <v>2043.4336268500001</v>
      </c>
      <c r="D3" s="70">
        <v>0.15</v>
      </c>
      <c r="E3" s="87">
        <f t="shared" ref="E3:E8" si="0">D3*$J$23</f>
        <v>2972.9760303571948</v>
      </c>
      <c r="F3" s="72"/>
      <c r="G3" s="46">
        <v>11.5</v>
      </c>
    </row>
    <row r="4" spans="2:18" x14ac:dyDescent="0.25">
      <c r="B4" s="62" t="s">
        <v>80</v>
      </c>
      <c r="C4" s="67">
        <f>0.45359237*1.501*10^3</f>
        <v>680.84214737000002</v>
      </c>
      <c r="D4" s="71">
        <v>3.5000000000000003E-2</v>
      </c>
      <c r="E4" s="87">
        <f t="shared" si="0"/>
        <v>693.6944070833456</v>
      </c>
      <c r="F4" s="72"/>
      <c r="G4" s="10">
        <v>20.92</v>
      </c>
    </row>
    <row r="5" spans="2:18" x14ac:dyDescent="0.25">
      <c r="B5" s="62" t="s">
        <v>82</v>
      </c>
      <c r="C5" s="67">
        <f>0.45359237*4.303*10^3</f>
        <v>1951.80796811</v>
      </c>
      <c r="D5" s="71">
        <v>0.32</v>
      </c>
      <c r="E5" s="87">
        <f t="shared" si="0"/>
        <v>6342.3488647620161</v>
      </c>
      <c r="F5" s="72"/>
      <c r="G5" s="10">
        <v>10.3</v>
      </c>
    </row>
    <row r="6" spans="2:18" x14ac:dyDescent="0.25">
      <c r="B6" s="62" t="s">
        <v>83</v>
      </c>
      <c r="C6" s="67">
        <f>0.45359237*1.825*10^3</f>
        <v>827.80607525000005</v>
      </c>
      <c r="D6" s="71">
        <v>4.2000000000000003E-2</v>
      </c>
      <c r="E6" s="87">
        <f t="shared" si="0"/>
        <v>832.43328850001467</v>
      </c>
      <c r="F6" s="72"/>
      <c r="G6" s="10">
        <v>8.0215999999999994</v>
      </c>
      <c r="O6" s="95"/>
      <c r="P6" s="95"/>
      <c r="Q6" s="95"/>
      <c r="R6" s="95"/>
    </row>
    <row r="7" spans="2:18" x14ac:dyDescent="0.25">
      <c r="B7" s="62" t="s">
        <v>84</v>
      </c>
      <c r="C7" s="67">
        <f>0.45359237*0.62*10^3</f>
        <v>281.22726940000001</v>
      </c>
      <c r="D7" s="71">
        <v>1.4999999999999999E-2</v>
      </c>
      <c r="E7" s="87">
        <f t="shared" si="0"/>
        <v>297.29760303571948</v>
      </c>
      <c r="F7" s="72"/>
      <c r="G7" s="10">
        <v>12.574400000000001</v>
      </c>
      <c r="O7" s="96"/>
      <c r="P7" s="95"/>
      <c r="Q7" s="95"/>
      <c r="R7" s="95"/>
    </row>
    <row r="8" spans="2:18" x14ac:dyDescent="0.25">
      <c r="B8" s="62" t="s">
        <v>86</v>
      </c>
      <c r="C8" s="67">
        <f>0.667*10^3*0.453592</f>
        <v>302.54586399999999</v>
      </c>
      <c r="D8" s="71">
        <v>1.5299999999999999E-2</v>
      </c>
      <c r="E8" s="87">
        <f t="shared" si="0"/>
        <v>303.24355509643385</v>
      </c>
      <c r="F8" s="72"/>
      <c r="G8" s="10">
        <f>F21</f>
        <v>10.187764431399605</v>
      </c>
      <c r="I8" s="14"/>
      <c r="N8" s="74"/>
      <c r="O8" s="96"/>
      <c r="P8" s="95"/>
      <c r="Q8" s="95"/>
      <c r="R8" s="95"/>
    </row>
    <row r="9" spans="2:18" x14ac:dyDescent="0.25">
      <c r="B9" s="62" t="s">
        <v>87</v>
      </c>
      <c r="C9" s="69">
        <f>2*547</f>
        <v>1094</v>
      </c>
      <c r="D9" s="63"/>
      <c r="E9" s="87">
        <f>2*481.7</f>
        <v>963.4</v>
      </c>
      <c r="F9" s="72"/>
      <c r="G9" s="68">
        <f>F21</f>
        <v>10.187764431399605</v>
      </c>
      <c r="I9" s="14"/>
      <c r="J9" s="14"/>
      <c r="O9" s="96"/>
      <c r="P9" s="95"/>
      <c r="Q9" s="95"/>
      <c r="R9" s="95"/>
    </row>
    <row r="10" spans="2:18" x14ac:dyDescent="0.25">
      <c r="B10" s="62" t="s">
        <v>88</v>
      </c>
      <c r="C10" s="102" t="s">
        <v>123</v>
      </c>
      <c r="D10" s="63"/>
      <c r="E10" s="87">
        <f>77*2</f>
        <v>154</v>
      </c>
      <c r="F10" s="72"/>
      <c r="G10" s="68">
        <v>2.2764000000000002</v>
      </c>
      <c r="H10" t="s">
        <v>91</v>
      </c>
      <c r="I10" s="14"/>
      <c r="J10" s="14"/>
      <c r="O10" s="96"/>
      <c r="P10" s="95"/>
      <c r="Q10" s="95"/>
      <c r="R10" s="95"/>
    </row>
    <row r="11" spans="2:18" x14ac:dyDescent="0.25">
      <c r="B11" s="64" t="s">
        <v>89</v>
      </c>
      <c r="C11" s="103" t="s">
        <v>123</v>
      </c>
      <c r="D11" s="63"/>
      <c r="E11" s="88">
        <f>'FULLA NETA'!H16</f>
        <v>3134.0614483919849</v>
      </c>
      <c r="F11" s="68">
        <f>E11*0.05</f>
        <v>156.70307241959927</v>
      </c>
      <c r="G11" s="68">
        <f>F21+'FULLA NETA'!I36/4</f>
        <v>10.843882215699802</v>
      </c>
      <c r="O11" s="96"/>
      <c r="P11" s="95"/>
      <c r="Q11" s="95"/>
      <c r="R11" s="95"/>
    </row>
    <row r="12" spans="2:18" x14ac:dyDescent="0.25">
      <c r="B12" s="65" t="s">
        <v>90</v>
      </c>
      <c r="C12" s="83" t="s">
        <v>123</v>
      </c>
      <c r="D12" s="1"/>
      <c r="E12" s="89">
        <v>77</v>
      </c>
      <c r="F12" s="10">
        <v>0</v>
      </c>
      <c r="G12" s="1">
        <v>15.61</v>
      </c>
      <c r="H12" t="s">
        <v>91</v>
      </c>
      <c r="O12" s="96"/>
      <c r="P12" s="95"/>
      <c r="Q12" s="95"/>
      <c r="R12" s="97"/>
    </row>
    <row r="13" spans="2:18" x14ac:dyDescent="0.25">
      <c r="B13" s="65" t="s">
        <v>119</v>
      </c>
      <c r="C13" s="83" t="s">
        <v>123</v>
      </c>
      <c r="D13" s="1"/>
      <c r="E13" s="10">
        <v>300</v>
      </c>
      <c r="F13" s="10">
        <v>0</v>
      </c>
      <c r="G13" s="68">
        <v>3.84</v>
      </c>
      <c r="H13">
        <v>6</v>
      </c>
      <c r="I13" t="s">
        <v>85</v>
      </c>
      <c r="O13" s="96"/>
      <c r="P13" s="95"/>
      <c r="Q13" s="95"/>
      <c r="R13" s="97"/>
    </row>
    <row r="14" spans="2:18" x14ac:dyDescent="0.25">
      <c r="B14" s="64" t="s">
        <v>120</v>
      </c>
      <c r="C14" s="83" t="s">
        <v>123</v>
      </c>
      <c r="D14" s="63"/>
      <c r="E14" s="68">
        <v>140</v>
      </c>
      <c r="F14" s="94">
        <v>0</v>
      </c>
      <c r="G14" s="10">
        <v>17.12</v>
      </c>
      <c r="H14">
        <v>2.8</v>
      </c>
      <c r="I14" t="s">
        <v>85</v>
      </c>
      <c r="O14" s="95"/>
      <c r="P14" s="95"/>
      <c r="Q14" s="95"/>
      <c r="R14" s="98"/>
    </row>
    <row r="15" spans="2:18" x14ac:dyDescent="0.25">
      <c r="B15" s="64" t="s">
        <v>92</v>
      </c>
      <c r="C15" s="83" t="s">
        <v>123</v>
      </c>
      <c r="D15" s="63"/>
      <c r="E15" s="68">
        <f>77*44+5*44</f>
        <v>3608</v>
      </c>
      <c r="F15" s="94">
        <v>0</v>
      </c>
      <c r="G15" s="1">
        <v>10.62</v>
      </c>
      <c r="O15" s="95"/>
      <c r="P15" s="95"/>
      <c r="Q15" s="95"/>
      <c r="R15" s="95"/>
    </row>
    <row r="16" spans="2:18" x14ac:dyDescent="0.25">
      <c r="B16" s="64" t="s">
        <v>121</v>
      </c>
      <c r="C16" s="83" t="s">
        <v>123</v>
      </c>
      <c r="D16" s="63"/>
      <c r="E16" s="68"/>
      <c r="F16" s="94"/>
      <c r="G16" s="1">
        <v>5.8167609999999996</v>
      </c>
      <c r="I16" s="1">
        <v>5.8167609999999996</v>
      </c>
      <c r="O16" s="95"/>
      <c r="P16" s="95"/>
      <c r="Q16" s="95"/>
      <c r="R16" s="95"/>
    </row>
    <row r="17" spans="2:18" x14ac:dyDescent="0.25">
      <c r="B17" s="80" t="s">
        <v>122</v>
      </c>
      <c r="C17" s="83" t="s">
        <v>123</v>
      </c>
      <c r="D17" s="1"/>
      <c r="E17" s="10"/>
      <c r="F17" s="27"/>
      <c r="G17" s="1">
        <f>G16+J17</f>
        <v>14.267530000000001</v>
      </c>
      <c r="I17" s="1">
        <v>14.267530000000001</v>
      </c>
      <c r="J17">
        <f>I17-I16</f>
        <v>8.4507690000000011</v>
      </c>
      <c r="O17" s="95"/>
      <c r="P17" s="95"/>
      <c r="Q17" s="95"/>
      <c r="R17" s="95"/>
    </row>
    <row r="18" spans="2:18" x14ac:dyDescent="0.25">
      <c r="B18" s="4"/>
      <c r="E18" s="14"/>
      <c r="F18" s="14"/>
      <c r="O18" s="95"/>
      <c r="P18" s="95"/>
      <c r="Q18" s="95"/>
      <c r="R18" s="95"/>
    </row>
    <row r="19" spans="2:18" x14ac:dyDescent="0.25">
      <c r="B19" s="76" t="s">
        <v>81</v>
      </c>
      <c r="C19" s="76">
        <f>SUM(E3:E10)</f>
        <v>12559.393748834726</v>
      </c>
      <c r="E19" s="76" t="s">
        <v>12</v>
      </c>
      <c r="F19" s="76">
        <f>SUM(E3:E15)</f>
        <v>19818.455197226711</v>
      </c>
      <c r="G19" s="86"/>
      <c r="H19" s="1"/>
      <c r="I19" s="1" t="s">
        <v>69</v>
      </c>
      <c r="J19" s="1" t="s">
        <v>70</v>
      </c>
      <c r="K19" s="1" t="s">
        <v>71</v>
      </c>
      <c r="O19" s="97"/>
      <c r="P19" s="97"/>
      <c r="Q19" s="95"/>
      <c r="R19" s="95"/>
    </row>
    <row r="20" spans="2:18" x14ac:dyDescent="0.25">
      <c r="B20" s="77" t="s">
        <v>93</v>
      </c>
      <c r="C20" s="82">
        <f>(E3*G3+E4*G4+E5*G5+E6*G6+E7*G7+E8*G8+E9*G9+E10*G10)/C19</f>
        <v>10.963755497325096</v>
      </c>
      <c r="E20" s="77" t="s">
        <v>93</v>
      </c>
      <c r="F20" s="82">
        <f>(E3*G3+E4*G4+E5*G5+E6*G6+E7*G7+E8*G8+E9*G9+E10*G10+E11*G11+E12*G12+E13*G13+E14*G14+E15*G15)/F19</f>
        <v>10.835922544055629</v>
      </c>
      <c r="G20" t="s">
        <v>94</v>
      </c>
      <c r="H20" s="2" t="s">
        <v>77</v>
      </c>
      <c r="I20" s="10">
        <f>E15+E13+E12</f>
        <v>3985</v>
      </c>
      <c r="J20" s="1">
        <f>'FULLA NETA'!F16</f>
        <v>4125</v>
      </c>
      <c r="K20" s="93">
        <f>ABS(J20-I20)</f>
        <v>140</v>
      </c>
      <c r="O20" s="95"/>
      <c r="P20" s="98"/>
      <c r="Q20" s="95"/>
      <c r="R20" s="95"/>
    </row>
    <row r="21" spans="2:18" x14ac:dyDescent="0.25">
      <c r="B21" s="76" t="s">
        <v>95</v>
      </c>
      <c r="C21" s="84">
        <f>G3-'FULLA NETA'!I36/2</f>
        <v>10.187764431399605</v>
      </c>
      <c r="E21" s="76" t="s">
        <v>95</v>
      </c>
      <c r="F21" s="84">
        <f>G3-'FULLA NETA'!I36/2</f>
        <v>10.187764431399605</v>
      </c>
      <c r="H21" s="2" t="s">
        <v>79</v>
      </c>
      <c r="I21" s="10">
        <f>E11</f>
        <v>3134.0614483919849</v>
      </c>
      <c r="J21" s="10">
        <f>'FULLA NETA'!H16</f>
        <v>3134.0614483919849</v>
      </c>
      <c r="K21" s="93">
        <f t="shared" ref="K21:K23" si="1">ABS(J21-I21)</f>
        <v>0</v>
      </c>
      <c r="O21" s="97"/>
      <c r="P21" s="99"/>
      <c r="Q21" s="95"/>
      <c r="R21" s="95"/>
    </row>
    <row r="22" spans="2:18" x14ac:dyDescent="0.25">
      <c r="B22" s="104" t="s">
        <v>96</v>
      </c>
      <c r="C22" s="85">
        <f>(C20-C21)/F24</f>
        <v>0.29567521430361304</v>
      </c>
      <c r="E22" s="104" t="s">
        <v>96</v>
      </c>
      <c r="F22" s="85">
        <f>(F20-F21)/F24</f>
        <v>0.24696713309918006</v>
      </c>
      <c r="H22" s="2" t="s">
        <v>81</v>
      </c>
      <c r="I22" s="10">
        <f>SUM(E3:E10)</f>
        <v>12559.393748834726</v>
      </c>
      <c r="J22" s="10">
        <f>'FULLA NETA'!E16</f>
        <v>12560.778757716542</v>
      </c>
      <c r="K22" s="93">
        <f t="shared" si="1"/>
        <v>1.3850088818162476</v>
      </c>
      <c r="O22" s="95"/>
      <c r="P22" s="95"/>
      <c r="Q22" s="95"/>
      <c r="R22" s="95"/>
    </row>
    <row r="23" spans="2:18" x14ac:dyDescent="0.25">
      <c r="D23" s="73"/>
      <c r="H23" s="2" t="s">
        <v>12</v>
      </c>
      <c r="I23" s="10">
        <f>SUM(E3:E15)</f>
        <v>19818.455197226711</v>
      </c>
      <c r="J23" s="10">
        <f>'FULLA NETA'!C16</f>
        <v>19819.8402023813</v>
      </c>
      <c r="K23" s="93">
        <f t="shared" si="1"/>
        <v>1.3850051545887254</v>
      </c>
    </row>
    <row r="24" spans="2:18" x14ac:dyDescent="0.25">
      <c r="E24" s="1" t="s">
        <v>67</v>
      </c>
      <c r="F24" s="1">
        <f>'FULLA NETA'!I36</f>
        <v>2.6244711372007887</v>
      </c>
      <c r="P24" s="81"/>
    </row>
    <row r="25" spans="2:18" x14ac:dyDescent="0.25">
      <c r="B25" s="90"/>
      <c r="C25" s="91"/>
    </row>
    <row r="26" spans="2:18" x14ac:dyDescent="0.25">
      <c r="B26" s="90"/>
      <c r="C26" s="91"/>
      <c r="F26" s="74"/>
    </row>
    <row r="27" spans="2:18" x14ac:dyDescent="0.25">
      <c r="B27" s="90"/>
      <c r="C27" s="92"/>
      <c r="D27" s="75"/>
      <c r="E27" s="75"/>
    </row>
    <row r="28" spans="2:18" x14ac:dyDescent="0.25">
      <c r="B28" s="90"/>
      <c r="C28" s="92"/>
      <c r="D28" s="74"/>
    </row>
    <row r="32" spans="2:18" x14ac:dyDescent="0.25">
      <c r="B32" t="s">
        <v>97</v>
      </c>
      <c r="E32" s="95"/>
      <c r="F32" s="95"/>
      <c r="G32" s="95"/>
      <c r="H32" s="95"/>
      <c r="I32" s="95"/>
      <c r="J32" s="95"/>
    </row>
    <row r="33" spans="5:10" x14ac:dyDescent="0.25">
      <c r="E33" s="95"/>
      <c r="F33" s="95"/>
      <c r="G33" s="95"/>
      <c r="H33" s="95"/>
      <c r="I33" s="95"/>
      <c r="J33" s="95"/>
    </row>
    <row r="34" spans="5:10" x14ac:dyDescent="0.25">
      <c r="E34" s="95"/>
      <c r="F34" s="82">
        <v>10.86565</v>
      </c>
      <c r="G34" s="95"/>
      <c r="H34" s="95"/>
      <c r="I34" s="95"/>
      <c r="J34" s="95"/>
    </row>
    <row r="35" spans="5:10" x14ac:dyDescent="0.25">
      <c r="E35" s="95"/>
      <c r="F35" s="84">
        <f>G3-'FULLA NETA'!I36/2</f>
        <v>10.187764431399605</v>
      </c>
      <c r="G35" s="95"/>
      <c r="H35" s="100"/>
      <c r="I35" s="95"/>
      <c r="J35" s="95"/>
    </row>
    <row r="36" spans="5:10" x14ac:dyDescent="0.25">
      <c r="E36" s="95"/>
      <c r="F36" s="85">
        <f>(F34-F21)/F24</f>
        <v>0.25829416029448699</v>
      </c>
      <c r="G36" s="97"/>
      <c r="H36" s="99"/>
      <c r="I36" s="95"/>
      <c r="J36" s="95"/>
    </row>
    <row r="37" spans="5:10" x14ac:dyDescent="0.25">
      <c r="E37" s="95"/>
      <c r="F37" s="95"/>
      <c r="G37" s="97"/>
      <c r="H37" s="101"/>
      <c r="I37" s="95"/>
      <c r="J37" s="95"/>
    </row>
    <row r="38" spans="5:10" x14ac:dyDescent="0.25">
      <c r="E38" s="95"/>
      <c r="F38" s="95"/>
      <c r="G38" s="95"/>
      <c r="H38" s="95"/>
      <c r="I38" s="95"/>
      <c r="J38" s="95"/>
    </row>
    <row r="39" spans="5:10" x14ac:dyDescent="0.25">
      <c r="E39" s="95"/>
      <c r="F39" s="95"/>
      <c r="G39" s="95"/>
      <c r="H39" s="95"/>
      <c r="I39" s="95"/>
      <c r="J39" s="95"/>
    </row>
    <row r="40" spans="5:10" x14ac:dyDescent="0.25">
      <c r="E40" s="95"/>
      <c r="F40" s="95"/>
      <c r="G40" s="95"/>
      <c r="H40" s="95"/>
      <c r="I40" s="95"/>
      <c r="J40" s="95"/>
    </row>
    <row r="41" spans="5:10" x14ac:dyDescent="0.25">
      <c r="E41" s="95"/>
      <c r="F41" s="95"/>
      <c r="G41" s="95"/>
      <c r="H41" s="95"/>
      <c r="I41" s="95"/>
      <c r="J41" s="95"/>
    </row>
    <row r="42" spans="5:10" x14ac:dyDescent="0.25">
      <c r="E42" s="95"/>
      <c r="F42" s="95"/>
      <c r="G42" s="95"/>
      <c r="H42" s="95"/>
      <c r="I42" s="95"/>
      <c r="J42" s="95"/>
    </row>
    <row r="43" spans="5:10" x14ac:dyDescent="0.25">
      <c r="E43" s="95"/>
      <c r="F43" s="95"/>
      <c r="G43" s="95"/>
      <c r="H43" s="95"/>
      <c r="I43" s="95"/>
      <c r="J43" s="95"/>
    </row>
  </sheetData>
  <mergeCells count="1">
    <mergeCell ref="B1: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9160-7FC7-40F2-BCB3-5591BB826499}">
  <dimension ref="D5:M27"/>
  <sheetViews>
    <sheetView workbookViewId="0">
      <selection activeCell="D5" sqref="D5:F18"/>
    </sheetView>
  </sheetViews>
  <sheetFormatPr defaultRowHeight="15" x14ac:dyDescent="0.25"/>
  <cols>
    <col min="4" max="4" width="17.28515625" customWidth="1"/>
    <col min="5" max="5" width="13.7109375" customWidth="1"/>
    <col min="6" max="6" width="11" customWidth="1"/>
    <col min="7" max="7" width="17.42578125" customWidth="1"/>
    <col min="8" max="8" width="14.140625" customWidth="1"/>
  </cols>
  <sheetData>
    <row r="5" spans="4:11" x14ac:dyDescent="0.25">
      <c r="D5" s="91"/>
      <c r="E5" s="105" t="s">
        <v>125</v>
      </c>
      <c r="F5" s="105" t="s">
        <v>126</v>
      </c>
      <c r="H5" t="s">
        <v>75</v>
      </c>
    </row>
    <row r="6" spans="4:11" x14ac:dyDescent="0.25">
      <c r="D6" s="107" t="s">
        <v>78</v>
      </c>
      <c r="E6" s="106">
        <v>2972.9760303571948</v>
      </c>
      <c r="F6" s="106">
        <v>11.5</v>
      </c>
    </row>
    <row r="7" spans="4:11" x14ac:dyDescent="0.25">
      <c r="D7" s="107" t="s">
        <v>80</v>
      </c>
      <c r="E7" s="106">
        <v>693.6944070833456</v>
      </c>
      <c r="F7" s="106">
        <v>20.92</v>
      </c>
    </row>
    <row r="8" spans="4:11" x14ac:dyDescent="0.25">
      <c r="D8" s="107" t="s">
        <v>82</v>
      </c>
      <c r="E8" s="106">
        <v>6342.3488647620161</v>
      </c>
      <c r="F8" s="106">
        <v>10.3</v>
      </c>
    </row>
    <row r="9" spans="4:11" x14ac:dyDescent="0.25">
      <c r="D9" s="107" t="s">
        <v>83</v>
      </c>
      <c r="E9" s="106">
        <v>832.43328850001467</v>
      </c>
      <c r="F9" s="106">
        <v>8.0215999999999994</v>
      </c>
    </row>
    <row r="10" spans="4:11" x14ac:dyDescent="0.25">
      <c r="D10" s="107" t="s">
        <v>84</v>
      </c>
      <c r="E10" s="106">
        <v>297.29760303571948</v>
      </c>
      <c r="F10" s="106">
        <v>12.574400000000001</v>
      </c>
    </row>
    <row r="11" spans="4:11" x14ac:dyDescent="0.25">
      <c r="D11" s="107" t="s">
        <v>86</v>
      </c>
      <c r="E11" s="106">
        <v>303.24355509643385</v>
      </c>
      <c r="F11" s="106">
        <v>10.187764431399605</v>
      </c>
    </row>
    <row r="12" spans="4:11" x14ac:dyDescent="0.25">
      <c r="D12" s="107" t="s">
        <v>87</v>
      </c>
      <c r="E12" s="106">
        <v>963.4</v>
      </c>
      <c r="F12" s="106">
        <v>10.187764431399605</v>
      </c>
    </row>
    <row r="13" spans="4:11" x14ac:dyDescent="0.25">
      <c r="D13" s="107" t="s">
        <v>88</v>
      </c>
      <c r="E13" s="106">
        <v>154</v>
      </c>
      <c r="F13" s="106">
        <v>2.2764000000000002</v>
      </c>
      <c r="J13" t="s">
        <v>91</v>
      </c>
    </row>
    <row r="14" spans="4:11" x14ac:dyDescent="0.25">
      <c r="D14" s="107" t="s">
        <v>89</v>
      </c>
      <c r="E14" s="106">
        <v>3134.0614483919849</v>
      </c>
      <c r="F14" s="106">
        <v>10.843882215699802</v>
      </c>
      <c r="H14">
        <v>156.70307241959927</v>
      </c>
    </row>
    <row r="15" spans="4:11" x14ac:dyDescent="0.25">
      <c r="D15" s="107" t="s">
        <v>90</v>
      </c>
      <c r="E15" s="106">
        <v>77</v>
      </c>
      <c r="F15" s="106">
        <v>15.61</v>
      </c>
      <c r="H15">
        <v>0</v>
      </c>
      <c r="J15" t="s">
        <v>91</v>
      </c>
    </row>
    <row r="16" spans="4:11" x14ac:dyDescent="0.25">
      <c r="D16" s="107" t="s">
        <v>127</v>
      </c>
      <c r="E16" s="106">
        <v>300</v>
      </c>
      <c r="F16" s="106">
        <v>3.84</v>
      </c>
      <c r="H16">
        <v>0</v>
      </c>
      <c r="J16">
        <v>6</v>
      </c>
      <c r="K16" t="s">
        <v>85</v>
      </c>
    </row>
    <row r="17" spans="4:13" x14ac:dyDescent="0.25">
      <c r="D17" s="107" t="s">
        <v>128</v>
      </c>
      <c r="E17" s="106">
        <v>140</v>
      </c>
      <c r="F17" s="106">
        <v>17.12</v>
      </c>
      <c r="H17">
        <v>0</v>
      </c>
      <c r="J17">
        <v>2.8</v>
      </c>
      <c r="K17" t="s">
        <v>85</v>
      </c>
    </row>
    <row r="18" spans="4:13" x14ac:dyDescent="0.25">
      <c r="D18" s="107" t="s">
        <v>92</v>
      </c>
      <c r="E18" s="106">
        <v>3608</v>
      </c>
      <c r="F18" s="106">
        <v>10.62</v>
      </c>
      <c r="H18">
        <v>0</v>
      </c>
    </row>
    <row r="19" spans="4:13" x14ac:dyDescent="0.25">
      <c r="D19" t="s">
        <v>121</v>
      </c>
      <c r="E19" t="s">
        <v>123</v>
      </c>
      <c r="F19">
        <v>5.8167609999999996</v>
      </c>
      <c r="K19">
        <v>5.8167609999999996</v>
      </c>
    </row>
    <row r="20" spans="4:13" x14ac:dyDescent="0.25">
      <c r="D20" t="s">
        <v>122</v>
      </c>
      <c r="E20" t="s">
        <v>123</v>
      </c>
      <c r="F20">
        <v>14.267530000000001</v>
      </c>
      <c r="K20">
        <v>14.267530000000001</v>
      </c>
      <c r="L20">
        <v>8.4507690000000011</v>
      </c>
    </row>
    <row r="22" spans="4:13" x14ac:dyDescent="0.25">
      <c r="D22" t="s">
        <v>81</v>
      </c>
      <c r="E22">
        <v>12559.393748834726</v>
      </c>
      <c r="G22" t="s">
        <v>12</v>
      </c>
      <c r="H22">
        <v>19818.455197226711</v>
      </c>
      <c r="K22" t="s">
        <v>69</v>
      </c>
      <c r="L22" t="s">
        <v>70</v>
      </c>
      <c r="M22" t="s">
        <v>71</v>
      </c>
    </row>
    <row r="23" spans="4:13" x14ac:dyDescent="0.25">
      <c r="D23" t="s">
        <v>93</v>
      </c>
      <c r="E23">
        <v>10.963755497325096</v>
      </c>
      <c r="G23" t="s">
        <v>93</v>
      </c>
      <c r="H23">
        <v>10.835922544055629</v>
      </c>
      <c r="I23" t="s">
        <v>94</v>
      </c>
      <c r="J23" t="s">
        <v>77</v>
      </c>
      <c r="K23">
        <v>3985</v>
      </c>
      <c r="L23">
        <v>4125</v>
      </c>
      <c r="M23">
        <v>140</v>
      </c>
    </row>
    <row r="24" spans="4:13" x14ac:dyDescent="0.25">
      <c r="D24" t="s">
        <v>95</v>
      </c>
      <c r="E24">
        <v>10.187764431399605</v>
      </c>
      <c r="G24" t="s">
        <v>95</v>
      </c>
      <c r="H24">
        <v>10.187764431399605</v>
      </c>
      <c r="J24" t="s">
        <v>79</v>
      </c>
      <c r="K24">
        <v>3134.0614483919849</v>
      </c>
      <c r="L24">
        <v>3134.0614483919849</v>
      </c>
      <c r="M24">
        <v>0</v>
      </c>
    </row>
    <row r="25" spans="4:13" x14ac:dyDescent="0.25">
      <c r="D25" t="s">
        <v>96</v>
      </c>
      <c r="E25">
        <v>0.29567521430361304</v>
      </c>
      <c r="G25" t="s">
        <v>96</v>
      </c>
      <c r="H25">
        <v>0.24696713309918006</v>
      </c>
      <c r="J25" t="s">
        <v>81</v>
      </c>
      <c r="K25">
        <v>12559.393748834726</v>
      </c>
      <c r="L25">
        <v>12560.778757716542</v>
      </c>
      <c r="M25">
        <v>1.3850088818162476</v>
      </c>
    </row>
    <row r="26" spans="4:13" x14ac:dyDescent="0.25">
      <c r="J26" t="s">
        <v>12</v>
      </c>
      <c r="K26">
        <v>19818.455197226711</v>
      </c>
      <c r="L26">
        <v>19819.8402023813</v>
      </c>
      <c r="M26">
        <v>1.3850051545887254</v>
      </c>
    </row>
    <row r="27" spans="4:13" x14ac:dyDescent="0.25">
      <c r="G27" t="s">
        <v>67</v>
      </c>
      <c r="H27">
        <v>2.6244711372007887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1B28-9BE4-4387-B2CF-814DD2A08207}">
  <dimension ref="B2:Y31"/>
  <sheetViews>
    <sheetView workbookViewId="0">
      <selection activeCell="B28" sqref="B28"/>
    </sheetView>
  </sheetViews>
  <sheetFormatPr defaultColWidth="9.140625" defaultRowHeight="15" x14ac:dyDescent="0.25"/>
  <cols>
    <col min="2" max="2" width="14.140625" customWidth="1"/>
    <col min="3" max="3" width="12" customWidth="1"/>
    <col min="4" max="4" width="9.7109375" customWidth="1"/>
    <col min="7" max="8" width="12" customWidth="1"/>
    <col min="11" max="12" width="12.42578125" customWidth="1"/>
    <col min="13" max="17" width="17.42578125" customWidth="1"/>
    <col min="19" max="19" width="15.42578125" customWidth="1"/>
    <col min="20" max="20" width="10.42578125" bestFit="1" customWidth="1"/>
    <col min="21" max="21" width="13" customWidth="1"/>
    <col min="22" max="23" width="11.5703125" customWidth="1"/>
    <col min="24" max="24" width="13.42578125" customWidth="1"/>
    <col min="25" max="25" width="24.42578125" customWidth="1"/>
    <col min="26" max="26" width="13.42578125" customWidth="1"/>
  </cols>
  <sheetData>
    <row r="2" spans="2:25" x14ac:dyDescent="0.25">
      <c r="B2" s="2"/>
      <c r="C2" s="2" t="s">
        <v>0</v>
      </c>
      <c r="D2" s="2" t="s">
        <v>1</v>
      </c>
      <c r="E2" s="26" t="s">
        <v>2</v>
      </c>
      <c r="F2" s="24" t="s">
        <v>3</v>
      </c>
      <c r="G2" s="28" t="s">
        <v>4</v>
      </c>
      <c r="H2" s="2" t="s">
        <v>5</v>
      </c>
      <c r="I2" s="3" t="s">
        <v>6</v>
      </c>
      <c r="J2" s="7" t="s">
        <v>7</v>
      </c>
      <c r="K2" s="8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S2" s="109" t="s">
        <v>22</v>
      </c>
      <c r="T2" s="109"/>
      <c r="U2" s="109"/>
      <c r="V2" s="109"/>
      <c r="W2" s="109"/>
      <c r="X2" s="109"/>
      <c r="Y2" s="109"/>
    </row>
    <row r="3" spans="2:25" x14ac:dyDescent="0.25">
      <c r="B3" s="2" t="s">
        <v>15</v>
      </c>
      <c r="C3" s="20">
        <v>19958</v>
      </c>
      <c r="D3" s="20">
        <v>12542</v>
      </c>
      <c r="E3" s="21">
        <v>5100</v>
      </c>
      <c r="F3" s="25">
        <f>C3-D3-H3</f>
        <v>3716</v>
      </c>
      <c r="G3" s="29">
        <f>C3-D3-E3</f>
        <v>2316</v>
      </c>
      <c r="H3" s="22">
        <v>3700</v>
      </c>
      <c r="I3" s="21">
        <f>D3/C3</f>
        <v>0.62841968133079462</v>
      </c>
      <c r="J3" s="11">
        <f>C3*(1-$S$4*$T$4*$U$4*$V$4)</f>
        <v>690.0901859075002</v>
      </c>
      <c r="K3" s="31">
        <f>1280000</f>
        <v>1280000</v>
      </c>
      <c r="L3" s="34">
        <f>EXP(-(K3-100000)*$T$10/($T$13*$T$16))</f>
        <v>0.87160666472994619</v>
      </c>
      <c r="M3" s="9">
        <f>D3/C3</f>
        <v>0.62841968133079462</v>
      </c>
      <c r="N3" s="9">
        <f>H3/C3</f>
        <v>0.18538931756689048</v>
      </c>
      <c r="O3" s="9">
        <f>$E$8/(1-M3-N3)</f>
        <v>23717.580193756723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9</v>
      </c>
      <c r="X3" s="1" t="s">
        <v>30</v>
      </c>
      <c r="Y3" s="1" t="s">
        <v>98</v>
      </c>
    </row>
    <row r="4" spans="2:25" x14ac:dyDescent="0.25">
      <c r="B4" s="2" t="s">
        <v>16</v>
      </c>
      <c r="C4" s="20">
        <v>13990</v>
      </c>
      <c r="D4" s="20">
        <v>9100</v>
      </c>
      <c r="E4" s="21">
        <v>3510</v>
      </c>
      <c r="F4" s="25">
        <f t="shared" ref="F4:F5" si="0">C4-D4-H4</f>
        <v>1462</v>
      </c>
      <c r="G4" s="29">
        <f>C4-D4-E4</f>
        <v>1380</v>
      </c>
      <c r="H4" s="23">
        <v>3428</v>
      </c>
      <c r="I4" s="21">
        <f t="shared" ref="I4:I5" si="1">D4/C4</f>
        <v>0.65046461758398855</v>
      </c>
      <c r="J4" s="11">
        <f>C4*(1-$S$4*$T$4*$U$4*$V$4)</f>
        <v>483.73392628750014</v>
      </c>
      <c r="K4" s="31">
        <f>1352*1000</f>
        <v>1352000</v>
      </c>
      <c r="L4" s="34">
        <f>EXP(-(K4-100000)*$T$10/($T$13*$T$16))</f>
        <v>0.86432899855863665</v>
      </c>
      <c r="M4" s="9">
        <f>D4/C4</f>
        <v>0.65046461758398855</v>
      </c>
      <c r="N4" s="9">
        <f>G4/C4</f>
        <v>9.8641887062187281E-2</v>
      </c>
      <c r="O4" s="9">
        <f>$E$8/(1-M4-N4)</f>
        <v>17601.094017094016</v>
      </c>
      <c r="S4" s="1">
        <v>0.99</v>
      </c>
      <c r="T4" s="1">
        <v>0.995</v>
      </c>
      <c r="U4" s="1">
        <v>0.995</v>
      </c>
      <c r="V4" s="1">
        <v>0.98499999999999999</v>
      </c>
      <c r="W4" s="33">
        <f>L6</f>
        <v>0.86849945621245861</v>
      </c>
      <c r="X4" s="1">
        <v>0.98499999999999999</v>
      </c>
      <c r="Y4" s="1">
        <v>0.995</v>
      </c>
    </row>
    <row r="5" spans="2:25" x14ac:dyDescent="0.25">
      <c r="B5" s="2" t="s">
        <v>40</v>
      </c>
      <c r="C5" s="20">
        <v>17900</v>
      </c>
      <c r="D5" s="20">
        <v>11050</v>
      </c>
      <c r="E5" s="21">
        <v>5550</v>
      </c>
      <c r="F5" s="25">
        <f t="shared" si="0"/>
        <v>2350</v>
      </c>
      <c r="G5" s="29">
        <f>C5-D5-E5</f>
        <v>1300</v>
      </c>
      <c r="H5" s="22">
        <v>4500</v>
      </c>
      <c r="I5" s="21">
        <f t="shared" si="1"/>
        <v>0.61731843575418999</v>
      </c>
      <c r="J5" s="11">
        <f>C5*(1-$S$4*$T$4*$U$4*$V$4)</f>
        <v>618.93047037500014</v>
      </c>
      <c r="K5" s="31">
        <f>1300*1000</f>
        <v>1300000</v>
      </c>
      <c r="L5" s="34">
        <f>EXP(-(K5-100000)*$T$10/($T$13*$T$16))</f>
        <v>0.86957896601098872</v>
      </c>
      <c r="M5" s="9">
        <f>D5/C5</f>
        <v>0.61731843575418999</v>
      </c>
      <c r="N5" s="9">
        <f>H5/C5</f>
        <v>0.25139664804469275</v>
      </c>
      <c r="O5" s="9">
        <f>$E$8/(1-M5-N5)</f>
        <v>33636.76595744682</v>
      </c>
    </row>
    <row r="6" spans="2:25" x14ac:dyDescent="0.25">
      <c r="B6" s="2" t="s">
        <v>19</v>
      </c>
      <c r="C6" s="10">
        <f>AVERAGE(C3:C5)</f>
        <v>17282.666666666668</v>
      </c>
      <c r="D6" s="10">
        <f>AVERAGE(D3:D5)</f>
        <v>10897.333333333334</v>
      </c>
      <c r="E6" s="27">
        <f>AVERAGE(E3:E5)</f>
        <v>4720</v>
      </c>
      <c r="F6" s="27">
        <f t="shared" ref="F6:H6" si="2">AVERAGE(F3:F5)</f>
        <v>2509.3333333333335</v>
      </c>
      <c r="G6" s="27">
        <f t="shared" si="2"/>
        <v>1665.3333333333333</v>
      </c>
      <c r="H6" s="27">
        <f t="shared" si="2"/>
        <v>3876</v>
      </c>
      <c r="I6" s="10">
        <f>AVERAGE(I3:I5)</f>
        <v>0.63206757822299109</v>
      </c>
      <c r="J6" s="12">
        <f>AVERAGE(J3:J5)</f>
        <v>597.58486085666686</v>
      </c>
      <c r="K6" s="9">
        <f>AVERAGE(K3:K5)</f>
        <v>1310666.6666666667</v>
      </c>
      <c r="L6" s="32">
        <f>EXP(-(K6-100000)*$T$10/($T$13*$T$16))</f>
        <v>0.86849945621245861</v>
      </c>
      <c r="M6" s="9">
        <f>D6/C6</f>
        <v>0.63053541120197498</v>
      </c>
      <c r="N6" s="9">
        <f>G6/C6</f>
        <v>9.6358586637864521E-2</v>
      </c>
      <c r="O6" s="9">
        <f>$E$8/(1-M6-N6)</f>
        <v>16169.545762711861</v>
      </c>
    </row>
    <row r="7" spans="2:25" x14ac:dyDescent="0.25">
      <c r="E7" s="4" t="s">
        <v>99</v>
      </c>
      <c r="F7" s="4"/>
    </row>
    <row r="8" spans="2:25" x14ac:dyDescent="0.25">
      <c r="B8" s="2" t="s">
        <v>38</v>
      </c>
      <c r="C8" s="1">
        <f>3500/(1-D6/C6-G6/C6)</f>
        <v>12815.536723163839</v>
      </c>
      <c r="D8" s="1">
        <f>C8*I6</f>
        <v>8100.2852602379753</v>
      </c>
      <c r="E8" s="1">
        <f>48*(77+15)</f>
        <v>4416</v>
      </c>
      <c r="F8" s="1"/>
      <c r="G8" s="1">
        <f>C8-D8-E8</f>
        <v>299.25146292586396</v>
      </c>
      <c r="H8" s="1"/>
      <c r="I8" s="1"/>
      <c r="J8" s="1"/>
    </row>
    <row r="9" spans="2:25" x14ac:dyDescent="0.25">
      <c r="O9">
        <f>J3/G3*100</f>
        <v>29.796640151446468</v>
      </c>
    </row>
    <row r="10" spans="2:25" x14ac:dyDescent="0.25">
      <c r="B10" s="1"/>
      <c r="C10" s="2" t="s">
        <v>9</v>
      </c>
      <c r="D10" s="2" t="s">
        <v>29</v>
      </c>
      <c r="G10" s="15" t="s">
        <v>100</v>
      </c>
      <c r="H10" s="15"/>
      <c r="J10">
        <f>D6/I6</f>
        <v>17240.772519878872</v>
      </c>
      <c r="K10" s="14">
        <f>H3+E3+D3</f>
        <v>21342</v>
      </c>
      <c r="L10" s="14">
        <f>K10-C3</f>
        <v>1384</v>
      </c>
      <c r="O10">
        <f t="shared" ref="O10:O12" si="3">J4/G4*100</f>
        <v>35.053183064311604</v>
      </c>
      <c r="S10" t="s">
        <v>23</v>
      </c>
      <c r="T10" s="13">
        <f>0.7/(3600*550)*1/0.3048</f>
        <v>1.1598928921763567E-6</v>
      </c>
    </row>
    <row r="11" spans="2:25" x14ac:dyDescent="0.25">
      <c r="B11" s="2" t="s">
        <v>101</v>
      </c>
      <c r="C11" s="1">
        <v>12</v>
      </c>
      <c r="D11" s="1">
        <v>15</v>
      </c>
      <c r="G11" s="15" t="s">
        <v>102</v>
      </c>
      <c r="H11" s="15"/>
      <c r="K11" s="14">
        <f>G4+E4+D4</f>
        <v>13990</v>
      </c>
      <c r="L11" s="14">
        <f>K11-C4</f>
        <v>0</v>
      </c>
      <c r="O11">
        <f t="shared" si="3"/>
        <v>47.610036182692319</v>
      </c>
    </row>
    <row r="12" spans="2:25" x14ac:dyDescent="0.25">
      <c r="B12" s="2" t="s">
        <v>103</v>
      </c>
      <c r="C12" s="1">
        <v>1400</v>
      </c>
      <c r="D12" s="1"/>
      <c r="K12" s="14">
        <f>H5+E5+D5</f>
        <v>21100</v>
      </c>
      <c r="L12" s="14">
        <f>K12-C5</f>
        <v>3200</v>
      </c>
      <c r="O12">
        <f t="shared" si="3"/>
        <v>35.8837986903523</v>
      </c>
    </row>
    <row r="13" spans="2:25" x14ac:dyDescent="0.25">
      <c r="B13" s="2" t="s">
        <v>23</v>
      </c>
      <c r="C13" s="1">
        <v>0.6</v>
      </c>
      <c r="D13" s="1">
        <v>0.7</v>
      </c>
      <c r="S13" t="s">
        <v>34</v>
      </c>
      <c r="T13" s="14">
        <v>0.83</v>
      </c>
      <c r="U13" t="s">
        <v>104</v>
      </c>
    </row>
    <row r="14" spans="2:25" x14ac:dyDescent="0.25">
      <c r="G14" s="16" t="s">
        <v>105</v>
      </c>
      <c r="H14" s="16"/>
    </row>
    <row r="15" spans="2:25" x14ac:dyDescent="0.25">
      <c r="B15" s="4" t="s">
        <v>106</v>
      </c>
      <c r="M15">
        <f>EXP(-(K3-100000)*$T$10/($T$13*$T$16))</f>
        <v>0.87160666472994619</v>
      </c>
      <c r="S15" t="s">
        <v>107</v>
      </c>
    </row>
    <row r="16" spans="2:25" x14ac:dyDescent="0.25">
      <c r="S16" t="s">
        <v>108</v>
      </c>
      <c r="T16">
        <v>12</v>
      </c>
    </row>
    <row r="18" spans="2:18" x14ac:dyDescent="0.25">
      <c r="B18" s="17" t="s">
        <v>109</v>
      </c>
    </row>
    <row r="19" spans="2:18" x14ac:dyDescent="0.25">
      <c r="B19" s="2" t="s">
        <v>15</v>
      </c>
      <c r="C19" s="10">
        <v>21360</v>
      </c>
      <c r="D19" s="10">
        <v>12560</v>
      </c>
      <c r="H19" s="18" t="s">
        <v>110</v>
      </c>
    </row>
    <row r="20" spans="2:18" x14ac:dyDescent="0.25">
      <c r="B20" s="2" t="s">
        <v>16</v>
      </c>
      <c r="C20" s="18" t="s">
        <v>111</v>
      </c>
      <c r="D20" s="18" t="s">
        <v>112</v>
      </c>
      <c r="E20" t="s">
        <v>113</v>
      </c>
      <c r="J20" s="19" t="s">
        <v>114</v>
      </c>
      <c r="R20">
        <f>EXP(-(K3-100000)*T10/(T13*T16))</f>
        <v>0.87160666472994619</v>
      </c>
    </row>
    <row r="21" spans="2:18" x14ac:dyDescent="0.25">
      <c r="B21" s="2" t="s">
        <v>40</v>
      </c>
      <c r="C21" s="18" t="s">
        <v>115</v>
      </c>
      <c r="D21" s="18" t="s">
        <v>116</v>
      </c>
      <c r="E21" s="18" t="s">
        <v>117</v>
      </c>
      <c r="F21" s="18"/>
      <c r="G21" t="s">
        <v>113</v>
      </c>
    </row>
    <row r="25" spans="2:18" x14ac:dyDescent="0.25">
      <c r="B25" t="s">
        <v>18</v>
      </c>
      <c r="C25">
        <v>23200</v>
      </c>
      <c r="D25">
        <v>11000</v>
      </c>
      <c r="E25">
        <v>9250</v>
      </c>
      <c r="G25">
        <v>6468</v>
      </c>
      <c r="I25">
        <v>0.47413793103448276</v>
      </c>
      <c r="J25">
        <v>802.18921300000022</v>
      </c>
      <c r="K25">
        <v>2150000</v>
      </c>
      <c r="L25">
        <v>160</v>
      </c>
      <c r="O25">
        <v>0.47413793103448276</v>
      </c>
      <c r="P25">
        <v>0.27879310344827585</v>
      </c>
      <c r="Q25">
        <v>17873.551988834613</v>
      </c>
    </row>
    <row r="27" spans="2:18" x14ac:dyDescent="0.25">
      <c r="B27" s="8" t="s">
        <v>118</v>
      </c>
    </row>
    <row r="28" spans="2:18" x14ac:dyDescent="0.25">
      <c r="B28" s="11">
        <f>428/3.6</f>
        <v>118.88888888888889</v>
      </c>
    </row>
    <row r="29" spans="2:18" x14ac:dyDescent="0.25">
      <c r="B29" s="11">
        <f>620/3.6</f>
        <v>172.22222222222223</v>
      </c>
    </row>
    <row r="30" spans="2:18" x14ac:dyDescent="0.25">
      <c r="B30" s="11">
        <f>556/3.6</f>
        <v>154.44444444444443</v>
      </c>
    </row>
    <row r="31" spans="2:18" x14ac:dyDescent="0.25">
      <c r="B31" s="30">
        <f>AVERAGE(B28:B30)</f>
        <v>148.5185185185185</v>
      </c>
    </row>
  </sheetData>
  <mergeCells count="1">
    <mergeCell ref="S2:Y2"/>
  </mergeCells>
  <hyperlinks>
    <hyperlink ref="C20" r:id="rId1" xr:uid="{6389A034-CAA0-415E-83C1-DE0B1189C4CD}"/>
    <hyperlink ref="C21" r:id="rId2" xr:uid="{01C9DF23-EB54-43E9-BF56-4975754B6E2D}"/>
    <hyperlink ref="H19" r:id="rId3" xr:uid="{73D86F44-F167-4B68-8A52-F3B58E139A6F}"/>
    <hyperlink ref="J20" r:id="rId4" display="https://www.fairchild-dornier.com/2.html" xr:uid="{639E106F-D774-4021-84CE-66D037F3378B}"/>
    <hyperlink ref="D20" r:id="rId5" xr:uid="{8B5233FF-C0E1-4A1A-9C92-A128986886DB}"/>
    <hyperlink ref="D21" r:id="rId6" display="https://www.google.com/search?q=atr-42-400+empty+weight&amp;rlz=1C1CHBF_esES922ES922&amp;sxsrf=AOaemvJD2--YVnhL9joNrpnR5EG-PzpDHg%3A1634122851655&amp;ei=Y7xmYY6zJ8aM8gKdz7mADg&amp;ved=0ahUKEwjO8N2AnsfzAhVGhlwKHZ1nDuAQ4dUDCA4&amp;uact=5&amp;oq=atr-42-400+empty+weight&amp;gs_lcp=Cgdnd3Mtd2l6EAM6BwgjELADECdKBAhBGAFQ6PWxAliC_bECYNP-sQJoAXAAeACAAXKIAdYCkgEDMy4xmAEAoAEByAEBwAEB&amp;sclient=gws-wiz" xr:uid="{4E56800C-4E03-460D-B007-F459EFEBC301}"/>
    <hyperlink ref="E21" r:id="rId7" xr:uid="{F9AB9E93-0D0E-40C6-AFA0-8224A4F141B7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FULLA NETA</vt:lpstr>
      <vt:lpstr>Centrado</vt:lpstr>
      <vt:lpstr>Latex</vt:lpstr>
      <vt:lpstr>XXXXXX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Biada Sala</dc:creator>
  <cp:keywords/>
  <dc:description/>
  <cp:lastModifiedBy>Antonio Biada Sala</cp:lastModifiedBy>
  <cp:revision/>
  <dcterms:created xsi:type="dcterms:W3CDTF">2021-10-10T10:39:28Z</dcterms:created>
  <dcterms:modified xsi:type="dcterms:W3CDTF">2021-10-29T14:31:31Z</dcterms:modified>
  <cp:category/>
  <cp:contentStatus/>
</cp:coreProperties>
</file>