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595" windowHeight="7485" activeTab="6"/>
  </bookViews>
  <sheets>
    <sheet name="на начало 2016г" sheetId="1" r:id="rId1"/>
    <sheet name="на начало 2017г" sheetId="2" r:id="rId2"/>
    <sheet name="на начало 2018г" sheetId="3" r:id="rId3"/>
    <sheet name="на начало 2019г" sheetId="4" r:id="rId4"/>
    <sheet name="на начало 2020г" sheetId="5" r:id="rId5"/>
    <sheet name="Лист1" sheetId="6" r:id="rId6"/>
    <sheet name="Датасет" sheetId="7" r:id="rId7"/>
  </sheets>
  <calcPr calcId="145621"/>
</workbook>
</file>

<file path=xl/calcChain.xml><?xml version="1.0" encoding="utf-8"?>
<calcChain xmlns="http://schemas.openxmlformats.org/spreadsheetml/2006/main">
  <c r="AQ41" i="7" l="1"/>
  <c r="AQ42" i="7" s="1"/>
  <c r="AQ43" i="7" s="1"/>
  <c r="AQ44" i="7" s="1"/>
  <c r="AQ45" i="7" s="1"/>
  <c r="AQ46" i="7" s="1"/>
  <c r="AQ47" i="7" s="1"/>
  <c r="AQ48" i="7" s="1"/>
  <c r="AQ49" i="7" s="1"/>
  <c r="AQ50" i="7" s="1"/>
  <c r="AN41" i="7"/>
  <c r="AN42" i="7" s="1"/>
  <c r="AN43" i="7" s="1"/>
  <c r="AN44" i="7" s="1"/>
  <c r="AN45" i="7" s="1"/>
  <c r="AN46" i="7" s="1"/>
  <c r="AN47" i="7" s="1"/>
  <c r="AN48" i="7" s="1"/>
  <c r="AN49" i="7" s="1"/>
  <c r="AN50" i="7" s="1"/>
  <c r="AM41" i="7"/>
  <c r="AM42" i="7" s="1"/>
  <c r="AM43" i="7" s="1"/>
  <c r="AM44" i="7" s="1"/>
  <c r="AM45" i="7" s="1"/>
  <c r="AM46" i="7" s="1"/>
  <c r="AM47" i="7" s="1"/>
  <c r="AM48" i="7" s="1"/>
  <c r="AM49" i="7" s="1"/>
  <c r="AM50" i="7" s="1"/>
  <c r="AL41" i="7"/>
  <c r="AL42" i="7" s="1"/>
  <c r="AL43" i="7" s="1"/>
  <c r="AL44" i="7" s="1"/>
  <c r="AL45" i="7" s="1"/>
  <c r="AL46" i="7" s="1"/>
  <c r="AL47" i="7" s="1"/>
  <c r="AL48" i="7" s="1"/>
  <c r="AL49" i="7" s="1"/>
  <c r="AL50" i="7" s="1"/>
  <c r="AQ40" i="7"/>
  <c r="AP40" i="7"/>
  <c r="AP41" i="7" s="1"/>
  <c r="AP42" i="7" s="1"/>
  <c r="AP43" i="7" s="1"/>
  <c r="AP44" i="7" s="1"/>
  <c r="AP45" i="7" s="1"/>
  <c r="AP46" i="7" s="1"/>
  <c r="AP47" i="7" s="1"/>
  <c r="AP48" i="7" s="1"/>
  <c r="AP49" i="7" s="1"/>
  <c r="AP50" i="7" s="1"/>
  <c r="AO40" i="7"/>
  <c r="AO41" i="7" s="1"/>
  <c r="AO42" i="7" s="1"/>
  <c r="AO43" i="7" s="1"/>
  <c r="AO44" i="7" s="1"/>
  <c r="AO45" i="7" s="1"/>
  <c r="AO46" i="7" s="1"/>
  <c r="AO47" i="7" s="1"/>
  <c r="AO48" i="7" s="1"/>
  <c r="AO49" i="7" s="1"/>
  <c r="AO50" i="7" s="1"/>
  <c r="AN40" i="7"/>
  <c r="AM40" i="7"/>
  <c r="AL40" i="7"/>
  <c r="AK40" i="7"/>
  <c r="AK41" i="7" s="1"/>
  <c r="AK42" i="7" s="1"/>
  <c r="AK43" i="7" s="1"/>
  <c r="AK44" i="7" s="1"/>
  <c r="AK45" i="7" s="1"/>
  <c r="AK46" i="7" s="1"/>
  <c r="AK47" i="7" s="1"/>
  <c r="AK48" i="7" s="1"/>
  <c r="AK49" i="7" s="1"/>
  <c r="AK50" i="7" s="1"/>
  <c r="AL28" i="7" l="1"/>
  <c r="AL29" i="7" s="1"/>
  <c r="AL30" i="7" s="1"/>
  <c r="AL31" i="7" s="1"/>
  <c r="AL32" i="7" s="1"/>
  <c r="AL33" i="7" s="1"/>
  <c r="AL34" i="7" s="1"/>
  <c r="AL35" i="7" s="1"/>
  <c r="AL36" i="7" s="1"/>
  <c r="AL37" i="7" s="1"/>
  <c r="AL38" i="7" s="1"/>
  <c r="AM28" i="7"/>
  <c r="AM29" i="7" s="1"/>
  <c r="AM30" i="7" s="1"/>
  <c r="AM31" i="7" s="1"/>
  <c r="AM32" i="7" s="1"/>
  <c r="AM33" i="7" s="1"/>
  <c r="AM34" i="7" s="1"/>
  <c r="AM35" i="7" s="1"/>
  <c r="AM36" i="7" s="1"/>
  <c r="AM37" i="7" s="1"/>
  <c r="AM38" i="7" s="1"/>
  <c r="AN28" i="7"/>
  <c r="AN29" i="7" s="1"/>
  <c r="AN30" i="7" s="1"/>
  <c r="AN31" i="7" s="1"/>
  <c r="AN32" i="7" s="1"/>
  <c r="AN33" i="7" s="1"/>
  <c r="AN34" i="7" s="1"/>
  <c r="AN35" i="7" s="1"/>
  <c r="AN36" i="7" s="1"/>
  <c r="AN37" i="7" s="1"/>
  <c r="AN38" i="7" s="1"/>
  <c r="AO28" i="7"/>
  <c r="AO29" i="7" s="1"/>
  <c r="AO30" i="7" s="1"/>
  <c r="AO31" i="7" s="1"/>
  <c r="AO32" i="7" s="1"/>
  <c r="AO33" i="7" s="1"/>
  <c r="AO34" i="7" s="1"/>
  <c r="AO35" i="7" s="1"/>
  <c r="AO36" i="7" s="1"/>
  <c r="AO37" i="7" s="1"/>
  <c r="AO38" i="7" s="1"/>
  <c r="AP28" i="7"/>
  <c r="AP29" i="7" s="1"/>
  <c r="AP30" i="7" s="1"/>
  <c r="AP31" i="7" s="1"/>
  <c r="AP32" i="7" s="1"/>
  <c r="AP33" i="7" s="1"/>
  <c r="AP34" i="7" s="1"/>
  <c r="AP35" i="7" s="1"/>
  <c r="AP36" i="7" s="1"/>
  <c r="AP37" i="7" s="1"/>
  <c r="AP38" i="7" s="1"/>
  <c r="AQ28" i="7"/>
  <c r="AQ29" i="7" s="1"/>
  <c r="AQ30" i="7" s="1"/>
  <c r="AQ31" i="7" s="1"/>
  <c r="AQ32" i="7" s="1"/>
  <c r="AQ33" i="7" s="1"/>
  <c r="AQ34" i="7" s="1"/>
  <c r="AQ35" i="7" s="1"/>
  <c r="AQ36" i="7" s="1"/>
  <c r="AQ37" i="7" s="1"/>
  <c r="AQ38" i="7" s="1"/>
  <c r="AL16" i="7"/>
  <c r="AL17" i="7" s="1"/>
  <c r="AL18" i="7" s="1"/>
  <c r="AL19" i="7" s="1"/>
  <c r="AL20" i="7" s="1"/>
  <c r="AL21" i="7" s="1"/>
  <c r="AL22" i="7" s="1"/>
  <c r="AL23" i="7" s="1"/>
  <c r="AL24" i="7" s="1"/>
  <c r="AL25" i="7" s="1"/>
  <c r="AL26" i="7" s="1"/>
  <c r="AM16" i="7"/>
  <c r="AM17" i="7" s="1"/>
  <c r="AM18" i="7" s="1"/>
  <c r="AM19" i="7" s="1"/>
  <c r="AM20" i="7" s="1"/>
  <c r="AM21" i="7" s="1"/>
  <c r="AM22" i="7" s="1"/>
  <c r="AM23" i="7" s="1"/>
  <c r="AM24" i="7" s="1"/>
  <c r="AM25" i="7" s="1"/>
  <c r="AM26" i="7" s="1"/>
  <c r="AN16" i="7"/>
  <c r="AN17" i="7" s="1"/>
  <c r="AN18" i="7" s="1"/>
  <c r="AN19" i="7" s="1"/>
  <c r="AN20" i="7" s="1"/>
  <c r="AN21" i="7" s="1"/>
  <c r="AN22" i="7" s="1"/>
  <c r="AN23" i="7" s="1"/>
  <c r="AN24" i="7" s="1"/>
  <c r="AN25" i="7" s="1"/>
  <c r="AN26" i="7" s="1"/>
  <c r="AO16" i="7"/>
  <c r="AO17" i="7" s="1"/>
  <c r="AO18" i="7" s="1"/>
  <c r="AO19" i="7" s="1"/>
  <c r="AO20" i="7" s="1"/>
  <c r="AO21" i="7" s="1"/>
  <c r="AO22" i="7" s="1"/>
  <c r="AO23" i="7" s="1"/>
  <c r="AO24" i="7" s="1"/>
  <c r="AO25" i="7" s="1"/>
  <c r="AO26" i="7" s="1"/>
  <c r="AP16" i="7"/>
  <c r="AP17" i="7" s="1"/>
  <c r="AP18" i="7" s="1"/>
  <c r="AP19" i="7" s="1"/>
  <c r="AP20" i="7" s="1"/>
  <c r="AP21" i="7" s="1"/>
  <c r="AP22" i="7" s="1"/>
  <c r="AP23" i="7" s="1"/>
  <c r="AP24" i="7" s="1"/>
  <c r="AP25" i="7" s="1"/>
  <c r="AP26" i="7" s="1"/>
  <c r="AQ16" i="7"/>
  <c r="AQ17" i="7" s="1"/>
  <c r="AQ18" i="7" s="1"/>
  <c r="AQ19" i="7" s="1"/>
  <c r="AQ20" i="7" s="1"/>
  <c r="AQ21" i="7" s="1"/>
  <c r="AQ22" i="7" s="1"/>
  <c r="AQ23" i="7" s="1"/>
  <c r="AQ24" i="7" s="1"/>
  <c r="AQ25" i="7" s="1"/>
  <c r="AQ26" i="7" s="1"/>
  <c r="AL4" i="7"/>
  <c r="AL5" i="7" s="1"/>
  <c r="AL6" i="7" s="1"/>
  <c r="AL7" i="7" s="1"/>
  <c r="AL8" i="7" s="1"/>
  <c r="AL9" i="7" s="1"/>
  <c r="AL10" i="7" s="1"/>
  <c r="AL11" i="7" s="1"/>
  <c r="AL12" i="7" s="1"/>
  <c r="AL13" i="7" s="1"/>
  <c r="AL14" i="7" s="1"/>
  <c r="AM4" i="7"/>
  <c r="AM5" i="7" s="1"/>
  <c r="AM6" i="7" s="1"/>
  <c r="AM7" i="7" s="1"/>
  <c r="AM8" i="7" s="1"/>
  <c r="AM9" i="7" s="1"/>
  <c r="AM10" i="7" s="1"/>
  <c r="AM11" i="7" s="1"/>
  <c r="AM12" i="7" s="1"/>
  <c r="AM13" i="7" s="1"/>
  <c r="AM14" i="7" s="1"/>
  <c r="AN4" i="7"/>
  <c r="AN5" i="7" s="1"/>
  <c r="AN6" i="7" s="1"/>
  <c r="AN7" i="7" s="1"/>
  <c r="AN8" i="7" s="1"/>
  <c r="AN9" i="7" s="1"/>
  <c r="AN10" i="7" s="1"/>
  <c r="AN11" i="7" s="1"/>
  <c r="AN12" i="7" s="1"/>
  <c r="AN13" i="7" s="1"/>
  <c r="AN14" i="7" s="1"/>
  <c r="AO4" i="7"/>
  <c r="AO5" i="7" s="1"/>
  <c r="AO6" i="7" s="1"/>
  <c r="AO7" i="7" s="1"/>
  <c r="AO8" i="7" s="1"/>
  <c r="AO9" i="7" s="1"/>
  <c r="AO10" i="7" s="1"/>
  <c r="AO11" i="7" s="1"/>
  <c r="AO12" i="7" s="1"/>
  <c r="AO13" i="7" s="1"/>
  <c r="AO14" i="7" s="1"/>
  <c r="AP4" i="7"/>
  <c r="AP5" i="7" s="1"/>
  <c r="AP6" i="7" s="1"/>
  <c r="AP7" i="7" s="1"/>
  <c r="AP8" i="7" s="1"/>
  <c r="AP9" i="7" s="1"/>
  <c r="AP10" i="7" s="1"/>
  <c r="AP11" i="7" s="1"/>
  <c r="AP12" i="7" s="1"/>
  <c r="AP13" i="7" s="1"/>
  <c r="AP14" i="7" s="1"/>
  <c r="AQ4" i="7"/>
  <c r="AQ5" i="7" s="1"/>
  <c r="AQ6" i="7" s="1"/>
  <c r="AQ7" i="7" s="1"/>
  <c r="AQ8" i="7" s="1"/>
  <c r="AQ9" i="7" s="1"/>
  <c r="AQ10" i="7" s="1"/>
  <c r="AQ11" i="7" s="1"/>
  <c r="AQ12" i="7" s="1"/>
  <c r="AQ13" i="7" s="1"/>
  <c r="AQ14" i="7" s="1"/>
  <c r="AE40" i="7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F40" i="7"/>
  <c r="AF41" i="7" s="1"/>
  <c r="AF42" i="7" s="1"/>
  <c r="AF43" i="7" s="1"/>
  <c r="AF44" i="7" s="1"/>
  <c r="AF45" i="7" s="1"/>
  <c r="AF46" i="7" s="1"/>
  <c r="AF47" i="7" s="1"/>
  <c r="AF48" i="7" s="1"/>
  <c r="AF49" i="7" s="1"/>
  <c r="AF50" i="7" s="1"/>
  <c r="AG40" i="7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H40" i="7"/>
  <c r="AH41" i="7" s="1"/>
  <c r="AH42" i="7" s="1"/>
  <c r="AH43" i="7" s="1"/>
  <c r="AH44" i="7" s="1"/>
  <c r="AH45" i="7" s="1"/>
  <c r="AH46" i="7" s="1"/>
  <c r="AH47" i="7" s="1"/>
  <c r="AH48" i="7" s="1"/>
  <c r="AH49" i="7" s="1"/>
  <c r="AH50" i="7" s="1"/>
  <c r="AI40" i="7"/>
  <c r="AI41" i="7" s="1"/>
  <c r="AI42" i="7" s="1"/>
  <c r="AI43" i="7" s="1"/>
  <c r="AI44" i="7" s="1"/>
  <c r="AI45" i="7" s="1"/>
  <c r="AI46" i="7" s="1"/>
  <c r="AI47" i="7" s="1"/>
  <c r="AI48" i="7" s="1"/>
  <c r="AI49" i="7" s="1"/>
  <c r="AI50" i="7" s="1"/>
  <c r="AJ40" i="7"/>
  <c r="AJ41" i="7" s="1"/>
  <c r="AJ42" i="7" s="1"/>
  <c r="AJ43" i="7" s="1"/>
  <c r="AJ44" i="7" s="1"/>
  <c r="AJ45" i="7" s="1"/>
  <c r="AJ46" i="7" s="1"/>
  <c r="AJ47" i="7" s="1"/>
  <c r="AJ48" i="7" s="1"/>
  <c r="AJ49" i="7" s="1"/>
  <c r="AJ50" i="7" s="1"/>
  <c r="AD29" i="7"/>
  <c r="AD30" i="7" s="1"/>
  <c r="AD31" i="7" s="1"/>
  <c r="AD32" i="7" s="1"/>
  <c r="AD33" i="7" s="1"/>
  <c r="AD34" i="7" s="1"/>
  <c r="AD35" i="7" s="1"/>
  <c r="AD36" i="7" s="1"/>
  <c r="AD37" i="7" s="1"/>
  <c r="AD38" i="7" s="1"/>
  <c r="AG29" i="7"/>
  <c r="AG30" i="7" s="1"/>
  <c r="AG31" i="7" s="1"/>
  <c r="AG32" i="7" s="1"/>
  <c r="AG33" i="7" s="1"/>
  <c r="AG34" i="7" s="1"/>
  <c r="AG35" i="7" s="1"/>
  <c r="AG36" i="7" s="1"/>
  <c r="AG37" i="7" s="1"/>
  <c r="AG38" i="7" s="1"/>
  <c r="AH29" i="7"/>
  <c r="AH30" i="7" s="1"/>
  <c r="AH31" i="7" s="1"/>
  <c r="AH32" i="7" s="1"/>
  <c r="AH33" i="7" s="1"/>
  <c r="AH34" i="7" s="1"/>
  <c r="AH35" i="7" s="1"/>
  <c r="AH36" i="7" s="1"/>
  <c r="AH37" i="7" s="1"/>
  <c r="AH38" i="7" s="1"/>
  <c r="AI29" i="7"/>
  <c r="AI30" i="7" s="1"/>
  <c r="AI31" i="7" s="1"/>
  <c r="AI32" i="7" s="1"/>
  <c r="AI33" i="7" s="1"/>
  <c r="AI34" i="7" s="1"/>
  <c r="AI35" i="7" s="1"/>
  <c r="AI36" i="7" s="1"/>
  <c r="AI37" i="7" s="1"/>
  <c r="AI38" i="7" s="1"/>
  <c r="AE28" i="7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F28" i="7"/>
  <c r="AF29" i="7" s="1"/>
  <c r="AF30" i="7" s="1"/>
  <c r="AF31" i="7" s="1"/>
  <c r="AF32" i="7" s="1"/>
  <c r="AF33" i="7" s="1"/>
  <c r="AF34" i="7" s="1"/>
  <c r="AF35" i="7" s="1"/>
  <c r="AF36" i="7" s="1"/>
  <c r="AF37" i="7" s="1"/>
  <c r="AF38" i="7" s="1"/>
  <c r="AG28" i="7"/>
  <c r="AH28" i="7"/>
  <c r="AI28" i="7"/>
  <c r="AJ28" i="7"/>
  <c r="AJ29" i="7" s="1"/>
  <c r="AJ30" i="7" s="1"/>
  <c r="AJ31" i="7" s="1"/>
  <c r="AJ32" i="7" s="1"/>
  <c r="AJ33" i="7" s="1"/>
  <c r="AJ34" i="7" s="1"/>
  <c r="AJ35" i="7" s="1"/>
  <c r="AJ36" i="7" s="1"/>
  <c r="AJ37" i="7" s="1"/>
  <c r="AJ38" i="7" s="1"/>
  <c r="AE16" i="7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F16" i="7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G16" i="7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H16" i="7"/>
  <c r="AH17" i="7" s="1"/>
  <c r="AH18" i="7" s="1"/>
  <c r="AH19" i="7" s="1"/>
  <c r="AH20" i="7" s="1"/>
  <c r="AH21" i="7" s="1"/>
  <c r="AH22" i="7" s="1"/>
  <c r="AH23" i="7" s="1"/>
  <c r="AH24" i="7" s="1"/>
  <c r="AH25" i="7" s="1"/>
  <c r="AH26" i="7" s="1"/>
  <c r="AI16" i="7"/>
  <c r="AI17" i="7" s="1"/>
  <c r="AI18" i="7" s="1"/>
  <c r="AI19" i="7" s="1"/>
  <c r="AI20" i="7" s="1"/>
  <c r="AI21" i="7" s="1"/>
  <c r="AI22" i="7" s="1"/>
  <c r="AI23" i="7" s="1"/>
  <c r="AI24" i="7" s="1"/>
  <c r="AI25" i="7" s="1"/>
  <c r="AI26" i="7" s="1"/>
  <c r="AJ16" i="7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D5" i="7"/>
  <c r="AD6" i="7" s="1"/>
  <c r="AD7" i="7" s="1"/>
  <c r="AD8" i="7" s="1"/>
  <c r="AD9" i="7" s="1"/>
  <c r="AD10" i="7" s="1"/>
  <c r="AD11" i="7" s="1"/>
  <c r="AD12" i="7" s="1"/>
  <c r="AD13" i="7" s="1"/>
  <c r="AD14" i="7" s="1"/>
  <c r="AE5" i="7"/>
  <c r="AE6" i="7" s="1"/>
  <c r="AE7" i="7" s="1"/>
  <c r="AE8" i="7" s="1"/>
  <c r="AE9" i="7" s="1"/>
  <c r="AE10" i="7" s="1"/>
  <c r="AE11" i="7" s="1"/>
  <c r="AE12" i="7" s="1"/>
  <c r="AE13" i="7" s="1"/>
  <c r="AE14" i="7" s="1"/>
  <c r="AF5" i="7"/>
  <c r="AF6" i="7" s="1"/>
  <c r="AF7" i="7" s="1"/>
  <c r="AF8" i="7" s="1"/>
  <c r="AF9" i="7" s="1"/>
  <c r="AF10" i="7" s="1"/>
  <c r="AF11" i="7" s="1"/>
  <c r="AF12" i="7" s="1"/>
  <c r="AF13" i="7" s="1"/>
  <c r="AF14" i="7" s="1"/>
  <c r="AE4" i="7"/>
  <c r="AF4" i="7"/>
  <c r="AG4" i="7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H4" i="7"/>
  <c r="AH5" i="7" s="1"/>
  <c r="AH6" i="7" s="1"/>
  <c r="AH7" i="7" s="1"/>
  <c r="AH8" i="7" s="1"/>
  <c r="AH9" i="7" s="1"/>
  <c r="AH10" i="7" s="1"/>
  <c r="AH11" i="7" s="1"/>
  <c r="AH12" i="7" s="1"/>
  <c r="AH13" i="7" s="1"/>
  <c r="AH14" i="7" s="1"/>
  <c r="AI4" i="7"/>
  <c r="AI5" i="7" s="1"/>
  <c r="AI6" i="7" s="1"/>
  <c r="AI7" i="7" s="1"/>
  <c r="AI8" i="7" s="1"/>
  <c r="AI9" i="7" s="1"/>
  <c r="AI10" i="7" s="1"/>
  <c r="AI11" i="7" s="1"/>
  <c r="AI12" i="7" s="1"/>
  <c r="AI13" i="7" s="1"/>
  <c r="AI14" i="7" s="1"/>
  <c r="AJ4" i="7"/>
  <c r="AJ5" i="7" s="1"/>
  <c r="AJ6" i="7" s="1"/>
  <c r="AJ7" i="7" s="1"/>
  <c r="AJ8" i="7" s="1"/>
  <c r="AJ9" i="7" s="1"/>
  <c r="AJ10" i="7" s="1"/>
  <c r="AJ11" i="7" s="1"/>
  <c r="AJ12" i="7" s="1"/>
  <c r="AJ13" i="7" s="1"/>
  <c r="AJ14" i="7" s="1"/>
  <c r="X40" i="7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Y40" i="7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Z40" i="7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AA40" i="7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B40" i="7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C40" i="7"/>
  <c r="AC41" i="7" s="1"/>
  <c r="AC42" i="7" s="1"/>
  <c r="AC43" i="7" s="1"/>
  <c r="AC44" i="7" s="1"/>
  <c r="AC45" i="7" s="1"/>
  <c r="AC46" i="7" s="1"/>
  <c r="AC47" i="7" s="1"/>
  <c r="AC48" i="7" s="1"/>
  <c r="AC49" i="7" s="1"/>
  <c r="AC50" i="7" s="1"/>
  <c r="X28" i="7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Y28" i="7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Z28" i="7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AA28" i="7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B28" i="7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C28" i="7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X16" i="7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Y16" i="7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Z16" i="7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AA16" i="7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B16" i="7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C16" i="7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B5" i="7"/>
  <c r="AB6" i="7" s="1"/>
  <c r="AB7" i="7" s="1"/>
  <c r="AB8" i="7" s="1"/>
  <c r="AB9" i="7" s="1"/>
  <c r="AB10" i="7" s="1"/>
  <c r="AB11" i="7" s="1"/>
  <c r="AB12" i="7" s="1"/>
  <c r="AB13" i="7" s="1"/>
  <c r="AB14" i="7" s="1"/>
  <c r="AC5" i="7"/>
  <c r="AC6" i="7" s="1"/>
  <c r="AC7" i="7" s="1"/>
  <c r="AC8" i="7" s="1"/>
  <c r="AC9" i="7" s="1"/>
  <c r="AC10" i="7" s="1"/>
  <c r="AC11" i="7" s="1"/>
  <c r="AC12" i="7" s="1"/>
  <c r="AC13" i="7" s="1"/>
  <c r="AC14" i="7" s="1"/>
  <c r="X4" i="7"/>
  <c r="X5" i="7" s="1"/>
  <c r="X6" i="7" s="1"/>
  <c r="X7" i="7" s="1"/>
  <c r="X8" i="7" s="1"/>
  <c r="X9" i="7" s="1"/>
  <c r="X10" i="7" s="1"/>
  <c r="X11" i="7" s="1"/>
  <c r="X12" i="7" s="1"/>
  <c r="X13" i="7" s="1"/>
  <c r="X14" i="7" s="1"/>
  <c r="Y4" i="7"/>
  <c r="Y5" i="7" s="1"/>
  <c r="Y6" i="7" s="1"/>
  <c r="Y7" i="7" s="1"/>
  <c r="Y8" i="7" s="1"/>
  <c r="Y9" i="7" s="1"/>
  <c r="Y10" i="7" s="1"/>
  <c r="Y11" i="7" s="1"/>
  <c r="Y12" i="7" s="1"/>
  <c r="Y13" i="7" s="1"/>
  <c r="Y14" i="7" s="1"/>
  <c r="Z4" i="7"/>
  <c r="Z5" i="7" s="1"/>
  <c r="Z6" i="7" s="1"/>
  <c r="Z7" i="7" s="1"/>
  <c r="Z8" i="7" s="1"/>
  <c r="Z9" i="7" s="1"/>
  <c r="Z10" i="7" s="1"/>
  <c r="Z11" i="7" s="1"/>
  <c r="Z12" i="7" s="1"/>
  <c r="Z13" i="7" s="1"/>
  <c r="Z14" i="7" s="1"/>
  <c r="AA4" i="7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AB4" i="7"/>
  <c r="AC4" i="7"/>
  <c r="Q40" i="7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R40" i="7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S40" i="7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T40" i="7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U40" i="7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V40" i="7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R28" i="7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S28" i="7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T28" i="7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U28" i="7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V28" i="7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Q16" i="7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R16" i="7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S16" i="7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T16" i="7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U16" i="7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V16" i="7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U5" i="7"/>
  <c r="U6" i="7" s="1"/>
  <c r="U7" i="7" s="1"/>
  <c r="U8" i="7" s="1"/>
  <c r="U9" i="7" s="1"/>
  <c r="U10" i="7" s="1"/>
  <c r="U11" i="7" s="1"/>
  <c r="U12" i="7" s="1"/>
  <c r="U13" i="7" s="1"/>
  <c r="U14" i="7" s="1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R4" i="7"/>
  <c r="R5" i="7" s="1"/>
  <c r="R6" i="7" s="1"/>
  <c r="R7" i="7" s="1"/>
  <c r="R8" i="7" s="1"/>
  <c r="R9" i="7" s="1"/>
  <c r="R10" i="7" s="1"/>
  <c r="R11" i="7" s="1"/>
  <c r="R12" i="7" s="1"/>
  <c r="R13" i="7" s="1"/>
  <c r="R14" i="7" s="1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T4" i="7"/>
  <c r="T5" i="7" s="1"/>
  <c r="T6" i="7" s="1"/>
  <c r="T7" i="7" s="1"/>
  <c r="T8" i="7" s="1"/>
  <c r="T9" i="7" s="1"/>
  <c r="T10" i="7" s="1"/>
  <c r="T11" i="7" s="1"/>
  <c r="T12" i="7" s="1"/>
  <c r="T13" i="7" s="1"/>
  <c r="T14" i="7" s="1"/>
  <c r="U4" i="7"/>
  <c r="V4" i="7"/>
  <c r="V5" i="7" s="1"/>
  <c r="V6" i="7" s="1"/>
  <c r="V7" i="7" s="1"/>
  <c r="V8" i="7" s="1"/>
  <c r="V9" i="7" s="1"/>
  <c r="V10" i="7" s="1"/>
  <c r="V11" i="7" s="1"/>
  <c r="V12" i="7" s="1"/>
  <c r="V13" i="7" s="1"/>
  <c r="V14" i="7" s="1"/>
  <c r="J40" i="7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K40" i="7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L40" i="7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M40" i="7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N40" i="7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O40" i="7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29" i="7"/>
  <c r="O30" i="7" s="1"/>
  <c r="O31" i="7" s="1"/>
  <c r="O32" i="7" s="1"/>
  <c r="O33" i="7" s="1"/>
  <c r="O34" i="7" s="1"/>
  <c r="O35" i="7" s="1"/>
  <c r="O36" i="7" s="1"/>
  <c r="O37" i="7" s="1"/>
  <c r="O38" i="7" s="1"/>
  <c r="J28" i="7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K28" i="7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L28" i="7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M28" i="7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N28" i="7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O28" i="7"/>
  <c r="N5" i="7"/>
  <c r="N6" i="7" s="1"/>
  <c r="N7" i="7" s="1"/>
  <c r="N8" i="7" s="1"/>
  <c r="N9" i="7" s="1"/>
  <c r="N10" i="7" s="1"/>
  <c r="N11" i="7" s="1"/>
  <c r="N12" i="7" s="1"/>
  <c r="N13" i="7" s="1"/>
  <c r="N14" i="7" s="1"/>
  <c r="O5" i="7"/>
  <c r="O6" i="7" s="1"/>
  <c r="O7" i="7" s="1"/>
  <c r="O8" i="7" s="1"/>
  <c r="O9" i="7" s="1"/>
  <c r="O10" i="7" s="1"/>
  <c r="O11" i="7" s="1"/>
  <c r="O12" i="7" s="1"/>
  <c r="O13" i="7" s="1"/>
  <c r="O14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N4" i="7"/>
  <c r="O4" i="7"/>
  <c r="J16" i="7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K16" i="7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L16" i="7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M16" i="7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N16" i="7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O16" i="7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C16" i="7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D16" i="7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E16" i="7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F16" i="7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G16" i="7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H16" i="7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C28" i="7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D28" i="7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F28" i="7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G28" i="7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H28" i="7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C40" i="7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D40" i="7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E40" i="7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F40" i="7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G40" i="7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H40" i="7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F4" i="7"/>
  <c r="F5" i="7" s="1"/>
  <c r="F6" i="7" s="1"/>
  <c r="F7" i="7" s="1"/>
  <c r="F8" i="7" s="1"/>
  <c r="F9" i="7" s="1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I40" i="7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P40" i="7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W40" i="7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AD40" i="7"/>
  <c r="AD41" i="7" s="1"/>
  <c r="AD42" i="7" s="1"/>
  <c r="AD43" i="7" s="1"/>
  <c r="AD44" i="7" s="1"/>
  <c r="AD45" i="7" s="1"/>
  <c r="AD46" i="7" s="1"/>
  <c r="AD47" i="7" s="1"/>
  <c r="AD48" i="7" s="1"/>
  <c r="AD49" i="7" s="1"/>
  <c r="AD50" i="7" s="1"/>
  <c r="B40" i="7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I28" i="7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P28" i="7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W28" i="7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AD28" i="7"/>
  <c r="AK28" i="7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B28" i="7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I16" i="7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P16" i="7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W16" i="7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AD16" i="7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K16" i="7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B16" i="7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W4" i="7"/>
  <c r="W5" i="7" s="1"/>
  <c r="W6" i="7" s="1"/>
  <c r="W7" i="7" s="1"/>
  <c r="W8" i="7" s="1"/>
  <c r="W9" i="7" s="1"/>
  <c r="W10" i="7" s="1"/>
  <c r="W11" i="7" s="1"/>
  <c r="W12" i="7" s="1"/>
  <c r="W13" i="7" s="1"/>
  <c r="W14" i="7" s="1"/>
  <c r="AD4" i="7"/>
  <c r="AK4" i="7"/>
  <c r="AK5" i="7" s="1"/>
  <c r="AK6" i="7" s="1"/>
  <c r="AK7" i="7" s="1"/>
  <c r="AK8" i="7" s="1"/>
  <c r="AK9" i="7" s="1"/>
  <c r="AK10" i="7" s="1"/>
  <c r="AK11" i="7" s="1"/>
  <c r="AK12" i="7" s="1"/>
  <c r="AK13" i="7" s="1"/>
  <c r="AK14" i="7" s="1"/>
  <c r="B4" i="7"/>
  <c r="F10" i="7" l="1"/>
  <c r="F11" i="7" s="1"/>
  <c r="F12" i="7" s="1"/>
  <c r="F13" i="7" s="1"/>
  <c r="F14" i="7" s="1"/>
  <c r="C7" i="6"/>
  <c r="C8" i="6"/>
  <c r="C9" i="6"/>
  <c r="C10" i="6"/>
  <c r="C11" i="6"/>
  <c r="C12" i="6"/>
  <c r="C13" i="6"/>
  <c r="C14" i="6"/>
  <c r="C15" i="6"/>
  <c r="C16" i="6"/>
  <c r="C17" i="6"/>
  <c r="C6" i="6"/>
  <c r="B11" i="6"/>
  <c r="B7" i="6"/>
  <c r="B8" i="6"/>
  <c r="B9" i="6" s="1"/>
  <c r="B10" i="6" s="1"/>
  <c r="B12" i="6" s="1"/>
  <c r="B13" i="6" s="1"/>
  <c r="B14" i="6" s="1"/>
  <c r="B15" i="6" s="1"/>
  <c r="B16" i="6" s="1"/>
  <c r="B17" i="6" s="1"/>
  <c r="B6" i="6"/>
  <c r="D1" i="6"/>
</calcChain>
</file>

<file path=xl/sharedStrings.xml><?xml version="1.0" encoding="utf-8"?>
<sst xmlns="http://schemas.openxmlformats.org/spreadsheetml/2006/main" count="173" uniqueCount="93">
  <si>
    <t>Численность населения Республики Казахстан по полу и отдельным возрастным группам  на начало 2016 года</t>
  </si>
  <si>
    <t xml:space="preserve">адам </t>
  </si>
  <si>
    <t xml:space="preserve">  человек</t>
  </si>
  <si>
    <t>Барлығы
Всего</t>
  </si>
  <si>
    <t>соның ішінде                        в том числе в возрасте</t>
  </si>
  <si>
    <t>0-15</t>
  </si>
  <si>
    <t>16-62(57)</t>
  </si>
  <si>
    <t>*63(58)&amp;+</t>
  </si>
  <si>
    <t>барлығы
всего</t>
  </si>
  <si>
    <t>ерлер
мужчины</t>
  </si>
  <si>
    <t>әйелдер
женщины</t>
  </si>
  <si>
    <t>Республика  Казахстан</t>
  </si>
  <si>
    <t>Акмолинская</t>
  </si>
  <si>
    <t>Южно-Казахстанская</t>
  </si>
  <si>
    <t>Северо-Казахстанская</t>
  </si>
  <si>
    <t>г.Астана</t>
  </si>
  <si>
    <t xml:space="preserve">г.Алматы </t>
  </si>
  <si>
    <t>https://stat.gov.kz/api/getFile/?docId=ESTAT117768</t>
  </si>
  <si>
    <t>https://stat.gov.kz/api/getFile/?docId=ESTAT263026</t>
  </si>
  <si>
    <t>Численность населения Республики Казахстан по полу и отдельным возрастным группам на начало 2017 года</t>
  </si>
  <si>
    <t>63(58)+*</t>
  </si>
  <si>
    <t>Республика Казахстан</t>
  </si>
  <si>
    <t xml:space="preserve">Акмолинская </t>
  </si>
  <si>
    <t xml:space="preserve">Южно-Казахстанская </t>
  </si>
  <si>
    <t xml:space="preserve">Северо-Казахстанская </t>
  </si>
  <si>
    <t>г.Алматы</t>
  </si>
  <si>
    <t>Численность населения Республики Казахстан по полу и отдельным возрастным группам на начало 2018  года</t>
  </si>
  <si>
    <t>https://stat.gov.kz/api/getFile/?docId=ESTAT259817</t>
  </si>
  <si>
    <t>Численность населения Республики Казахстан по полу и отдельным возрастным группам на начало 2019  года</t>
  </si>
  <si>
    <t>16-62(58)</t>
  </si>
  <si>
    <t>63(59)+*</t>
  </si>
  <si>
    <t>Туркестанская</t>
  </si>
  <si>
    <t>г.Нур-Султан</t>
  </si>
  <si>
    <t>г. Шымкент</t>
  </si>
  <si>
    <t>https://stat.gov.kz/api/getFile/?docId=ESTAT304957</t>
  </si>
  <si>
    <t>Численность населения Республики Казахстан по полу и отдельным возрастным группам на начало 2020 года</t>
  </si>
  <si>
    <t>https://stat.gov.kz/api/getFile/?docId=ESTAT354547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</si>
  <si>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</si>
  <si>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</si>
  <si>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</si>
  <si>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</si>
  <si>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</si>
  <si>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</si>
  <si>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</si>
  <si>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</si>
  <si>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</si>
  <si>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</si>
  <si>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</si>
  <si>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</si>
  <si>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Дата</t>
  </si>
  <si>
    <t>Численность населения</t>
  </si>
  <si>
    <t>РК, всего</t>
  </si>
  <si>
    <t>РК, муж, 63(59)+*</t>
  </si>
  <si>
    <t>РК, жен, 63(59)+*</t>
  </si>
  <si>
    <t>РК, муж, 0-15л</t>
  </si>
  <si>
    <t>РК, муж, 16-62(57)</t>
  </si>
  <si>
    <t>РК, жен, 0-15л</t>
  </si>
  <si>
    <t>РК, жен, 16-62(57)</t>
  </si>
  <si>
    <t>Акмолинская, всего</t>
  </si>
  <si>
    <t>Акмолинская, муж, 0-15л</t>
  </si>
  <si>
    <t>Акмолинская, жен, 0-15л</t>
  </si>
  <si>
    <t>Акмолинская, муж, 16-62(57)</t>
  </si>
  <si>
    <t>Акмолинская, жен, 16-62(57)</t>
  </si>
  <si>
    <t>Акмолинская, муж, 63(59)+*</t>
  </si>
  <si>
    <t>Акмолинская, жен, 63(59)+*</t>
  </si>
  <si>
    <t>СКО, муж, 0-15л</t>
  </si>
  <si>
    <t>СКО, жен, 0-15л</t>
  </si>
  <si>
    <t>СКО, муж, 16-62(57)</t>
  </si>
  <si>
    <t>СКО, жен, 16-62(57)</t>
  </si>
  <si>
    <t>СКО, муж, 63(59)+*</t>
  </si>
  <si>
    <t>СКО, жен, 63(59)+*</t>
  </si>
  <si>
    <t>СКО, всего</t>
  </si>
  <si>
    <t>г.Нур-Султан, муж, 0-15л</t>
  </si>
  <si>
    <t>г.Нур-Султан, жен, 0-15л</t>
  </si>
  <si>
    <t>г.Нур-Султан, муж, 16-62(57)</t>
  </si>
  <si>
    <t>г.Нур-Султан, жен, 16-62(57)</t>
  </si>
  <si>
    <t>г.Нур-Султан, муж, 63(59)+*</t>
  </si>
  <si>
    <t>г.Нур-Султан, жен, 63(59)+*</t>
  </si>
  <si>
    <t>г.Алматы, муж, 0-15л</t>
  </si>
  <si>
    <t>г.Алматы, жен, 0-15л</t>
  </si>
  <si>
    <t>г.Алматы, муж, 16-62(57)</t>
  </si>
  <si>
    <t>г.Алматы, жен, 16-62(57)</t>
  </si>
  <si>
    <t>г.Алматы, муж, 63(59)+*</t>
  </si>
  <si>
    <t>г.Алматы, жен, 63(59)+*</t>
  </si>
  <si>
    <t>г.Алматы, всего</t>
  </si>
  <si>
    <t>г.Нур-Султан, всего</t>
  </si>
  <si>
    <t>ЮКО, муж, 0-15л</t>
  </si>
  <si>
    <t>ЮКО, жен, 0-15л</t>
  </si>
  <si>
    <t>ЮКО, муж, 16-62(57)</t>
  </si>
  <si>
    <t>ЮКО, жен, 16-62(57)</t>
  </si>
  <si>
    <t>ЮКО, муж, 63(59)+*</t>
  </si>
  <si>
    <t>ЮКО, жен, 63(59)+*</t>
  </si>
  <si>
    <t>ЮКО,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</si>
</sst>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#\ ###\ ##0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  <scheme val="minor"/>
    </font>
    <font>
      <sz val="10"/>
      <name val="Arial Cyr"/>
    </font>
    <font>
      <sz val="8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sz val="9"/>
      <name val="Calibri"/>
      <family val="2"/>
      <charset val="204"/>
    </font>
    <font>
      <b/>
      <sz val="8"/>
      <name val="Calibri"/>
      <family val="2"/>
      <charset val="204"/>
    </font>
    <font>
      <b/>
      <sz val="9"/>
      <name val="Calibri"/>
      <family val="2"/>
      <charset val="204"/>
    </font>
    <font>
      <sz val="9"/>
      <color indexed="8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8"/>
      <color rgb="FFFF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/>
    <xf numFmtId="0" fontId="25" fillId="8" borderId="8" applyNumberFormat="0" applyFont="0" applyAlignment="0" applyProtection="0"/>
  </cellStyleXfs>
  <cellXfs count="140">
    <xf numFmtId="0" fontId="0" fillId="0" borderId="0" xfId="0"/>
    <xf numFmtId="3" fontId="21" fillId="0" borderId="0" xfId="0" applyNumberFormat="1" applyFont="1"/>
    <xf numFmtId="0" fontId="0" fillId="33" borderId="0" xfId="0" applyFill="1"/>
    <xf numFmtId="3" fontId="21" fillId="0" borderId="12" xfId="0" applyNumberFormat="1" applyFont="1" applyBorder="1"/>
    <xf numFmtId="3" fontId="23" fillId="0" borderId="0" xfId="0" applyNumberFormat="1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164" fontId="28" fillId="0" borderId="0" xfId="0" applyNumberFormat="1" applyFont="1" applyAlignment="1">
      <alignment horizontal="center"/>
    </xf>
    <xf numFmtId="0" fontId="27" fillId="0" borderId="10" xfId="0" applyFont="1" applyBorder="1" applyAlignment="1">
      <alignment horizontal="center" vertical="center" wrapText="1"/>
    </xf>
    <xf numFmtId="164" fontId="30" fillId="0" borderId="0" xfId="0" applyNumberFormat="1" applyFont="1" applyAlignment="1">
      <alignment horizontal="right" wrapText="1"/>
    </xf>
    <xf numFmtId="164" fontId="30" fillId="0" borderId="12" xfId="0" applyNumberFormat="1" applyFont="1" applyBorder="1" applyAlignment="1">
      <alignment horizontal="right" wrapText="1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1" fillId="0" borderId="0" xfId="0" applyFont="1" applyAlignment="1">
      <alignment horizontal="left" wrapText="1" indent="1"/>
    </xf>
    <xf numFmtId="0" fontId="31" fillId="0" borderId="12" xfId="0" applyFont="1" applyBorder="1" applyAlignment="1">
      <alignment horizontal="left" wrapText="1" indent="1"/>
    </xf>
    <xf numFmtId="0" fontId="24" fillId="0" borderId="0" xfId="0" applyFont="1" applyAlignment="1">
      <alignment horizontal="center"/>
    </xf>
    <xf numFmtId="0" fontId="27" fillId="0" borderId="10" xfId="0" applyFont="1" applyBorder="1" applyAlignment="1">
      <alignment horizontal="center" vertical="center" wrapText="1"/>
    </xf>
    <xf numFmtId="1" fontId="29" fillId="0" borderId="0" xfId="0" applyNumberFormat="1" applyFont="1" applyAlignment="1">
      <alignment horizontal="left" wrapText="1" indent="1"/>
    </xf>
    <xf numFmtId="3" fontId="29" fillId="0" borderId="0" xfId="0" applyNumberFormat="1" applyFont="1"/>
    <xf numFmtId="3" fontId="27" fillId="0" borderId="0" xfId="0" applyNumberFormat="1" applyFont="1"/>
    <xf numFmtId="3" fontId="27" fillId="0" borderId="0" xfId="0" applyNumberFormat="1" applyFont="1" applyBorder="1"/>
    <xf numFmtId="3" fontId="27" fillId="0" borderId="12" xfId="0" applyNumberFormat="1" applyFont="1" applyBorder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164" fontId="28" fillId="0" borderId="0" xfId="0" applyNumberFormat="1" applyFont="1" applyAlignment="1">
      <alignment horizontal="center"/>
    </xf>
    <xf numFmtId="0" fontId="27" fillId="0" borderId="10" xfId="0" applyFont="1" applyBorder="1" applyAlignment="1">
      <alignment horizontal="center" vertical="center" wrapText="1"/>
    </xf>
    <xf numFmtId="3" fontId="29" fillId="0" borderId="0" xfId="0" applyNumberFormat="1" applyFont="1"/>
    <xf numFmtId="3" fontId="27" fillId="0" borderId="0" xfId="0" applyNumberFormat="1" applyFont="1"/>
    <xf numFmtId="3" fontId="27" fillId="0" borderId="0" xfId="0" applyNumberFormat="1" applyFont="1" applyBorder="1"/>
    <xf numFmtId="3" fontId="27" fillId="0" borderId="12" xfId="0" applyNumberFormat="1" applyFont="1" applyBorder="1"/>
    <xf numFmtId="0" fontId="0" fillId="0" borderId="0" xfId="0" applyFont="1"/>
    <xf numFmtId="164" fontId="33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3" fontId="33" fillId="0" borderId="0" xfId="0" applyNumberFormat="1" applyFont="1"/>
    <xf numFmtId="3" fontId="32" fillId="0" borderId="0" xfId="0" applyNumberFormat="1" applyFont="1"/>
    <xf numFmtId="3" fontId="32" fillId="0" borderId="12" xfId="0" applyNumberFormat="1" applyFont="1" applyBorder="1"/>
    <xf numFmtId="0" fontId="19" fillId="0" borderId="10" xfId="0" applyFont="1" applyBorder="1" applyAlignment="1">
      <alignment horizontal="center" vertical="center" wrapText="1"/>
    </xf>
    <xf numFmtId="17" fontId="0" fillId="0" borderId="0" xfId="0" applyNumberFormat="1"/>
    <xf numFmtId="0" fontId="16" fillId="0" borderId="0" xfId="0" applyFont="1"/>
    <xf numFmtId="0" fontId="16" fillId="0" borderId="0" xfId="0" applyFont="1" applyBorder="1"/>
    <xf numFmtId="0" fontId="16" fillId="0" borderId="17" xfId="0" applyFont="1" applyBorder="1" applyAlignment="1">
      <alignment horizontal="left"/>
    </xf>
    <xf numFmtId="0" fontId="0" fillId="0" borderId="18" xfId="0" applyBorder="1"/>
    <xf numFmtId="0" fontId="16" fillId="0" borderId="10" xfId="0" applyFont="1" applyBorder="1"/>
    <xf numFmtId="17" fontId="16" fillId="0" borderId="10" xfId="0" applyNumberFormat="1" applyFont="1" applyBorder="1"/>
    <xf numFmtId="17" fontId="0" fillId="0" borderId="10" xfId="0" applyNumberFormat="1" applyBorder="1"/>
    <xf numFmtId="0" fontId="0" fillId="0" borderId="0" xfId="0" applyBorder="1"/>
    <xf numFmtId="0" fontId="0" fillId="0" borderId="19" xfId="0" applyFont="1" applyBorder="1"/>
    <xf numFmtId="1" fontId="33" fillId="0" borderId="19" xfId="0" applyNumberFormat="1" applyFont="1" applyBorder="1" applyAlignment="1">
      <alignment horizontal="left" wrapText="1" indent="1"/>
    </xf>
    <xf numFmtId="0" fontId="0" fillId="0" borderId="19" xfId="0" applyFont="1" applyBorder="1" applyAlignment="1">
      <alignment horizontal="left" wrapText="1" indent="1"/>
    </xf>
    <xf numFmtId="0" fontId="32" fillId="0" borderId="13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Font="1" applyBorder="1" applyAlignment="1">
      <alignment horizontal="left" wrapText="1" indent="1"/>
    </xf>
    <xf numFmtId="0" fontId="0" fillId="0" borderId="22" xfId="0" applyFont="1" applyBorder="1" applyAlignment="1">
      <alignment horizontal="left" wrapText="1" indent="1"/>
    </xf>
    <xf numFmtId="1" fontId="33" fillId="0" borderId="20" xfId="0" applyNumberFormat="1" applyFont="1" applyBorder="1" applyAlignment="1">
      <alignment horizontal="left" wrapText="1" indent="1"/>
    </xf>
    <xf numFmtId="0" fontId="27" fillId="0" borderId="11" xfId="0" applyFont="1" applyBorder="1" applyAlignment="1">
      <alignment horizontal="center" vertical="center" wrapText="1"/>
    </xf>
    <xf numFmtId="1" fontId="29" fillId="0" borderId="19" xfId="0" applyNumberFormat="1" applyFont="1" applyBorder="1" applyAlignment="1">
      <alignment horizontal="left" wrapText="1" indent="1"/>
    </xf>
    <xf numFmtId="0" fontId="31" fillId="0" borderId="19" xfId="0" applyFont="1" applyBorder="1" applyAlignment="1">
      <alignment horizontal="left" wrapText="1" indent="1"/>
    </xf>
    <xf numFmtId="0" fontId="27" fillId="0" borderId="13" xfId="0" applyFont="1" applyBorder="1" applyAlignment="1">
      <alignment horizontal="center" vertical="center" wrapText="1"/>
    </xf>
    <xf numFmtId="1" fontId="29" fillId="0" borderId="21" xfId="0" applyNumberFormat="1" applyFont="1" applyBorder="1" applyAlignment="1">
      <alignment horizontal="left" wrapText="1" indent="1"/>
    </xf>
    <xf numFmtId="0" fontId="31" fillId="0" borderId="21" xfId="0" applyFont="1" applyBorder="1" applyAlignment="1">
      <alignment horizontal="left" wrapText="1" indent="1"/>
    </xf>
    <xf numFmtId="0" fontId="31" fillId="0" borderId="22" xfId="0" applyFont="1" applyBorder="1" applyAlignment="1">
      <alignment horizontal="left" wrapText="1" indent="1"/>
    </xf>
    <xf numFmtId="0" fontId="26" fillId="0" borderId="0" xfId="0" applyFont="1" applyBorder="1" applyAlignment="1">
      <alignment horizontal="right"/>
    </xf>
    <xf numFmtId="0" fontId="0" fillId="0" borderId="19" xfId="0" applyBorder="1"/>
    <xf numFmtId="0" fontId="19" fillId="0" borderId="11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1" fontId="22" fillId="0" borderId="19" xfId="44" applyNumberFormat="1" applyFont="1" applyBorder="1" applyAlignment="1">
      <alignment horizontal="left" vertical="center" wrapText="1" indent="1"/>
    </xf>
    <xf numFmtId="1" fontId="19" fillId="0" borderId="19" xfId="0" applyNumberFormat="1" applyFont="1" applyBorder="1" applyAlignment="1">
      <alignment horizontal="left" indent="1"/>
    </xf>
    <xf numFmtId="1" fontId="22" fillId="0" borderId="21" xfId="44" applyNumberFormat="1" applyFont="1" applyBorder="1" applyAlignment="1">
      <alignment horizontal="left" vertical="center" wrapText="1" indent="1"/>
    </xf>
    <xf numFmtId="1" fontId="19" fillId="0" borderId="21" xfId="0" applyNumberFormat="1" applyFont="1" applyBorder="1" applyAlignment="1">
      <alignment horizontal="left" indent="1"/>
    </xf>
    <xf numFmtId="1" fontId="19" fillId="0" borderId="22" xfId="0" applyNumberFormat="1" applyFont="1" applyBorder="1" applyAlignment="1">
      <alignment horizontal="left" indent="1"/>
    </xf>
    <xf numFmtId="3" fontId="0" fillId="0" borderId="0" xfId="0" applyNumberFormat="1"/>
    <xf numFmtId="0" fontId="16" fillId="0" borderId="18" xfId="0" applyFont="1" applyBorder="1" applyAlignment="1">
      <alignment horizontal="left"/>
    </xf>
    <xf numFmtId="0" fontId="16" fillId="36" borderId="10" xfId="0" applyFont="1" applyFill="1" applyBorder="1"/>
    <xf numFmtId="0" fontId="16" fillId="35" borderId="10" xfId="0" applyFont="1" applyFill="1" applyBorder="1" applyAlignment="1">
      <alignment wrapText="1"/>
    </xf>
    <xf numFmtId="0" fontId="16" fillId="37" borderId="10" xfId="0" applyFont="1" applyFill="1" applyBorder="1" applyAlignment="1">
      <alignment wrapText="1"/>
    </xf>
    <xf numFmtId="0" fontId="16" fillId="38" borderId="10" xfId="0" applyFont="1" applyFill="1" applyBorder="1" applyAlignment="1">
      <alignment wrapText="1"/>
    </xf>
    <xf numFmtId="0" fontId="16" fillId="39" borderId="10" xfId="0" applyFont="1" applyFill="1" applyBorder="1" applyAlignment="1">
      <alignment wrapText="1"/>
    </xf>
    <xf numFmtId="0" fontId="16" fillId="42" borderId="10" xfId="0" applyFont="1" applyFill="1" applyBorder="1" applyAlignment="1">
      <alignment wrapText="1"/>
    </xf>
    <xf numFmtId="3" fontId="16" fillId="41" borderId="10" xfId="0" applyNumberFormat="1" applyFont="1" applyFill="1" applyBorder="1"/>
    <xf numFmtId="3" fontId="21" fillId="41" borderId="10" xfId="0" applyNumberFormat="1" applyFont="1" applyFill="1" applyBorder="1"/>
    <xf numFmtId="164" fontId="35" fillId="41" borderId="10" xfId="0" applyNumberFormat="1" applyFont="1" applyFill="1" applyBorder="1" applyAlignment="1">
      <alignment horizontal="right" wrapText="1"/>
    </xf>
    <xf numFmtId="3" fontId="33" fillId="41" borderId="10" xfId="0" applyNumberFormat="1" applyFont="1" applyFill="1" applyBorder="1"/>
    <xf numFmtId="3" fontId="16" fillId="43" borderId="10" xfId="0" applyNumberFormat="1" applyFont="1" applyFill="1" applyBorder="1"/>
    <xf numFmtId="3" fontId="21" fillId="43" borderId="10" xfId="0" applyNumberFormat="1" applyFont="1" applyFill="1" applyBorder="1"/>
    <xf numFmtId="164" fontId="35" fillId="43" borderId="10" xfId="0" applyNumberFormat="1" applyFont="1" applyFill="1" applyBorder="1" applyAlignment="1">
      <alignment horizontal="right" wrapText="1"/>
    </xf>
    <xf numFmtId="3" fontId="33" fillId="43" borderId="10" xfId="0" applyNumberFormat="1" applyFont="1" applyFill="1" applyBorder="1"/>
    <xf numFmtId="3" fontId="16" fillId="34" borderId="10" xfId="0" applyNumberFormat="1" applyFont="1" applyFill="1" applyBorder="1"/>
    <xf numFmtId="3" fontId="21" fillId="34" borderId="10" xfId="0" applyNumberFormat="1" applyFont="1" applyFill="1" applyBorder="1"/>
    <xf numFmtId="164" fontId="35" fillId="34" borderId="10" xfId="0" applyNumberFormat="1" applyFont="1" applyFill="1" applyBorder="1" applyAlignment="1">
      <alignment horizontal="right" wrapText="1"/>
    </xf>
    <xf numFmtId="3" fontId="33" fillId="34" borderId="10" xfId="0" applyNumberFormat="1" applyFont="1" applyFill="1" applyBorder="1"/>
    <xf numFmtId="3" fontId="16" fillId="44" borderId="10" xfId="0" applyNumberFormat="1" applyFont="1" applyFill="1" applyBorder="1"/>
    <xf numFmtId="3" fontId="21" fillId="44" borderId="10" xfId="0" applyNumberFormat="1" applyFont="1" applyFill="1" applyBorder="1"/>
    <xf numFmtId="164" fontId="35" fillId="44" borderId="10" xfId="0" applyNumberFormat="1" applyFont="1" applyFill="1" applyBorder="1" applyAlignment="1">
      <alignment horizontal="right" wrapText="1"/>
    </xf>
    <xf numFmtId="3" fontId="33" fillId="44" borderId="10" xfId="0" applyNumberFormat="1" applyFont="1" applyFill="1" applyBorder="1"/>
    <xf numFmtId="3" fontId="16" fillId="40" borderId="10" xfId="0" applyNumberFormat="1" applyFont="1" applyFill="1" applyBorder="1"/>
    <xf numFmtId="3" fontId="21" fillId="40" borderId="10" xfId="0" applyNumberFormat="1" applyFont="1" applyFill="1" applyBorder="1"/>
    <xf numFmtId="164" fontId="35" fillId="40" borderId="10" xfId="0" applyNumberFormat="1" applyFont="1" applyFill="1" applyBorder="1" applyAlignment="1">
      <alignment horizontal="right" wrapText="1"/>
    </xf>
    <xf numFmtId="3" fontId="33" fillId="40" borderId="10" xfId="0" applyNumberFormat="1" applyFont="1" applyFill="1" applyBorder="1"/>
    <xf numFmtId="3" fontId="16" fillId="45" borderId="10" xfId="0" applyNumberFormat="1" applyFont="1" applyFill="1" applyBorder="1"/>
    <xf numFmtId="3" fontId="21" fillId="45" borderId="10" xfId="0" applyNumberFormat="1" applyFont="1" applyFill="1" applyBorder="1"/>
    <xf numFmtId="164" fontId="35" fillId="45" borderId="10" xfId="0" applyNumberFormat="1" applyFont="1" applyFill="1" applyBorder="1" applyAlignment="1">
      <alignment horizontal="right" wrapText="1"/>
    </xf>
    <xf numFmtId="3" fontId="33" fillId="45" borderId="10" xfId="0" applyNumberFormat="1" applyFont="1" applyFill="1" applyBorder="1"/>
    <xf numFmtId="3" fontId="34" fillId="45" borderId="10" xfId="0" applyNumberFormat="1" applyFont="1" applyFill="1" applyBorder="1"/>
    <xf numFmtId="0" fontId="27" fillId="0" borderId="11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7" fillId="0" borderId="11" xfId="0" applyFont="1" applyBorder="1" applyAlignment="1"/>
    <xf numFmtId="0" fontId="27" fillId="0" borderId="16" xfId="0" applyFont="1" applyBorder="1" applyAlignment="1"/>
    <xf numFmtId="0" fontId="27" fillId="0" borderId="13" xfId="0" applyFont="1" applyBorder="1" applyAlignment="1"/>
    <xf numFmtId="0" fontId="32" fillId="0" borderId="11" xfId="0" applyFont="1" applyBorder="1" applyAlignment="1">
      <alignment vertical="center" wrapText="1"/>
    </xf>
    <xf numFmtId="0" fontId="32" fillId="0" borderId="13" xfId="0" applyFont="1" applyBorder="1" applyAlignment="1">
      <alignment vertical="center" wrapText="1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19" fillId="0" borderId="18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7" fillId="0" borderId="1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</cellXfs>
  <cellStyles count="46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Обычный 4" xfId="43"/>
    <cellStyle name="Обычный_11chis" xfId="44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имечание 2" xfId="4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EEBE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Лист1!$C$6:$C$17</c:f>
              <c:numCache>
                <c:formatCode>General</c:formatCode>
                <c:ptCount val="12"/>
                <c:pt idx="0">
                  <c:v>12246.204830937306</c:v>
                </c:pt>
                <c:pt idx="1">
                  <c:v>13745.900158550023</c:v>
                </c:pt>
                <c:pt idx="2">
                  <c:v>15429.251247822191</c:v>
                </c:pt>
                <c:pt idx="3">
                  <c:v>17318.748959510442</c:v>
                </c:pt>
                <c:pt idx="4">
                  <c:v>19439.638431247935</c:v>
                </c:pt>
                <c:pt idx="5">
                  <c:v>21820.256371932162</c:v>
                </c:pt>
                <c:pt idx="6">
                  <c:v>24492.409661874612</c:v>
                </c:pt>
                <c:pt idx="7">
                  <c:v>27491.800317100046</c:v>
                </c:pt>
                <c:pt idx="8">
                  <c:v>30858.502495644381</c:v>
                </c:pt>
                <c:pt idx="9">
                  <c:v>34637.497919020883</c:v>
                </c:pt>
                <c:pt idx="10">
                  <c:v>38879.27686249587</c:v>
                </c:pt>
                <c:pt idx="11">
                  <c:v>43640.512743864325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Лист1!$B$5:$B$17</c:f>
              <c:numCache>
                <c:formatCode>General</c:formatCode>
                <c:ptCount val="13"/>
                <c:pt idx="0">
                  <c:v>100000</c:v>
                </c:pt>
                <c:pt idx="1">
                  <c:v>112246.20483093731</c:v>
                </c:pt>
                <c:pt idx="2">
                  <c:v>125992.10498948733</c:v>
                </c:pt>
                <c:pt idx="3">
                  <c:v>141421.35623730952</c:v>
                </c:pt>
                <c:pt idx="4">
                  <c:v>158740.10519681996</c:v>
                </c:pt>
                <c:pt idx="5">
                  <c:v>178179.7436280679</c:v>
                </c:pt>
                <c:pt idx="6">
                  <c:v>200000.00000000006</c:v>
                </c:pt>
                <c:pt idx="7">
                  <c:v>224492.40966187467</c:v>
                </c:pt>
                <c:pt idx="8">
                  <c:v>251984.20997897472</c:v>
                </c:pt>
                <c:pt idx="9">
                  <c:v>282842.7124746191</c:v>
                </c:pt>
                <c:pt idx="10">
                  <c:v>317480.21039363998</c:v>
                </c:pt>
                <c:pt idx="11">
                  <c:v>356359.48725613585</c:v>
                </c:pt>
                <c:pt idx="12">
                  <c:v>400000.00000000017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15520"/>
        <c:axId val="93688320"/>
      </c:lineChart>
      <c:catAx>
        <c:axId val="1279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3688320"/>
        <c:crosses val="autoZero"/>
        <c:auto val="1"/>
        <c:lblAlgn val="ctr"/>
        <c:lblOffset val="100"/>
        <c:noMultiLvlLbl val="0"/>
      </c:catAx>
      <c:valAx>
        <c:axId val="936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90487</xdr:rowOff>
    </xdr:from>
    <xdr:to>
      <xdr:col>14</xdr:col>
      <xdr:colOff>161925</xdr:colOff>
      <xdr:row>19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>
      <selection activeCell="L8" sqref="L8:M8"/>
    </sheetView>
  </sheetViews>
  <sheetFormatPr defaultRowHeight="15" x14ac:dyDescent="0.25"/>
  <cols>
    <col min="1" max="1" width="24.140625" customWidth="1"/>
    <col min="14" max="14" width="20.28515625" customWidth="1"/>
    <col min="17" max="17" width="29.42578125" customWidth="1"/>
  </cols>
  <sheetData>
    <row r="2" spans="1:17" x14ac:dyDescent="0.25">
      <c r="B2" s="118" t="s">
        <v>0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Q2" s="2" t="s">
        <v>17</v>
      </c>
    </row>
    <row r="3" spans="1:17" ht="15" customHeight="1" x14ac:dyDescent="0.25">
      <c r="A3" s="115"/>
      <c r="B3" s="119" t="s">
        <v>3</v>
      </c>
      <c r="C3" s="119"/>
      <c r="D3" s="120"/>
      <c r="E3" s="123" t="s">
        <v>4</v>
      </c>
      <c r="F3" s="124"/>
      <c r="G3" s="124"/>
      <c r="H3" s="124"/>
      <c r="I3" s="124"/>
      <c r="J3" s="124"/>
      <c r="K3" s="124"/>
      <c r="L3" s="124"/>
      <c r="M3" s="124"/>
      <c r="N3" s="125"/>
    </row>
    <row r="4" spans="1:17" x14ac:dyDescent="0.25">
      <c r="A4" s="116"/>
      <c r="B4" s="121"/>
      <c r="C4" s="121"/>
      <c r="D4" s="122"/>
      <c r="E4" s="126" t="s">
        <v>5</v>
      </c>
      <c r="F4" s="127"/>
      <c r="G4" s="128"/>
      <c r="H4" s="126" t="s">
        <v>6</v>
      </c>
      <c r="I4" s="127"/>
      <c r="J4" s="128"/>
      <c r="K4" s="126" t="s">
        <v>7</v>
      </c>
      <c r="L4" s="127"/>
      <c r="M4" s="127"/>
      <c r="N4" s="125"/>
    </row>
    <row r="5" spans="1:17" ht="22.5" x14ac:dyDescent="0.25">
      <c r="A5" s="117"/>
      <c r="B5" s="69" t="s">
        <v>8</v>
      </c>
      <c r="C5" s="40" t="s">
        <v>9</v>
      </c>
      <c r="D5" s="40" t="s">
        <v>10</v>
      </c>
      <c r="E5" s="40" t="s">
        <v>8</v>
      </c>
      <c r="F5" s="40" t="s">
        <v>9</v>
      </c>
      <c r="G5" s="40" t="s">
        <v>10</v>
      </c>
      <c r="H5" s="40" t="s">
        <v>8</v>
      </c>
      <c r="I5" s="40" t="s">
        <v>9</v>
      </c>
      <c r="J5" s="40" t="s">
        <v>10</v>
      </c>
      <c r="K5" s="40" t="s">
        <v>8</v>
      </c>
      <c r="L5" s="40" t="s">
        <v>9</v>
      </c>
      <c r="M5" s="68" t="s">
        <v>10</v>
      </c>
      <c r="N5" s="125"/>
    </row>
    <row r="6" spans="1:17" x14ac:dyDescent="0.25">
      <c r="A6" s="72" t="s">
        <v>11</v>
      </c>
      <c r="B6" s="4">
        <v>17670579</v>
      </c>
      <c r="C6" s="4">
        <v>8542481</v>
      </c>
      <c r="D6" s="4">
        <v>9128098</v>
      </c>
      <c r="E6" s="4">
        <v>5019349</v>
      </c>
      <c r="F6" s="4">
        <v>2578261</v>
      </c>
      <c r="G6" s="4">
        <v>2441088</v>
      </c>
      <c r="H6" s="4">
        <v>10747415</v>
      </c>
      <c r="I6" s="4">
        <v>5423976</v>
      </c>
      <c r="J6" s="4">
        <v>5323439</v>
      </c>
      <c r="K6" s="4">
        <v>1903815</v>
      </c>
      <c r="L6" s="4">
        <v>540244</v>
      </c>
      <c r="M6" s="4">
        <v>1363571</v>
      </c>
      <c r="N6" s="70"/>
    </row>
    <row r="7" spans="1:17" x14ac:dyDescent="0.25">
      <c r="A7" s="73" t="s">
        <v>12</v>
      </c>
      <c r="B7" s="1">
        <v>744386</v>
      </c>
      <c r="C7" s="1">
        <v>359765</v>
      </c>
      <c r="D7" s="1">
        <v>384621</v>
      </c>
      <c r="E7" s="1">
        <v>181016</v>
      </c>
      <c r="F7" s="1">
        <v>92832</v>
      </c>
      <c r="G7" s="1">
        <v>88184</v>
      </c>
      <c r="H7" s="1">
        <v>461344</v>
      </c>
      <c r="I7" s="1">
        <v>238337</v>
      </c>
      <c r="J7" s="1">
        <v>223007</v>
      </c>
      <c r="K7" s="1">
        <v>102026</v>
      </c>
      <c r="L7" s="1">
        <v>28596</v>
      </c>
      <c r="M7" s="1">
        <v>73430</v>
      </c>
      <c r="N7" s="70"/>
    </row>
    <row r="8" spans="1:17" x14ac:dyDescent="0.25">
      <c r="A8" s="73" t="s">
        <v>13</v>
      </c>
      <c r="B8" s="1">
        <v>2841307</v>
      </c>
      <c r="C8" s="1">
        <v>1412563</v>
      </c>
      <c r="D8" s="1">
        <v>1428744</v>
      </c>
      <c r="E8" s="1">
        <v>1049463</v>
      </c>
      <c r="F8" s="1">
        <v>538148</v>
      </c>
      <c r="G8" s="1">
        <v>511315</v>
      </c>
      <c r="H8" s="1">
        <v>1595023</v>
      </c>
      <c r="I8" s="1">
        <v>815142</v>
      </c>
      <c r="J8" s="1">
        <v>779881</v>
      </c>
      <c r="K8" s="1">
        <v>196821</v>
      </c>
      <c r="L8" s="1">
        <v>59273</v>
      </c>
      <c r="M8" s="1">
        <v>137548</v>
      </c>
      <c r="N8" s="71"/>
    </row>
    <row r="9" spans="1:17" x14ac:dyDescent="0.25">
      <c r="A9" s="73" t="s">
        <v>14</v>
      </c>
      <c r="B9" s="1">
        <v>569446</v>
      </c>
      <c r="C9" s="1">
        <v>271638</v>
      </c>
      <c r="D9" s="1">
        <v>297808</v>
      </c>
      <c r="E9" s="1">
        <v>123454</v>
      </c>
      <c r="F9" s="1">
        <v>63710</v>
      </c>
      <c r="G9" s="1">
        <v>59744</v>
      </c>
      <c r="H9" s="1">
        <v>350405</v>
      </c>
      <c r="I9" s="1">
        <v>181857</v>
      </c>
      <c r="J9" s="1">
        <v>168548</v>
      </c>
      <c r="K9" s="1">
        <v>95587</v>
      </c>
      <c r="L9" s="1">
        <v>26071</v>
      </c>
      <c r="M9" s="1">
        <v>69516</v>
      </c>
      <c r="N9" s="71"/>
    </row>
    <row r="10" spans="1:17" x14ac:dyDescent="0.25">
      <c r="A10" s="73" t="s">
        <v>15</v>
      </c>
      <c r="B10" s="1">
        <v>872619</v>
      </c>
      <c r="C10" s="1">
        <v>420719</v>
      </c>
      <c r="D10" s="1">
        <v>451900</v>
      </c>
      <c r="E10" s="1">
        <v>242909</v>
      </c>
      <c r="F10" s="1">
        <v>124839</v>
      </c>
      <c r="G10" s="1">
        <v>118070</v>
      </c>
      <c r="H10" s="1">
        <v>567509</v>
      </c>
      <c r="I10" s="1">
        <v>278811</v>
      </c>
      <c r="J10" s="1">
        <v>288698</v>
      </c>
      <c r="K10" s="1">
        <v>62201</v>
      </c>
      <c r="L10" s="1">
        <v>17069</v>
      </c>
      <c r="M10" s="1">
        <v>45132</v>
      </c>
      <c r="N10" s="71"/>
    </row>
    <row r="11" spans="1:17" x14ac:dyDescent="0.25">
      <c r="A11" s="74" t="s">
        <v>16</v>
      </c>
      <c r="B11" s="3">
        <v>1703482</v>
      </c>
      <c r="C11" s="3">
        <v>779221</v>
      </c>
      <c r="D11" s="3">
        <v>924261</v>
      </c>
      <c r="E11" s="3">
        <v>374741</v>
      </c>
      <c r="F11" s="3">
        <v>193695</v>
      </c>
      <c r="G11" s="3">
        <v>181046</v>
      </c>
      <c r="H11" s="3">
        <v>1128981</v>
      </c>
      <c r="I11" s="3">
        <v>530632</v>
      </c>
      <c r="J11" s="3">
        <v>598349</v>
      </c>
      <c r="K11" s="3">
        <v>199760</v>
      </c>
      <c r="L11" s="3">
        <v>54894</v>
      </c>
      <c r="M11" s="3">
        <v>144866</v>
      </c>
      <c r="N11" s="71"/>
    </row>
    <row r="13" spans="1:17" x14ac:dyDescent="0.25">
      <c r="C13" s="75"/>
    </row>
  </sheetData>
  <mergeCells count="8">
    <mergeCell ref="A3:A5"/>
    <mergeCell ref="B2:O2"/>
    <mergeCell ref="B3:D4"/>
    <mergeCell ref="E3:M3"/>
    <mergeCell ref="N3:N5"/>
    <mergeCell ref="E4:G4"/>
    <mergeCell ref="H4:J4"/>
    <mergeCell ref="K4:M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F9" sqref="F9:K9"/>
    </sheetView>
  </sheetViews>
  <sheetFormatPr defaultRowHeight="15" x14ac:dyDescent="0.25"/>
  <cols>
    <col min="1" max="1" width="22.85546875" customWidth="1"/>
    <col min="2" max="2" width="10.28515625" customWidth="1"/>
    <col min="12" max="12" width="27.42578125" customWidth="1"/>
    <col min="15" max="15" width="20.140625" customWidth="1"/>
  </cols>
  <sheetData>
    <row r="1" spans="1:15" x14ac:dyDescent="0.25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x14ac:dyDescent="0.25">
      <c r="B2" s="118" t="s">
        <v>19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3" spans="1:15" x14ac:dyDescent="0.25">
      <c r="B3" s="7"/>
      <c r="C3" s="5"/>
      <c r="D3" s="5"/>
      <c r="E3" s="5"/>
      <c r="F3" s="5"/>
      <c r="G3" s="5"/>
      <c r="H3" s="5"/>
      <c r="I3" s="5"/>
      <c r="J3" s="5"/>
      <c r="K3" s="5"/>
      <c r="L3" s="6"/>
      <c r="O3" s="2" t="s">
        <v>18</v>
      </c>
    </row>
    <row r="4" spans="1:15" x14ac:dyDescent="0.25">
      <c r="A4" s="129"/>
      <c r="B4" s="131" t="s">
        <v>3</v>
      </c>
      <c r="C4" s="132"/>
      <c r="D4" s="132"/>
      <c r="E4" s="129" t="s">
        <v>4</v>
      </c>
      <c r="F4" s="129"/>
      <c r="G4" s="129"/>
      <c r="H4" s="129"/>
      <c r="I4" s="129"/>
      <c r="J4" s="129"/>
      <c r="K4" s="133"/>
      <c r="L4" s="134"/>
    </row>
    <row r="5" spans="1:15" x14ac:dyDescent="0.25">
      <c r="A5" s="129"/>
      <c r="B5" s="131"/>
      <c r="C5" s="132"/>
      <c r="D5" s="132"/>
      <c r="E5" s="132" t="s">
        <v>5</v>
      </c>
      <c r="F5" s="132"/>
      <c r="G5" s="132"/>
      <c r="H5" s="132"/>
      <c r="I5" s="132"/>
      <c r="J5" s="132"/>
      <c r="K5" s="135"/>
      <c r="L5" s="134"/>
    </row>
    <row r="6" spans="1:15" ht="24" x14ac:dyDescent="0.25">
      <c r="A6" s="129"/>
      <c r="B6" s="62" t="s">
        <v>8</v>
      </c>
      <c r="C6" s="8" t="s">
        <v>9</v>
      </c>
      <c r="D6" s="8" t="s">
        <v>10</v>
      </c>
      <c r="E6" s="8" t="s">
        <v>8</v>
      </c>
      <c r="F6" s="8" t="s">
        <v>9</v>
      </c>
      <c r="G6" s="8" t="s">
        <v>10</v>
      </c>
      <c r="H6" s="8" t="s">
        <v>9</v>
      </c>
      <c r="I6" s="8" t="s">
        <v>10</v>
      </c>
      <c r="J6" s="8" t="s">
        <v>9</v>
      </c>
      <c r="K6" s="59" t="s">
        <v>10</v>
      </c>
      <c r="L6" s="134"/>
    </row>
    <row r="7" spans="1:15" x14ac:dyDescent="0.25">
      <c r="A7" s="63" t="s">
        <v>21</v>
      </c>
      <c r="B7" s="9">
        <v>17918214</v>
      </c>
      <c r="C7" s="9">
        <v>8668478</v>
      </c>
      <c r="D7" s="9">
        <v>9249736</v>
      </c>
      <c r="E7" s="9">
        <v>5184046</v>
      </c>
      <c r="F7" s="9">
        <v>2664556</v>
      </c>
      <c r="G7" s="9">
        <v>2519490</v>
      </c>
      <c r="H7" s="9">
        <v>5443913</v>
      </c>
      <c r="I7" s="9">
        <v>5314663</v>
      </c>
      <c r="J7" s="9">
        <v>560009</v>
      </c>
      <c r="K7" s="9">
        <v>1415583</v>
      </c>
      <c r="L7" s="60"/>
    </row>
    <row r="8" spans="1:15" x14ac:dyDescent="0.25">
      <c r="A8" s="64" t="s">
        <v>22</v>
      </c>
      <c r="B8" s="9">
        <v>734369</v>
      </c>
      <c r="C8" s="9">
        <v>355264</v>
      </c>
      <c r="D8" s="9">
        <v>379105</v>
      </c>
      <c r="E8" s="9">
        <v>180438</v>
      </c>
      <c r="F8" s="9">
        <v>92682</v>
      </c>
      <c r="G8" s="9">
        <v>87756</v>
      </c>
      <c r="H8" s="9">
        <v>233311</v>
      </c>
      <c r="I8" s="9">
        <v>216032</v>
      </c>
      <c r="J8" s="9">
        <v>29271</v>
      </c>
      <c r="K8" s="9">
        <v>75317</v>
      </c>
      <c r="L8" s="61"/>
    </row>
    <row r="9" spans="1:15" x14ac:dyDescent="0.25">
      <c r="A9" s="64" t="s">
        <v>23</v>
      </c>
      <c r="B9" s="9">
        <v>2878636</v>
      </c>
      <c r="C9" s="9">
        <v>1432005</v>
      </c>
      <c r="D9" s="9">
        <v>1446631</v>
      </c>
      <c r="E9" s="9">
        <v>1075845</v>
      </c>
      <c r="F9" s="9">
        <v>552160</v>
      </c>
      <c r="G9" s="9">
        <v>523685</v>
      </c>
      <c r="H9" s="9">
        <v>817905</v>
      </c>
      <c r="I9" s="9">
        <v>778526</v>
      </c>
      <c r="J9" s="9">
        <v>61940</v>
      </c>
      <c r="K9" s="9">
        <v>144420</v>
      </c>
      <c r="L9" s="61"/>
    </row>
    <row r="10" spans="1:15" x14ac:dyDescent="0.25">
      <c r="A10" s="64" t="s">
        <v>24</v>
      </c>
      <c r="B10" s="9">
        <v>563300</v>
      </c>
      <c r="C10" s="9">
        <v>268966</v>
      </c>
      <c r="D10" s="9">
        <v>294334</v>
      </c>
      <c r="E10" s="9">
        <v>123443</v>
      </c>
      <c r="F10" s="9">
        <v>63709</v>
      </c>
      <c r="G10" s="9">
        <v>59734</v>
      </c>
      <c r="H10" s="9">
        <v>178553</v>
      </c>
      <c r="I10" s="9">
        <v>163535</v>
      </c>
      <c r="J10" s="9">
        <v>26704</v>
      </c>
      <c r="K10" s="9">
        <v>71065</v>
      </c>
      <c r="L10" s="61"/>
    </row>
    <row r="11" spans="1:15" x14ac:dyDescent="0.25">
      <c r="A11" s="64" t="s">
        <v>15</v>
      </c>
      <c r="B11" s="9">
        <v>972692</v>
      </c>
      <c r="C11" s="9">
        <v>468868</v>
      </c>
      <c r="D11" s="9">
        <v>503824</v>
      </c>
      <c r="E11" s="9">
        <v>277597</v>
      </c>
      <c r="F11" s="9">
        <v>142644</v>
      </c>
      <c r="G11" s="9">
        <v>134953</v>
      </c>
      <c r="H11" s="9">
        <v>307476</v>
      </c>
      <c r="I11" s="9">
        <v>318753</v>
      </c>
      <c r="J11" s="9">
        <v>18748</v>
      </c>
      <c r="K11" s="9">
        <v>50118</v>
      </c>
      <c r="L11" s="61"/>
    </row>
    <row r="12" spans="1:15" x14ac:dyDescent="0.25">
      <c r="A12" s="65" t="s">
        <v>25</v>
      </c>
      <c r="B12" s="10">
        <v>1751308</v>
      </c>
      <c r="C12" s="10">
        <v>800421</v>
      </c>
      <c r="D12" s="10">
        <v>950887</v>
      </c>
      <c r="E12" s="10">
        <v>391822</v>
      </c>
      <c r="F12" s="10">
        <v>202524</v>
      </c>
      <c r="G12" s="10">
        <v>189298</v>
      </c>
      <c r="H12" s="10">
        <v>540616</v>
      </c>
      <c r="I12" s="10">
        <v>610455</v>
      </c>
      <c r="J12" s="10">
        <v>57281</v>
      </c>
      <c r="K12" s="10">
        <v>151134</v>
      </c>
      <c r="L12" s="61"/>
    </row>
  </sheetData>
  <mergeCells count="9">
    <mergeCell ref="A4:A6"/>
    <mergeCell ref="B1:L1"/>
    <mergeCell ref="B4:D5"/>
    <mergeCell ref="E4:K4"/>
    <mergeCell ref="L4:L6"/>
    <mergeCell ref="E5:G5"/>
    <mergeCell ref="H5:I5"/>
    <mergeCell ref="J5:K5"/>
    <mergeCell ref="B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9" sqref="E9:J9"/>
    </sheetView>
  </sheetViews>
  <sheetFormatPr defaultRowHeight="15" x14ac:dyDescent="0.25"/>
  <cols>
    <col min="1" max="1" width="20.7109375" customWidth="1"/>
    <col min="11" max="11" width="26" customWidth="1"/>
    <col min="14" max="14" width="13.5703125" customWidth="1"/>
  </cols>
  <sheetData>
    <row r="1" spans="1:14" x14ac:dyDescent="0.25">
      <c r="A1" s="118" t="s">
        <v>26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4" x14ac:dyDescent="0.25">
      <c r="A3" s="11" t="s">
        <v>1</v>
      </c>
      <c r="B3" s="13"/>
      <c r="C3" s="12"/>
      <c r="D3" s="12"/>
      <c r="E3" s="12"/>
      <c r="F3" s="12"/>
      <c r="G3" s="12"/>
      <c r="H3" s="12"/>
      <c r="I3" s="12"/>
      <c r="J3" s="12"/>
      <c r="K3" s="66" t="s">
        <v>2</v>
      </c>
      <c r="N3" s="2" t="s">
        <v>27</v>
      </c>
    </row>
    <row r="4" spans="1:14" x14ac:dyDescent="0.25">
      <c r="A4" s="136"/>
      <c r="B4" s="132" t="s">
        <v>3</v>
      </c>
      <c r="C4" s="132"/>
      <c r="D4" s="132"/>
      <c r="E4" s="111"/>
      <c r="F4" s="110" t="s">
        <v>4</v>
      </c>
      <c r="G4" s="111"/>
      <c r="H4" s="111"/>
      <c r="I4" s="111"/>
      <c r="J4" s="112"/>
      <c r="K4" s="134"/>
    </row>
    <row r="5" spans="1:14" x14ac:dyDescent="0.25">
      <c r="A5" s="136"/>
      <c r="B5" s="132"/>
      <c r="C5" s="132"/>
      <c r="D5" s="132"/>
      <c r="E5" s="108" t="s">
        <v>5</v>
      </c>
      <c r="F5" s="109"/>
      <c r="G5" s="108" t="s">
        <v>6</v>
      </c>
      <c r="H5" s="109"/>
      <c r="I5" s="108" t="s">
        <v>20</v>
      </c>
      <c r="J5" s="109"/>
      <c r="K5" s="134"/>
    </row>
    <row r="6" spans="1:14" ht="24" x14ac:dyDescent="0.25">
      <c r="A6" s="136"/>
      <c r="B6" s="17" t="s">
        <v>8</v>
      </c>
      <c r="C6" s="17" t="s">
        <v>9</v>
      </c>
      <c r="D6" s="17" t="s">
        <v>10</v>
      </c>
      <c r="E6" s="17" t="s">
        <v>9</v>
      </c>
      <c r="F6" s="17" t="s">
        <v>10</v>
      </c>
      <c r="G6" s="17" t="s">
        <v>9</v>
      </c>
      <c r="H6" s="17" t="s">
        <v>10</v>
      </c>
      <c r="I6" s="17" t="s">
        <v>9</v>
      </c>
      <c r="J6" s="59" t="s">
        <v>10</v>
      </c>
      <c r="K6" s="134"/>
    </row>
    <row r="7" spans="1:14" x14ac:dyDescent="0.25">
      <c r="A7" s="18" t="s">
        <v>21</v>
      </c>
      <c r="B7" s="19">
        <v>18157337</v>
      </c>
      <c r="C7" s="19">
        <v>8791298</v>
      </c>
      <c r="D7" s="19">
        <v>9366039</v>
      </c>
      <c r="E7" s="19">
        <v>2746474</v>
      </c>
      <c r="F7" s="19">
        <v>2594348</v>
      </c>
      <c r="G7" s="19">
        <v>5460378</v>
      </c>
      <c r="H7" s="19">
        <v>5301532</v>
      </c>
      <c r="I7" s="19">
        <v>584446</v>
      </c>
      <c r="J7" s="19">
        <v>1470159</v>
      </c>
      <c r="K7" s="67"/>
    </row>
    <row r="8" spans="1:14" x14ac:dyDescent="0.25">
      <c r="A8" s="14" t="s">
        <v>22</v>
      </c>
      <c r="B8" s="20">
        <v>738942</v>
      </c>
      <c r="C8" s="20">
        <v>358235</v>
      </c>
      <c r="D8" s="20">
        <v>380707</v>
      </c>
      <c r="E8" s="20">
        <v>94989</v>
      </c>
      <c r="F8" s="20">
        <v>89711</v>
      </c>
      <c r="G8" s="20">
        <v>233086</v>
      </c>
      <c r="H8" s="20">
        <v>213586</v>
      </c>
      <c r="I8" s="20">
        <v>30160</v>
      </c>
      <c r="J8" s="20">
        <v>77410</v>
      </c>
      <c r="K8" s="67"/>
    </row>
    <row r="9" spans="1:14" x14ac:dyDescent="0.25">
      <c r="A9" s="14" t="s">
        <v>23</v>
      </c>
      <c r="B9" s="20">
        <v>2929196</v>
      </c>
      <c r="C9" s="20">
        <v>1457884</v>
      </c>
      <c r="D9" s="20">
        <v>1471312</v>
      </c>
      <c r="E9" s="20">
        <v>566429</v>
      </c>
      <c r="F9" s="20">
        <v>537019</v>
      </c>
      <c r="G9" s="20">
        <v>826379</v>
      </c>
      <c r="H9" s="20">
        <v>782885</v>
      </c>
      <c r="I9" s="20">
        <v>65076</v>
      </c>
      <c r="J9" s="20">
        <v>151408</v>
      </c>
      <c r="K9" s="67"/>
    </row>
    <row r="10" spans="1:14" x14ac:dyDescent="0.25">
      <c r="A10" s="14" t="s">
        <v>24</v>
      </c>
      <c r="B10" s="20">
        <v>558584</v>
      </c>
      <c r="C10" s="20">
        <v>266907</v>
      </c>
      <c r="D10" s="20">
        <v>291677</v>
      </c>
      <c r="E10" s="20">
        <v>63593</v>
      </c>
      <c r="F10" s="20">
        <v>59732</v>
      </c>
      <c r="G10" s="20">
        <v>175766</v>
      </c>
      <c r="H10" s="20">
        <v>159225</v>
      </c>
      <c r="I10" s="20">
        <v>27548</v>
      </c>
      <c r="J10" s="20">
        <v>72720</v>
      </c>
      <c r="K10" s="67"/>
    </row>
    <row r="11" spans="1:14" x14ac:dyDescent="0.25">
      <c r="A11" s="14" t="s">
        <v>15</v>
      </c>
      <c r="B11" s="21">
        <v>1030577</v>
      </c>
      <c r="C11" s="21">
        <v>495945</v>
      </c>
      <c r="D11" s="21">
        <v>534632</v>
      </c>
      <c r="E11" s="21">
        <v>155271</v>
      </c>
      <c r="F11" s="21">
        <v>146750</v>
      </c>
      <c r="G11" s="21">
        <v>319925</v>
      </c>
      <c r="H11" s="21">
        <v>332414</v>
      </c>
      <c r="I11" s="21">
        <v>20749</v>
      </c>
      <c r="J11" s="21">
        <v>55468</v>
      </c>
      <c r="K11" s="67"/>
    </row>
    <row r="12" spans="1:14" x14ac:dyDescent="0.25">
      <c r="A12" s="15" t="s">
        <v>25</v>
      </c>
      <c r="B12" s="22">
        <v>1801993</v>
      </c>
      <c r="C12" s="22">
        <v>822587</v>
      </c>
      <c r="D12" s="22">
        <v>979406</v>
      </c>
      <c r="E12" s="22">
        <v>213568</v>
      </c>
      <c r="F12" s="22">
        <v>199909</v>
      </c>
      <c r="G12" s="22">
        <v>549056</v>
      </c>
      <c r="H12" s="22">
        <v>621875</v>
      </c>
      <c r="I12" s="22">
        <v>59963</v>
      </c>
      <c r="J12" s="22">
        <v>157622</v>
      </c>
      <c r="K12" s="67"/>
    </row>
  </sheetData>
  <mergeCells count="4">
    <mergeCell ref="A1:K1"/>
    <mergeCell ref="A4:A6"/>
    <mergeCell ref="B4:D5"/>
    <mergeCell ref="K4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E13" sqref="E13:J13"/>
    </sheetView>
  </sheetViews>
  <sheetFormatPr defaultRowHeight="15" x14ac:dyDescent="0.25"/>
  <cols>
    <col min="1" max="1" width="19.28515625" customWidth="1"/>
    <col min="11" max="11" width="25.5703125" customWidth="1"/>
  </cols>
  <sheetData>
    <row r="2" spans="1:13" x14ac:dyDescent="0.25">
      <c r="B2" s="118" t="s">
        <v>28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3" x14ac:dyDescent="0.25">
      <c r="B3" s="25"/>
      <c r="C3" s="23"/>
      <c r="D3" s="23"/>
      <c r="E3" s="23"/>
      <c r="F3" s="23"/>
      <c r="G3" s="23"/>
      <c r="H3" s="23"/>
      <c r="I3" s="23"/>
      <c r="J3" s="23"/>
      <c r="K3" s="24" t="s">
        <v>2</v>
      </c>
      <c r="M3" s="2" t="s">
        <v>34</v>
      </c>
    </row>
    <row r="4" spans="1:13" x14ac:dyDescent="0.25">
      <c r="A4" s="129"/>
      <c r="B4" s="131" t="s">
        <v>3</v>
      </c>
      <c r="C4" s="132"/>
      <c r="D4" s="132"/>
      <c r="E4" s="129"/>
      <c r="F4" s="129"/>
      <c r="G4" s="129"/>
      <c r="H4" s="129"/>
      <c r="I4" s="129"/>
      <c r="J4" s="133"/>
      <c r="K4" s="134"/>
    </row>
    <row r="5" spans="1:13" x14ac:dyDescent="0.25">
      <c r="A5" s="129"/>
      <c r="B5" s="131"/>
      <c r="C5" s="132"/>
      <c r="D5" s="132"/>
      <c r="E5" s="108" t="s">
        <v>5</v>
      </c>
      <c r="F5" s="109"/>
      <c r="G5" s="108" t="s">
        <v>29</v>
      </c>
      <c r="H5" s="109"/>
      <c r="I5" s="108" t="s">
        <v>30</v>
      </c>
      <c r="J5" s="109"/>
      <c r="K5" s="134"/>
    </row>
    <row r="6" spans="1:13" ht="24" x14ac:dyDescent="0.25">
      <c r="A6" s="129"/>
      <c r="B6" s="62" t="s">
        <v>8</v>
      </c>
      <c r="C6" s="26" t="s">
        <v>9</v>
      </c>
      <c r="D6" s="26" t="s">
        <v>10</v>
      </c>
      <c r="E6" s="26" t="s">
        <v>9</v>
      </c>
      <c r="F6" s="26" t="s">
        <v>10</v>
      </c>
      <c r="G6" s="26" t="s">
        <v>9</v>
      </c>
      <c r="H6" s="26" t="s">
        <v>10</v>
      </c>
      <c r="I6" s="26" t="s">
        <v>9</v>
      </c>
      <c r="J6" s="59" t="s">
        <v>10</v>
      </c>
      <c r="K6" s="134"/>
    </row>
    <row r="7" spans="1:13" x14ac:dyDescent="0.25">
      <c r="A7" s="63" t="s">
        <v>21</v>
      </c>
      <c r="B7" s="27">
        <v>18395567</v>
      </c>
      <c r="C7" s="27">
        <v>8913196</v>
      </c>
      <c r="D7" s="27">
        <v>9482371</v>
      </c>
      <c r="E7" s="27">
        <v>2826185</v>
      </c>
      <c r="F7" s="27">
        <v>2667493</v>
      </c>
      <c r="G7" s="27">
        <v>5478291</v>
      </c>
      <c r="H7" s="27">
        <v>5393387</v>
      </c>
      <c r="I7" s="27">
        <v>608720</v>
      </c>
      <c r="J7" s="27">
        <v>1421491</v>
      </c>
      <c r="K7" s="60"/>
    </row>
    <row r="8" spans="1:13" x14ac:dyDescent="0.25">
      <c r="A8" s="64" t="s">
        <v>22</v>
      </c>
      <c r="B8" s="28">
        <v>738587</v>
      </c>
      <c r="C8" s="28">
        <v>358519</v>
      </c>
      <c r="D8" s="28">
        <v>380068</v>
      </c>
      <c r="E8" s="28">
        <v>96016</v>
      </c>
      <c r="F8" s="28">
        <v>90744</v>
      </c>
      <c r="G8" s="28">
        <v>231620</v>
      </c>
      <c r="H8" s="28">
        <v>215600</v>
      </c>
      <c r="I8" s="28">
        <v>30883</v>
      </c>
      <c r="J8" s="28">
        <v>73724</v>
      </c>
      <c r="K8" s="61"/>
    </row>
    <row r="9" spans="1:13" ht="24.75" x14ac:dyDescent="0.25">
      <c r="A9" s="64" t="s">
        <v>24</v>
      </c>
      <c r="B9" s="28">
        <v>554517</v>
      </c>
      <c r="C9" s="28">
        <v>265216</v>
      </c>
      <c r="D9" s="28">
        <v>289301</v>
      </c>
      <c r="E9" s="28">
        <v>63250</v>
      </c>
      <c r="F9" s="28">
        <v>59395</v>
      </c>
      <c r="G9" s="28">
        <v>173489</v>
      </c>
      <c r="H9" s="28">
        <v>160250</v>
      </c>
      <c r="I9" s="28">
        <v>28477</v>
      </c>
      <c r="J9" s="28">
        <v>69656</v>
      </c>
      <c r="K9" s="61"/>
    </row>
    <row r="10" spans="1:13" x14ac:dyDescent="0.25">
      <c r="A10" s="64" t="s">
        <v>31</v>
      </c>
      <c r="B10" s="28">
        <v>1983967</v>
      </c>
      <c r="C10" s="28">
        <v>1006025</v>
      </c>
      <c r="D10" s="28">
        <v>977942</v>
      </c>
      <c r="E10" s="28">
        <v>403360</v>
      </c>
      <c r="F10" s="28">
        <v>382933</v>
      </c>
      <c r="G10" s="28">
        <v>556426</v>
      </c>
      <c r="H10" s="28">
        <v>500499</v>
      </c>
      <c r="I10" s="28">
        <v>46239</v>
      </c>
      <c r="J10" s="28">
        <v>94510</v>
      </c>
      <c r="K10" s="61"/>
    </row>
    <row r="11" spans="1:13" x14ac:dyDescent="0.25">
      <c r="A11" s="64" t="s">
        <v>32</v>
      </c>
      <c r="B11" s="29">
        <v>1078384</v>
      </c>
      <c r="C11" s="29">
        <v>517622</v>
      </c>
      <c r="D11" s="29">
        <v>560762</v>
      </c>
      <c r="E11" s="29">
        <v>167370</v>
      </c>
      <c r="F11" s="29">
        <v>158651</v>
      </c>
      <c r="G11" s="29">
        <v>327121</v>
      </c>
      <c r="H11" s="29">
        <v>344856</v>
      </c>
      <c r="I11" s="29">
        <v>23131</v>
      </c>
      <c r="J11" s="29">
        <v>57255</v>
      </c>
      <c r="K11" s="61"/>
    </row>
    <row r="12" spans="1:13" x14ac:dyDescent="0.25">
      <c r="A12" s="64" t="s">
        <v>25</v>
      </c>
      <c r="B12" s="29">
        <v>1854656</v>
      </c>
      <c r="C12" s="29">
        <v>847273</v>
      </c>
      <c r="D12" s="29">
        <v>1007383</v>
      </c>
      <c r="E12" s="29">
        <v>226062</v>
      </c>
      <c r="F12" s="29">
        <v>211295</v>
      </c>
      <c r="G12" s="29">
        <v>558515</v>
      </c>
      <c r="H12" s="29">
        <v>642374</v>
      </c>
      <c r="I12" s="29">
        <v>62696</v>
      </c>
      <c r="J12" s="29">
        <v>153714</v>
      </c>
      <c r="K12" s="61"/>
    </row>
    <row r="13" spans="1:13" x14ac:dyDescent="0.25">
      <c r="A13" s="65" t="s">
        <v>33</v>
      </c>
      <c r="B13" s="30">
        <v>1009086</v>
      </c>
      <c r="C13" s="30">
        <v>484573</v>
      </c>
      <c r="D13" s="30">
        <v>524513</v>
      </c>
      <c r="E13" s="30">
        <v>179531</v>
      </c>
      <c r="F13" s="30">
        <v>169082</v>
      </c>
      <c r="G13" s="30">
        <v>282939</v>
      </c>
      <c r="H13" s="30">
        <v>303491</v>
      </c>
      <c r="I13" s="30">
        <v>22103</v>
      </c>
      <c r="J13" s="30">
        <v>51940</v>
      </c>
      <c r="K13" s="61"/>
    </row>
  </sheetData>
  <mergeCells count="5">
    <mergeCell ref="A4:A6"/>
    <mergeCell ref="B2:L2"/>
    <mergeCell ref="B4:D5"/>
    <mergeCell ref="E4:J4"/>
    <mergeCell ref="K4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A4" workbookViewId="0">
      <selection activeCell="E13" sqref="E13:J13"/>
    </sheetView>
  </sheetViews>
  <sheetFormatPr defaultRowHeight="15" x14ac:dyDescent="0.25"/>
  <cols>
    <col min="1" max="1" width="21.7109375" customWidth="1"/>
    <col min="2" max="2" width="9.85546875" bestFit="1" customWidth="1"/>
    <col min="3" max="9" width="9.28515625" bestFit="1" customWidth="1"/>
    <col min="10" max="10" width="9.140625" customWidth="1"/>
    <col min="11" max="11" width="20.42578125" customWidth="1"/>
  </cols>
  <sheetData>
    <row r="1" spans="1:14" x14ac:dyDescent="0.25">
      <c r="K1" s="31"/>
    </row>
    <row r="2" spans="1:14" x14ac:dyDescent="0.25">
      <c r="B2" s="130" t="s">
        <v>35</v>
      </c>
      <c r="C2" s="130"/>
      <c r="D2" s="130"/>
      <c r="E2" s="130"/>
      <c r="F2" s="130"/>
      <c r="G2" s="130"/>
      <c r="H2" s="130"/>
      <c r="I2" s="130"/>
      <c r="J2" s="130"/>
      <c r="K2" s="130"/>
    </row>
    <row r="3" spans="1:14" ht="21" customHeight="1" x14ac:dyDescent="0.25">
      <c r="B3" s="32"/>
      <c r="C3" s="33"/>
      <c r="D3" s="33"/>
      <c r="E3" s="33"/>
      <c r="F3" s="33"/>
      <c r="G3" s="33"/>
      <c r="H3" s="33"/>
      <c r="I3" s="33"/>
      <c r="J3" s="34" t="s">
        <v>2</v>
      </c>
      <c r="K3" s="31"/>
    </row>
    <row r="4" spans="1:14" x14ac:dyDescent="0.25">
      <c r="A4" s="54"/>
      <c r="B4" s="137" t="s">
        <v>3</v>
      </c>
      <c r="C4" s="138"/>
      <c r="D4" s="138"/>
      <c r="E4" s="138"/>
      <c r="F4" s="138"/>
      <c r="G4" s="138"/>
      <c r="H4" s="138"/>
      <c r="I4" s="138"/>
      <c r="J4" s="139"/>
      <c r="K4" s="50"/>
      <c r="N4" s="2" t="s">
        <v>36</v>
      </c>
    </row>
    <row r="5" spans="1:14" x14ac:dyDescent="0.25">
      <c r="A5" s="55"/>
      <c r="B5" s="137"/>
      <c r="C5" s="138"/>
      <c r="D5" s="138"/>
      <c r="E5" s="113" t="s">
        <v>5</v>
      </c>
      <c r="F5" s="114"/>
      <c r="G5" s="113" t="s">
        <v>29</v>
      </c>
      <c r="H5" s="114"/>
      <c r="I5" s="113" t="s">
        <v>30</v>
      </c>
      <c r="J5" s="114"/>
      <c r="K5" s="50"/>
    </row>
    <row r="6" spans="1:14" ht="45" x14ac:dyDescent="0.25">
      <c r="A6" s="55"/>
      <c r="B6" s="53" t="s">
        <v>8</v>
      </c>
      <c r="C6" s="35" t="s">
        <v>9</v>
      </c>
      <c r="D6" s="35" t="s">
        <v>10</v>
      </c>
      <c r="E6" s="35" t="s">
        <v>9</v>
      </c>
      <c r="F6" s="35" t="s">
        <v>10</v>
      </c>
      <c r="G6" s="35" t="s">
        <v>9</v>
      </c>
      <c r="H6" s="35" t="s">
        <v>10</v>
      </c>
      <c r="I6" s="35" t="s">
        <v>9</v>
      </c>
      <c r="J6" s="36" t="s">
        <v>10</v>
      </c>
      <c r="K6" s="50"/>
    </row>
    <row r="7" spans="1:14" ht="30" x14ac:dyDescent="0.25">
      <c r="A7" s="58" t="s">
        <v>21</v>
      </c>
      <c r="B7" s="37">
        <v>18631779</v>
      </c>
      <c r="C7" s="37">
        <v>9034134</v>
      </c>
      <c r="D7" s="37">
        <v>9597645</v>
      </c>
      <c r="E7" s="37">
        <v>2901294</v>
      </c>
      <c r="F7" s="37">
        <v>2735467</v>
      </c>
      <c r="G7" s="37">
        <v>5497037</v>
      </c>
      <c r="H7" s="37">
        <v>5377619</v>
      </c>
      <c r="I7" s="37">
        <v>635803</v>
      </c>
      <c r="J7" s="37">
        <v>1484559</v>
      </c>
      <c r="K7" s="51"/>
    </row>
    <row r="8" spans="1:14" x14ac:dyDescent="0.25">
      <c r="A8" s="56" t="s">
        <v>22</v>
      </c>
      <c r="B8" s="38">
        <v>736735</v>
      </c>
      <c r="C8" s="38">
        <v>357649</v>
      </c>
      <c r="D8" s="38">
        <v>379086</v>
      </c>
      <c r="E8" s="38">
        <v>96079</v>
      </c>
      <c r="F8" s="38">
        <v>90848</v>
      </c>
      <c r="G8" s="38">
        <v>229926</v>
      </c>
      <c r="H8" s="38">
        <v>212232</v>
      </c>
      <c r="I8" s="38">
        <v>31644</v>
      </c>
      <c r="J8" s="38">
        <v>76006</v>
      </c>
      <c r="K8" s="52"/>
    </row>
    <row r="9" spans="1:14" ht="30" customHeight="1" x14ac:dyDescent="0.25">
      <c r="A9" s="56" t="s">
        <v>24</v>
      </c>
      <c r="B9" s="38">
        <v>548755</v>
      </c>
      <c r="C9" s="38">
        <v>262549</v>
      </c>
      <c r="D9" s="38">
        <v>286206</v>
      </c>
      <c r="E9" s="38">
        <v>62669</v>
      </c>
      <c r="F9" s="38">
        <v>58877</v>
      </c>
      <c r="G9" s="38">
        <v>170465</v>
      </c>
      <c r="H9" s="38">
        <v>155996</v>
      </c>
      <c r="I9" s="38">
        <v>29415</v>
      </c>
      <c r="J9" s="38">
        <v>71333</v>
      </c>
      <c r="K9" s="52"/>
    </row>
    <row r="10" spans="1:14" x14ac:dyDescent="0.25">
      <c r="A10" s="56" t="s">
        <v>31</v>
      </c>
      <c r="B10" s="38">
        <v>2016037</v>
      </c>
      <c r="C10" s="38">
        <v>1022381</v>
      </c>
      <c r="D10" s="38">
        <v>993656</v>
      </c>
      <c r="E10" s="38">
        <v>410683</v>
      </c>
      <c r="F10" s="38">
        <v>389034</v>
      </c>
      <c r="G10" s="38">
        <v>563016</v>
      </c>
      <c r="H10" s="38">
        <v>505265</v>
      </c>
      <c r="I10" s="38">
        <v>48682</v>
      </c>
      <c r="J10" s="38">
        <v>99357</v>
      </c>
      <c r="K10" s="52"/>
    </row>
    <row r="11" spans="1:14" x14ac:dyDescent="0.25">
      <c r="A11" s="56" t="s">
        <v>32</v>
      </c>
      <c r="B11" s="38">
        <v>1136156</v>
      </c>
      <c r="C11" s="38">
        <v>545138</v>
      </c>
      <c r="D11" s="38">
        <v>591018</v>
      </c>
      <c r="E11" s="38">
        <v>180670</v>
      </c>
      <c r="F11" s="38">
        <v>171255</v>
      </c>
      <c r="G11" s="38">
        <v>338634</v>
      </c>
      <c r="H11" s="38">
        <v>355620</v>
      </c>
      <c r="I11" s="38">
        <v>25834</v>
      </c>
      <c r="J11" s="38">
        <v>64143</v>
      </c>
      <c r="K11" s="52"/>
    </row>
    <row r="12" spans="1:14" x14ac:dyDescent="0.25">
      <c r="A12" s="56" t="s">
        <v>25</v>
      </c>
      <c r="B12" s="38">
        <v>1916822</v>
      </c>
      <c r="C12" s="38">
        <v>879675</v>
      </c>
      <c r="D12" s="38">
        <v>1037147</v>
      </c>
      <c r="E12" s="38">
        <v>240226</v>
      </c>
      <c r="F12" s="38">
        <v>223279</v>
      </c>
      <c r="G12" s="38">
        <v>573619</v>
      </c>
      <c r="H12" s="38">
        <v>652395</v>
      </c>
      <c r="I12" s="38">
        <v>65830</v>
      </c>
      <c r="J12" s="38">
        <v>161473</v>
      </c>
      <c r="K12" s="52"/>
    </row>
    <row r="13" spans="1:14" ht="21.75" customHeight="1" x14ac:dyDescent="0.25">
      <c r="A13" s="57" t="s">
        <v>33</v>
      </c>
      <c r="B13" s="39">
        <v>1038152</v>
      </c>
      <c r="C13" s="39">
        <v>500439</v>
      </c>
      <c r="D13" s="39">
        <v>537713</v>
      </c>
      <c r="E13" s="39">
        <v>188411</v>
      </c>
      <c r="F13" s="39">
        <v>177409</v>
      </c>
      <c r="G13" s="39">
        <v>288457</v>
      </c>
      <c r="H13" s="39">
        <v>304947</v>
      </c>
      <c r="I13" s="39">
        <v>23571</v>
      </c>
      <c r="J13" s="39">
        <v>55357</v>
      </c>
      <c r="K13" s="52"/>
    </row>
    <row r="14" spans="1:14" x14ac:dyDescent="0.25">
      <c r="K14" s="49"/>
    </row>
  </sheetData>
  <mergeCells count="3">
    <mergeCell ref="B2:K2"/>
    <mergeCell ref="B4:D5"/>
    <mergeCell ref="E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v>2019</v>
      </c>
      <c r="B1">
        <v>2020</v>
      </c>
      <c r="D1">
        <f>POWER(B2/A2,1/12)</f>
        <v>1.122462048309373</v>
      </c>
    </row>
    <row r="2" spans="1:4" x14ac:dyDescent="0.25">
      <c r="A2">
        <v>100000</v>
      </c>
      <c r="B2">
        <v>400000</v>
      </c>
    </row>
    <row r="5" spans="1:4" x14ac:dyDescent="0.25">
      <c r="A5" t="s">
        <v>37</v>
      </c>
      <c r="B5">
        <v>100000</v>
      </c>
    </row>
    <row r="6" spans="1:4" x14ac:dyDescent="0.25">
      <c r="A6" t="s">
        <v>38</v>
      </c>
      <c r="B6">
        <f>B5*$D$1</f>
        <v>112246.20483093731</v>
      </c>
      <c r="C6">
        <f>B6-B5</f>
        <v>12246.204830937306</v>
      </c>
    </row>
    <row r="7" spans="1:4" x14ac:dyDescent="0.25">
      <c r="A7" t="s">
        <v>39</v>
      </c>
      <c r="B7">
        <f>B6*$D$1</f>
        <v>125992.10498948733</v>
      </c>
      <c r="C7">
        <f t="shared" ref="C7:C17" si="0">B7-B6</f>
        <v>13745.900158550023</v>
      </c>
    </row>
    <row r="8" spans="1:4" x14ac:dyDescent="0.25">
      <c r="A8" t="s">
        <v>40</v>
      </c>
      <c r="B8">
        <f t="shared" ref="B8:B17" si="1">B7*$D$1</f>
        <v>141421.35623730952</v>
      </c>
      <c r="C8">
        <f t="shared" si="0"/>
        <v>15429.251247822191</v>
      </c>
    </row>
    <row r="9" spans="1:4" x14ac:dyDescent="0.25">
      <c r="A9" t="s">
        <v>41</v>
      </c>
      <c r="B9">
        <f t="shared" si="1"/>
        <v>158740.10519681996</v>
      </c>
      <c r="C9">
        <f t="shared" si="0"/>
        <v>17318.748959510442</v>
      </c>
    </row>
    <row r="10" spans="1:4" x14ac:dyDescent="0.25">
      <c r="A10" t="s">
        <v>42</v>
      </c>
      <c r="B10">
        <f t="shared" si="1"/>
        <v>178179.7436280679</v>
      </c>
      <c r="C10">
        <f t="shared" si="0"/>
        <v>19439.638431247935</v>
      </c>
    </row>
    <row r="11" spans="1:4" x14ac:dyDescent="0.25">
      <c r="A11" t="s">
        <v>43</v>
      </c>
      <c r="B11">
        <f>B10*$D$1</f>
        <v>200000.00000000006</v>
      </c>
      <c r="C11">
        <f t="shared" si="0"/>
        <v>21820.256371932162</v>
      </c>
    </row>
    <row r="12" spans="1:4" x14ac:dyDescent="0.25">
      <c r="A12" t="s">
        <v>44</v>
      </c>
      <c r="B12">
        <f t="shared" si="1"/>
        <v>224492.40966187467</v>
      </c>
      <c r="C12">
        <f t="shared" si="0"/>
        <v>24492.409661874612</v>
      </c>
    </row>
    <row r="13" spans="1:4" x14ac:dyDescent="0.25">
      <c r="A13" t="s">
        <v>45</v>
      </c>
      <c r="B13">
        <f t="shared" si="1"/>
        <v>251984.20997897472</v>
      </c>
      <c r="C13">
        <f t="shared" si="0"/>
        <v>27491.800317100046</v>
      </c>
    </row>
    <row r="14" spans="1:4" x14ac:dyDescent="0.25">
      <c r="A14" t="s">
        <v>46</v>
      </c>
      <c r="B14">
        <f t="shared" si="1"/>
        <v>282842.7124746191</v>
      </c>
      <c r="C14">
        <f t="shared" si="0"/>
        <v>30858.502495644381</v>
      </c>
    </row>
    <row r="15" spans="1:4" x14ac:dyDescent="0.25">
      <c r="A15" t="s">
        <v>47</v>
      </c>
      <c r="B15">
        <f t="shared" si="1"/>
        <v>317480.21039363998</v>
      </c>
      <c r="C15">
        <f t="shared" si="0"/>
        <v>34637.497919020883</v>
      </c>
    </row>
    <row r="16" spans="1:4" x14ac:dyDescent="0.25">
      <c r="A16" t="s">
        <v>48</v>
      </c>
      <c r="B16">
        <f t="shared" si="1"/>
        <v>356359.48725613585</v>
      </c>
      <c r="C16">
        <f t="shared" si="0"/>
        <v>38879.27686249587</v>
      </c>
    </row>
    <row r="17" spans="1:3" x14ac:dyDescent="0.25">
      <c r="A17" t="s">
        <v>37</v>
      </c>
      <c r="B17">
        <f t="shared" si="1"/>
        <v>400000.00000000017</v>
      </c>
      <c r="C17">
        <f t="shared" si="0"/>
        <v>43640.512743864325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tabSelected="1" workbookViewId="0">
      <selection activeCell="AR22" sqref="AR1:AX1048576"/>
    </sheetView>
  </sheetViews>
  <sheetFormatPr defaultRowHeight="15" x14ac:dyDescent="0.25"/>
  <cols>
    <col min="1" max="1" width="10.28515625" customWidth="1"/>
    <col min="2" max="2" width="11.140625" customWidth="1"/>
    <col min="3" max="3" width="14.42578125" bestFit="1" customWidth="1"/>
    <col min="4" max="4" width="14.140625" bestFit="1" customWidth="1"/>
    <col min="5" max="6" width="17.85546875" bestFit="1" customWidth="1"/>
    <col min="7" max="7" width="16.85546875" customWidth="1"/>
    <col min="8" max="8" width="16.7109375" bestFit="1" customWidth="1"/>
    <col min="9" max="9" width="14.5703125" customWidth="1"/>
    <col min="10" max="10" width="14.140625" customWidth="1"/>
    <col min="11" max="11" width="13.42578125" customWidth="1"/>
    <col min="12" max="12" width="14.42578125" customWidth="1"/>
    <col min="13" max="13" width="14.140625" customWidth="1"/>
    <col min="14" max="14" width="13.85546875" customWidth="1"/>
    <col min="15" max="15" width="14" customWidth="1"/>
    <col min="16" max="16" width="9.28515625" bestFit="1" customWidth="1"/>
    <col min="17" max="18" width="10.5703125" customWidth="1"/>
    <col min="19" max="19" width="10.28515625" customWidth="1"/>
    <col min="20" max="20" width="9.85546875" customWidth="1"/>
    <col min="21" max="21" width="10.28515625" customWidth="1"/>
    <col min="22" max="22" width="10.5703125" customWidth="1"/>
    <col min="23" max="23" width="13.28515625" customWidth="1"/>
    <col min="24" max="25" width="13.85546875" customWidth="1"/>
    <col min="26" max="26" width="14.42578125" customWidth="1"/>
    <col min="27" max="27" width="14" customWidth="1"/>
    <col min="28" max="29" width="13.7109375" customWidth="1"/>
    <col min="30" max="30" width="10.140625" customWidth="1"/>
    <col min="31" max="31" width="10.7109375" customWidth="1"/>
    <col min="32" max="32" width="11.28515625" customWidth="1"/>
    <col min="33" max="34" width="14" customWidth="1"/>
    <col min="35" max="35" width="13.7109375" customWidth="1"/>
    <col min="36" max="36" width="15.140625" customWidth="1"/>
    <col min="37" max="37" width="11.28515625" bestFit="1" customWidth="1"/>
    <col min="38" max="43" width="11.28515625" customWidth="1"/>
  </cols>
  <sheetData>
    <row r="1" spans="1:43" x14ac:dyDescent="0.25">
      <c r="B1" s="44" t="s">
        <v>50</v>
      </c>
      <c r="C1" s="76"/>
      <c r="D1" s="76"/>
      <c r="E1" s="76"/>
      <c r="F1" s="76"/>
      <c r="G1" s="76"/>
      <c r="H1" s="76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</row>
    <row r="2" spans="1:43" ht="45" customHeight="1" x14ac:dyDescent="0.25">
      <c r="A2" s="46" t="s">
        <v>49</v>
      </c>
      <c r="B2" s="77" t="s">
        <v>51</v>
      </c>
      <c r="C2" s="77" t="s">
        <v>54</v>
      </c>
      <c r="D2" s="77" t="s">
        <v>56</v>
      </c>
      <c r="E2" s="77" t="s">
        <v>55</v>
      </c>
      <c r="F2" s="77" t="s">
        <v>57</v>
      </c>
      <c r="G2" s="77" t="s">
        <v>52</v>
      </c>
      <c r="H2" s="77" t="s">
        <v>53</v>
      </c>
      <c r="I2" s="78" t="s">
        <v>58</v>
      </c>
      <c r="J2" s="78" t="s">
        <v>59</v>
      </c>
      <c r="K2" s="78" t="s">
        <v>60</v>
      </c>
      <c r="L2" s="78" t="s">
        <v>61</v>
      </c>
      <c r="M2" s="78" t="s">
        <v>62</v>
      </c>
      <c r="N2" s="78" t="s">
        <v>63</v>
      </c>
      <c r="O2" s="78" t="s">
        <v>64</v>
      </c>
      <c r="P2" s="79" t="s">
        <v>71</v>
      </c>
      <c r="Q2" s="79" t="s">
        <v>65</v>
      </c>
      <c r="R2" s="79" t="s">
        <v>66</v>
      </c>
      <c r="S2" s="79" t="s">
        <v>67</v>
      </c>
      <c r="T2" s="79" t="s">
        <v>68</v>
      </c>
      <c r="U2" s="79" t="s">
        <v>69</v>
      </c>
      <c r="V2" s="79" t="s">
        <v>70</v>
      </c>
      <c r="W2" s="81" t="s">
        <v>85</v>
      </c>
      <c r="X2" s="81" t="s">
        <v>72</v>
      </c>
      <c r="Y2" s="81" t="s">
        <v>73</v>
      </c>
      <c r="Z2" s="81" t="s">
        <v>74</v>
      </c>
      <c r="AA2" s="81" t="s">
        <v>75</v>
      </c>
      <c r="AB2" s="81" t="s">
        <v>76</v>
      </c>
      <c r="AC2" s="81" t="s">
        <v>77</v>
      </c>
      <c r="AD2" s="80" t="s">
        <v>84</v>
      </c>
      <c r="AE2" s="80" t="s">
        <v>78</v>
      </c>
      <c r="AF2" s="80" t="s">
        <v>79</v>
      </c>
      <c r="AG2" s="80" t="s">
        <v>80</v>
      </c>
      <c r="AH2" s="80" t="s">
        <v>81</v>
      </c>
      <c r="AI2" s="80" t="s">
        <v>82</v>
      </c>
      <c r="AJ2" s="80" t="s">
        <v>83</v>
      </c>
      <c r="AK2" s="82" t="s">
        <v>92</v>
      </c>
      <c r="AL2" s="82" t="s">
        <v>86</v>
      </c>
      <c r="AM2" s="82" t="s">
        <v>87</v>
      </c>
      <c r="AN2" s="82" t="s">
        <v>88</v>
      </c>
      <c r="AO2" s="82" t="s">
        <v>89</v>
      </c>
      <c r="AP2" s="82" t="s">
        <v>90</v>
      </c>
      <c r="AQ2" s="82" t="s">
        <v>91</v>
      </c>
    </row>
    <row r="3" spans="1:43" s="42" customFormat="1" x14ac:dyDescent="0.25">
      <c r="A3" s="47">
        <v>42370</v>
      </c>
      <c r="B3" s="91">
        <v>17670579</v>
      </c>
      <c r="C3" s="93">
        <v>2578261</v>
      </c>
      <c r="D3" s="93">
        <v>2441088</v>
      </c>
      <c r="E3" s="93">
        <v>5423976</v>
      </c>
      <c r="F3" s="93">
        <v>5323439</v>
      </c>
      <c r="G3" s="93">
        <v>540244</v>
      </c>
      <c r="H3" s="93">
        <v>1363571</v>
      </c>
      <c r="I3" s="83">
        <v>744386</v>
      </c>
      <c r="J3" s="83">
        <v>92832</v>
      </c>
      <c r="K3" s="83">
        <v>88184</v>
      </c>
      <c r="L3" s="83">
        <v>238337</v>
      </c>
      <c r="M3" s="83">
        <v>223007</v>
      </c>
      <c r="N3" s="83">
        <v>28596</v>
      </c>
      <c r="O3" s="83">
        <v>73430</v>
      </c>
      <c r="P3" s="87">
        <v>569446</v>
      </c>
      <c r="Q3" s="87">
        <v>63710</v>
      </c>
      <c r="R3" s="87">
        <v>59744</v>
      </c>
      <c r="S3" s="87">
        <v>181857</v>
      </c>
      <c r="T3" s="87">
        <v>168548</v>
      </c>
      <c r="U3" s="87">
        <v>26071</v>
      </c>
      <c r="V3" s="87">
        <v>69516</v>
      </c>
      <c r="W3" s="95">
        <v>872619</v>
      </c>
      <c r="X3" s="95">
        <v>124839</v>
      </c>
      <c r="Y3" s="95">
        <v>118070</v>
      </c>
      <c r="Z3" s="95">
        <v>278811</v>
      </c>
      <c r="AA3" s="95">
        <v>288698</v>
      </c>
      <c r="AB3" s="95">
        <v>17069</v>
      </c>
      <c r="AC3" s="95">
        <v>45132</v>
      </c>
      <c r="AD3" s="99">
        <v>1703482</v>
      </c>
      <c r="AE3" s="99">
        <v>193695</v>
      </c>
      <c r="AF3" s="99">
        <v>181046</v>
      </c>
      <c r="AG3" s="99">
        <v>530632</v>
      </c>
      <c r="AH3" s="99">
        <v>598349</v>
      </c>
      <c r="AI3" s="99">
        <v>54894</v>
      </c>
      <c r="AJ3" s="99">
        <v>144866</v>
      </c>
      <c r="AK3" s="103">
        <v>2841307</v>
      </c>
      <c r="AL3" s="105">
        <v>538148</v>
      </c>
      <c r="AM3" s="105">
        <v>511315</v>
      </c>
      <c r="AN3" s="105">
        <v>815142</v>
      </c>
      <c r="AO3" s="105">
        <v>779881</v>
      </c>
      <c r="AP3" s="105">
        <v>59273</v>
      </c>
      <c r="AQ3" s="105">
        <v>137548</v>
      </c>
    </row>
    <row r="4" spans="1:43" x14ac:dyDescent="0.25">
      <c r="A4" s="48">
        <v>42401</v>
      </c>
      <c r="B4" s="92">
        <f>B3*POWER(B$15/B$3,1/12)</f>
        <v>17691083.876668017</v>
      </c>
      <c r="C4" s="92">
        <f t="shared" ref="C4:H4" si="0">C3*POWER(C$15/C$3,1/12)</f>
        <v>2585344.2353568673</v>
      </c>
      <c r="D4" s="92">
        <f t="shared" si="0"/>
        <v>2447527.2514687083</v>
      </c>
      <c r="E4" s="92">
        <f t="shared" si="0"/>
        <v>5425634.6242276179</v>
      </c>
      <c r="F4" s="92">
        <f t="shared" si="0"/>
        <v>5322707.1134963436</v>
      </c>
      <c r="G4" s="92">
        <f t="shared" si="0"/>
        <v>541864.09340895934</v>
      </c>
      <c r="H4" s="92">
        <f t="shared" si="0"/>
        <v>1367831.3544650979</v>
      </c>
      <c r="I4" s="84">
        <f>I3*POWER(I$15/I$3,1/12)</f>
        <v>743546.05683785328</v>
      </c>
      <c r="J4" s="84">
        <f t="shared" ref="J4:O4" si="1">J3*POWER(J$15/J$3,1/12)</f>
        <v>92819.490733117826</v>
      </c>
      <c r="K4" s="84">
        <f t="shared" si="1"/>
        <v>88148.25374538594</v>
      </c>
      <c r="L4" s="84">
        <f t="shared" si="1"/>
        <v>237914.06315160575</v>
      </c>
      <c r="M4" s="84">
        <f t="shared" si="1"/>
        <v>222417.24720426556</v>
      </c>
      <c r="N4" s="84">
        <f t="shared" si="1"/>
        <v>28651.650463772719</v>
      </c>
      <c r="O4" s="84">
        <f t="shared" si="1"/>
        <v>73585.427724131179</v>
      </c>
      <c r="P4" s="88">
        <f t="shared" ref="P4:AK4" si="2">P3*POWER(P$15/P$3,1/12)</f>
        <v>568931.28215531108</v>
      </c>
      <c r="Q4" s="88">
        <f t="shared" ref="Q4" si="3">Q3*POWER(Q$15/Q$3,1/12)</f>
        <v>63709.916666067154</v>
      </c>
      <c r="R4" s="88">
        <f t="shared" ref="R4" si="4">R3*POWER(R$15/R$3,1/12)</f>
        <v>59743.166602729652</v>
      </c>
      <c r="S4" s="88">
        <f t="shared" ref="S4" si="5">S3*POWER(S$15/S$3,1/12)</f>
        <v>181579.34698057675</v>
      </c>
      <c r="T4" s="88">
        <f t="shared" ref="T4" si="6">T3*POWER(T$15/T$3,1/12)</f>
        <v>168124.44467105222</v>
      </c>
      <c r="U4" s="88">
        <f t="shared" ref="U4" si="7">U3*POWER(U$15/U$3,1/12)</f>
        <v>26123.171931676934</v>
      </c>
      <c r="V4" s="88">
        <f t="shared" ref="V4" si="8">V3*POWER(V$15/V$3,1/12)</f>
        <v>69643.783489131587</v>
      </c>
      <c r="W4" s="96">
        <f t="shared" si="2"/>
        <v>880549.72978064651</v>
      </c>
      <c r="X4" s="96">
        <f t="shared" ref="X4" si="9">X3*POWER(X$15/X$3,1/12)</f>
        <v>126233.76925146831</v>
      </c>
      <c r="Y4" s="96">
        <f t="shared" ref="Y4" si="10">Y3*POWER(Y$15/Y$3,1/12)</f>
        <v>119392.34388245597</v>
      </c>
      <c r="Z4" s="96">
        <f t="shared" ref="Z4" si="11">Z3*POWER(Z$15/Z$3,1/12)</f>
        <v>281094.06797481677</v>
      </c>
      <c r="AA4" s="96">
        <f t="shared" ref="AA4" si="12">AA3*POWER(AA$15/AA$3,1/12)</f>
        <v>291090.46780993685</v>
      </c>
      <c r="AB4" s="96">
        <f t="shared" ref="AB4" si="13">AB3*POWER(AB$15/AB$3,1/12)</f>
        <v>17202.978659814722</v>
      </c>
      <c r="AC4" s="96">
        <f t="shared" ref="AC4" si="14">AC3*POWER(AC$15/AC$3,1/12)</f>
        <v>45527.836066981108</v>
      </c>
      <c r="AD4" s="100">
        <f t="shared" si="2"/>
        <v>1707417.1164289608</v>
      </c>
      <c r="AE4" s="100">
        <f t="shared" ref="AE4" si="15">AE3*POWER(AE$15/AE$3,1/12)</f>
        <v>194415.81217286919</v>
      </c>
      <c r="AF4" s="100">
        <f t="shared" ref="AF4" si="16">AF3*POWER(AF$15/AF$3,1/12)</f>
        <v>181719.70578162587</v>
      </c>
      <c r="AG4" s="100">
        <f t="shared" ref="AG4" si="17">AG3*POWER(AG$15/AG$3,1/12)</f>
        <v>531456.91018167883</v>
      </c>
      <c r="AH4" s="100">
        <f t="shared" ref="AH4" si="18">AH3*POWER(AH$15/AH$3,1/12)</f>
        <v>599348.59743440733</v>
      </c>
      <c r="AI4" s="100">
        <f t="shared" ref="AI4" si="19">AI3*POWER(AI$15/AI$3,1/12)</f>
        <v>55089.059001813752</v>
      </c>
      <c r="AJ4" s="100">
        <f t="shared" ref="AJ4" si="20">AJ3*POWER(AJ$15/AJ$3,1/12)</f>
        <v>145378.25255686749</v>
      </c>
      <c r="AK4" s="104">
        <f t="shared" si="2"/>
        <v>2844399.1741420431</v>
      </c>
      <c r="AL4" s="104">
        <f t="shared" ref="AL4" si="21">AL3*POWER(AL$15/AL$3,1/12)</f>
        <v>539301.95942308707</v>
      </c>
      <c r="AM4" s="104">
        <f t="shared" ref="AM4" si="22">AM3*POWER(AM$15/AM$3,1/12)</f>
        <v>512334.57681543019</v>
      </c>
      <c r="AN4" s="104">
        <f t="shared" ref="AN4" si="23">AN3*POWER(AN$15/AN$3,1/12)</f>
        <v>815371.89306469774</v>
      </c>
      <c r="AO4" s="104">
        <f t="shared" ref="AO4" si="24">AO3*POWER(AO$15/AO$3,1/12)</f>
        <v>779767.99331460509</v>
      </c>
      <c r="AP4" s="104">
        <f t="shared" ref="AP4" si="25">AP3*POWER(AP$15/AP$3,1/12)</f>
        <v>59490.794166752858</v>
      </c>
      <c r="AQ4" s="104">
        <f t="shared" ref="AQ4" si="26">AQ3*POWER(AQ$15/AQ$3,1/12)</f>
        <v>138107.95725333714</v>
      </c>
    </row>
    <row r="5" spans="1:43" x14ac:dyDescent="0.25">
      <c r="A5" s="48">
        <v>42430</v>
      </c>
      <c r="B5" s="92">
        <f t="shared" ref="B5:B14" si="27">B4*POWER(B$15/B$3,1/12)</f>
        <v>17711612.547121577</v>
      </c>
      <c r="C5" s="92">
        <f t="shared" ref="C5:C14" si="28">C4*POWER(C$15/C$3,1/12)</f>
        <v>2592446.9304282945</v>
      </c>
      <c r="D5" s="92">
        <f t="shared" ref="D5:D14" si="29">D4*POWER(D$15/D$3,1/12)</f>
        <v>2453983.4887894127</v>
      </c>
      <c r="E5" s="92">
        <f t="shared" ref="E5:E14" si="30">E4*POWER(E$15/E$3,1/12)</f>
        <v>5427293.7556540743</v>
      </c>
      <c r="F5" s="92">
        <f t="shared" ref="F5:F14" si="31">F4*POWER(F$15/F$3,1/12)</f>
        <v>5321975.3276152089</v>
      </c>
      <c r="G5" s="92">
        <f t="shared" ref="G5:G14" si="32">G4*POWER(G$15/G$3,1/12)</f>
        <v>543489.04518312728</v>
      </c>
      <c r="H5" s="92">
        <f t="shared" ref="H5:H14" si="33">H4*POWER(H$15/H$3,1/12)</f>
        <v>1372105.0200230309</v>
      </c>
      <c r="I5" s="84">
        <f t="shared" ref="I5:I14" si="34">I4*POWER(I$15/I$3,1/12)</f>
        <v>742707.06144274632</v>
      </c>
      <c r="J5" s="84">
        <f t="shared" ref="J5:J14" si="35">J4*POWER(J$15/J$3,1/12)</f>
        <v>92806.983151880238</v>
      </c>
      <c r="K5" s="84">
        <f t="shared" ref="K5:K14" si="36">K4*POWER(K$15/K$3,1/12)</f>
        <v>88112.521980868944</v>
      </c>
      <c r="L5" s="84">
        <f t="shared" ref="L5:L14" si="37">L4*POWER(L$15/L$3,1/12)</f>
        <v>237491.87681856466</v>
      </c>
      <c r="M5" s="84">
        <f t="shared" ref="M5:M14" si="38">M4*POWER(M$15/M$3,1/12)</f>
        <v>221829.05403831886</v>
      </c>
      <c r="N5" s="84">
        <f t="shared" ref="N5:N14" si="39">N4*POWER(N$15/N$3,1/12)</f>
        <v>28707.409228500754</v>
      </c>
      <c r="O5" s="84">
        <f t="shared" ref="O5:O14" si="40">O4*POWER(O$15/O$3,1/12)</f>
        <v>73741.184438830634</v>
      </c>
      <c r="P5" s="88">
        <f t="shared" ref="P5:P14" si="41">P4*POWER(P$15/P$3,1/12)</f>
        <v>568417.0295601096</v>
      </c>
      <c r="Q5" s="88">
        <f t="shared" ref="Q5:Q14" si="42">Q4*POWER(Q$15/Q$3,1/12)</f>
        <v>63709.83333224331</v>
      </c>
      <c r="R5" s="88">
        <f t="shared" ref="R5:R14" si="43">R4*POWER(R$15/R$3,1/12)</f>
        <v>59742.333217084757</v>
      </c>
      <c r="S5" s="88">
        <f t="shared" ref="S5:S14" si="44">S4*POWER(S$15/S$3,1/12)</f>
        <v>181302.11787224407</v>
      </c>
      <c r="T5" s="88">
        <f t="shared" ref="T5:T14" si="45">T4*POWER(T$15/T$3,1/12)</f>
        <v>167701.95372208333</v>
      </c>
      <c r="U5" s="88">
        <f t="shared" ref="U5:U14" si="46">U4*POWER(U$15/U$3,1/12)</f>
        <v>26175.448267114942</v>
      </c>
      <c r="V5" s="88">
        <f t="shared" ref="V5:V14" si="47">V4*POWER(V$15/V$3,1/12)</f>
        <v>69771.80186836177</v>
      </c>
      <c r="W5" s="96">
        <f t="shared" ref="W5:W14" si="48">W4*POWER(W$15/W$3,1/12)</f>
        <v>888552.53738088394</v>
      </c>
      <c r="X5" s="96">
        <f t="shared" ref="X5:X14" si="49">X4*POWER(X$15/X$3,1/12)</f>
        <v>127644.12162411545</v>
      </c>
      <c r="Y5" s="96">
        <f t="shared" ref="Y5:Y14" si="50">Y4*POWER(Y$15/Y$3,1/12)</f>
        <v>120729.49756709258</v>
      </c>
      <c r="Z5" s="96">
        <f t="shared" ref="Z5:Z14" si="51">Z4*POWER(Z$15/Z$3,1/12)</f>
        <v>283395.83104910108</v>
      </c>
      <c r="AA5" s="96">
        <f t="shared" ref="AA5:AA14" si="52">AA4*POWER(AA$15/AA$3,1/12)</f>
        <v>293502.76222837664</v>
      </c>
      <c r="AB5" s="96">
        <f t="shared" ref="AB5:AB14" si="53">AB4*POWER(AB$15/AB$3,1/12)</f>
        <v>17338.008950145919</v>
      </c>
      <c r="AC5" s="96">
        <f t="shared" ref="AC5:AC14" si="54">AC4*POWER(AC$15/AC$3,1/12)</f>
        <v>45927.143865592174</v>
      </c>
      <c r="AD5" s="100">
        <f t="shared" ref="AD5:AD14" si="55">AD4*POWER(AD$15/AD$3,1/12)</f>
        <v>1711361.3231455262</v>
      </c>
      <c r="AE5" s="100">
        <f t="shared" ref="AE5:AE14" si="56">AE4*POWER(AE$15/AE$3,1/12)</f>
        <v>195139.30675978394</v>
      </c>
      <c r="AF5" s="100">
        <f t="shared" ref="AF5:AF14" si="57">AF4*POWER(AF$15/AF$3,1/12)</f>
        <v>182395.91854755516</v>
      </c>
      <c r="AG5" s="100">
        <f t="shared" ref="AG5:AG14" si="58">AG4*POWER(AG$15/AG$3,1/12)</f>
        <v>532283.10275267425</v>
      </c>
      <c r="AH5" s="100">
        <f t="shared" ref="AH5:AH14" si="59">AH4*POWER(AH$15/AH$3,1/12)</f>
        <v>600349.86478892958</v>
      </c>
      <c r="AI5" s="100">
        <f t="shared" ref="AI5:AI14" si="60">AI4*POWER(AI$15/AI$3,1/12)</f>
        <v>55284.811121530889</v>
      </c>
      <c r="AJ5" s="100">
        <f t="shared" ref="AJ5:AJ14" si="61">AJ4*POWER(AJ$15/AJ$3,1/12)</f>
        <v>145892.31646133907</v>
      </c>
      <c r="AK5" s="104">
        <f t="shared" ref="AK5:AK14" si="62">AK4*POWER(AK$15/AK$3,1/12)</f>
        <v>2847494.7134751496</v>
      </c>
      <c r="AL5" s="104">
        <f t="shared" ref="AL5:AL14" si="63">AL4*POWER(AL$15/AL$3,1/12)</f>
        <v>540458.39329994912</v>
      </c>
      <c r="AM5" s="104">
        <f t="shared" ref="AM5:AM14" si="64">AM4*POWER(AM$15/AM$3,1/12)</f>
        <v>513356.18669635337</v>
      </c>
      <c r="AN5" s="104">
        <f t="shared" ref="AN5:AN14" si="65">AN4*POWER(AN$15/AN$3,1/12)</f>
        <v>815601.85096573213</v>
      </c>
      <c r="AO5" s="104">
        <f t="shared" ref="AO5:AO14" si="66">AO4*POWER(AO$15/AO$3,1/12)</f>
        <v>779655.00300415838</v>
      </c>
      <c r="AP5" s="104">
        <f t="shared" ref="AP5:AP14" si="67">AP4*POWER(AP$15/AP$3,1/12)</f>
        <v>59709.388601740349</v>
      </c>
      <c r="AQ5" s="104">
        <f t="shared" ref="AQ5:AQ14" si="68">AQ4*POWER(AQ$15/AQ$3,1/12)</f>
        <v>138670.19408998749</v>
      </c>
    </row>
    <row r="6" spans="1:43" x14ac:dyDescent="0.25">
      <c r="A6" s="48">
        <v>42461</v>
      </c>
      <c r="B6" s="92">
        <f t="shared" si="27"/>
        <v>17732165.038970906</v>
      </c>
      <c r="C6" s="92">
        <f t="shared" si="28"/>
        <v>2599569.1386757959</v>
      </c>
      <c r="D6" s="92">
        <f t="shared" si="29"/>
        <v>2460456.7567684338</v>
      </c>
      <c r="E6" s="92">
        <f t="shared" si="30"/>
        <v>5428953.3944344679</v>
      </c>
      <c r="F6" s="92">
        <f t="shared" si="31"/>
        <v>5321243.6423427612</v>
      </c>
      <c r="G6" s="92">
        <f t="shared" si="32"/>
        <v>545118.86989185668</v>
      </c>
      <c r="H6" s="92">
        <f t="shared" si="33"/>
        <v>1376392.0382631067</v>
      </c>
      <c r="I6" s="84">
        <f t="shared" si="34"/>
        <v>741869.01274524676</v>
      </c>
      <c r="J6" s="84">
        <f t="shared" si="35"/>
        <v>92794.477256060098</v>
      </c>
      <c r="K6" s="84">
        <f t="shared" si="36"/>
        <v>88076.804700575289</v>
      </c>
      <c r="L6" s="84">
        <f t="shared" si="37"/>
        <v>237070.43966906259</v>
      </c>
      <c r="M6" s="84">
        <f t="shared" si="38"/>
        <v>221242.41637764353</v>
      </c>
      <c r="N6" s="84">
        <f t="shared" si="39"/>
        <v>28763.276504947786</v>
      </c>
      <c r="O6" s="84">
        <f t="shared" si="40"/>
        <v>73897.270840465731</v>
      </c>
      <c r="P6" s="88">
        <f t="shared" si="41"/>
        <v>567903.24179386022</v>
      </c>
      <c r="Q6" s="88">
        <f t="shared" si="42"/>
        <v>63709.749998528467</v>
      </c>
      <c r="R6" s="88">
        <f t="shared" si="43"/>
        <v>59741.499843065154</v>
      </c>
      <c r="S6" s="88">
        <f t="shared" si="44"/>
        <v>181025.31202778904</v>
      </c>
      <c r="T6" s="88">
        <f t="shared" si="45"/>
        <v>167280.52447834302</v>
      </c>
      <c r="U6" s="88">
        <f t="shared" si="46"/>
        <v>26227.829215241407</v>
      </c>
      <c r="V6" s="88">
        <f t="shared" si="47"/>
        <v>69900.055569462755</v>
      </c>
      <c r="W6" s="96">
        <f t="shared" si="48"/>
        <v>896628.07787435886</v>
      </c>
      <c r="X6" s="96">
        <f t="shared" si="49"/>
        <v>129070.23122105229</v>
      </c>
      <c r="Y6" s="96">
        <f t="shared" si="50"/>
        <v>122081.62691866222</v>
      </c>
      <c r="Z6" s="96">
        <f t="shared" si="51"/>
        <v>285716.44230929093</v>
      </c>
      <c r="AA6" s="96">
        <f t="shared" si="52"/>
        <v>295935.04756031156</v>
      </c>
      <c r="AB6" s="96">
        <f t="shared" si="53"/>
        <v>17474.099125492816</v>
      </c>
      <c r="AC6" s="96">
        <f t="shared" si="54"/>
        <v>46329.953845106305</v>
      </c>
      <c r="AD6" s="100">
        <f t="shared" si="55"/>
        <v>1715314.6411486503</v>
      </c>
      <c r="AE6" s="100">
        <f t="shared" si="56"/>
        <v>195865.49374301895</v>
      </c>
      <c r="AF6" s="100">
        <f t="shared" si="57"/>
        <v>183074.64762674193</v>
      </c>
      <c r="AG6" s="100">
        <f t="shared" si="58"/>
        <v>533110.57970656373</v>
      </c>
      <c r="AH6" s="100">
        <f t="shared" si="59"/>
        <v>601352.80485332315</v>
      </c>
      <c r="AI6" s="100">
        <f t="shared" si="60"/>
        <v>55481.258822059681</v>
      </c>
      <c r="AJ6" s="100">
        <f t="shared" si="61"/>
        <v>146408.19811841968</v>
      </c>
      <c r="AK6" s="104">
        <f t="shared" si="62"/>
        <v>2850593.6216616328</v>
      </c>
      <c r="AL6" s="104">
        <f t="shared" si="63"/>
        <v>541617.30693659734</v>
      </c>
      <c r="AM6" s="104">
        <f t="shared" si="64"/>
        <v>514379.83369676064</v>
      </c>
      <c r="AN6" s="104">
        <f t="shared" si="65"/>
        <v>815831.87372138898</v>
      </c>
      <c r="AO6" s="104">
        <f t="shared" si="66"/>
        <v>779542.02906628698</v>
      </c>
      <c r="AP6" s="104">
        <f t="shared" si="67"/>
        <v>59928.786245487732</v>
      </c>
      <c r="AQ6" s="104">
        <f t="shared" si="68"/>
        <v>139234.71979012387</v>
      </c>
    </row>
    <row r="7" spans="1:43" x14ac:dyDescent="0.25">
      <c r="A7" s="48">
        <v>42491</v>
      </c>
      <c r="B7" s="92">
        <f t="shared" si="27"/>
        <v>17752741.379858267</v>
      </c>
      <c r="C7" s="92">
        <f t="shared" si="28"/>
        <v>2606710.9137077606</v>
      </c>
      <c r="D7" s="92">
        <f t="shared" si="29"/>
        <v>2466947.1003302862</v>
      </c>
      <c r="E7" s="92">
        <f t="shared" si="30"/>
        <v>5430613.5407239459</v>
      </c>
      <c r="F7" s="92">
        <f t="shared" si="31"/>
        <v>5320512.0576651692</v>
      </c>
      <c r="G7" s="92">
        <f t="shared" si="32"/>
        <v>546753.58214819117</v>
      </c>
      <c r="H7" s="92">
        <f t="shared" si="33"/>
        <v>1380692.4509045749</v>
      </c>
      <c r="I7" s="84">
        <f t="shared" si="34"/>
        <v>741031.90967712901</v>
      </c>
      <c r="J7" s="84">
        <f t="shared" si="35"/>
        <v>92781.973045430277</v>
      </c>
      <c r="K7" s="84">
        <f t="shared" si="36"/>
        <v>88041.101898633671</v>
      </c>
      <c r="L7" s="84">
        <f t="shared" si="37"/>
        <v>236649.75037364865</v>
      </c>
      <c r="M7" s="84">
        <f t="shared" si="38"/>
        <v>220657.33010863062</v>
      </c>
      <c r="N7" s="84">
        <f t="shared" si="39"/>
        <v>28819.25250428767</v>
      </c>
      <c r="O7" s="84">
        <f t="shared" si="40"/>
        <v>74053.6876268778</v>
      </c>
      <c r="P7" s="88">
        <f t="shared" si="41"/>
        <v>567389.91843640758</v>
      </c>
      <c r="Q7" s="88">
        <f t="shared" si="42"/>
        <v>63709.666664922632</v>
      </c>
      <c r="R7" s="88">
        <f t="shared" si="43"/>
        <v>59740.666480670676</v>
      </c>
      <c r="S7" s="88">
        <f t="shared" si="44"/>
        <v>180748.92880098693</v>
      </c>
      <c r="T7" s="88">
        <f t="shared" si="45"/>
        <v>166860.15427180257</v>
      </c>
      <c r="U7" s="88">
        <f t="shared" si="46"/>
        <v>26280.314985401812</v>
      </c>
      <c r="V7" s="88">
        <f t="shared" si="47"/>
        <v>70028.545025000436</v>
      </c>
      <c r="W7" s="96">
        <f t="shared" si="48"/>
        <v>904777.01228830346</v>
      </c>
      <c r="X7" s="96">
        <f t="shared" si="49"/>
        <v>130512.27409056446</v>
      </c>
      <c r="Y7" s="96">
        <f t="shared" si="50"/>
        <v>123448.89965954615</v>
      </c>
      <c r="Z7" s="96">
        <f t="shared" si="51"/>
        <v>288056.05609538592</v>
      </c>
      <c r="AA7" s="96">
        <f t="shared" si="52"/>
        <v>298387.48947234481</v>
      </c>
      <c r="AB7" s="96">
        <f t="shared" si="53"/>
        <v>17611.257505146172</v>
      </c>
      <c r="AC7" s="96">
        <f t="shared" si="54"/>
        <v>46736.296721855913</v>
      </c>
      <c r="AD7" s="100">
        <f t="shared" si="55"/>
        <v>1719277.0914857956</v>
      </c>
      <c r="AE7" s="100">
        <f t="shared" si="56"/>
        <v>196594.38314199672</v>
      </c>
      <c r="AF7" s="100">
        <f t="shared" si="57"/>
        <v>183755.90238285504</v>
      </c>
      <c r="AG7" s="100">
        <f t="shared" si="58"/>
        <v>533939.34304002393</v>
      </c>
      <c r="AH7" s="100">
        <f t="shared" si="59"/>
        <v>602357.42042200465</v>
      </c>
      <c r="AI7" s="100">
        <f t="shared" si="60"/>
        <v>55678.404575060034</v>
      </c>
      <c r="AJ7" s="100">
        <f t="shared" si="61"/>
        <v>146925.90395576259</v>
      </c>
      <c r="AK7" s="104">
        <f t="shared" si="62"/>
        <v>2853695.9023677921</v>
      </c>
      <c r="AL7" s="104">
        <f t="shared" si="63"/>
        <v>542778.70565042051</v>
      </c>
      <c r="AM7" s="104">
        <f t="shared" si="64"/>
        <v>515405.52187872684</v>
      </c>
      <c r="AN7" s="104">
        <f t="shared" si="65"/>
        <v>816061.96134995902</v>
      </c>
      <c r="AO7" s="104">
        <f t="shared" si="66"/>
        <v>779429.07149861858</v>
      </c>
      <c r="AP7" s="104">
        <f t="shared" si="67"/>
        <v>60148.990049324995</v>
      </c>
      <c r="AQ7" s="104">
        <f t="shared" si="68"/>
        <v>139801.54367169863</v>
      </c>
    </row>
    <row r="8" spans="1:43" x14ac:dyDescent="0.25">
      <c r="A8" s="48">
        <v>42522</v>
      </c>
      <c r="B8" s="92">
        <f t="shared" si="27"/>
        <v>17773341.597457994</v>
      </c>
      <c r="C8" s="92">
        <f t="shared" si="28"/>
        <v>2613872.3092798558</v>
      </c>
      <c r="D8" s="92">
        <f t="shared" si="29"/>
        <v>2473454.5645179874</v>
      </c>
      <c r="E8" s="92">
        <f t="shared" si="30"/>
        <v>5432274.1946777012</v>
      </c>
      <c r="F8" s="92">
        <f t="shared" si="31"/>
        <v>5319780.5735686021</v>
      </c>
      <c r="G8" s="92">
        <f t="shared" si="32"/>
        <v>548393.19660899625</v>
      </c>
      <c r="H8" s="92">
        <f t="shared" si="33"/>
        <v>1385006.2997970332</v>
      </c>
      <c r="I8" s="84">
        <f t="shared" si="34"/>
        <v>740195.75117137283</v>
      </c>
      <c r="J8" s="84">
        <f t="shared" si="35"/>
        <v>92769.470519763694</v>
      </c>
      <c r="K8" s="84">
        <f t="shared" si="36"/>
        <v>88005.413569175143</v>
      </c>
      <c r="L8" s="84">
        <f t="shared" si="37"/>
        <v>236229.80760523118</v>
      </c>
      <c r="M8" s="84">
        <f t="shared" si="38"/>
        <v>220073.79112854987</v>
      </c>
      <c r="N8" s="84">
        <f t="shared" si="39"/>
        <v>28875.337438105224</v>
      </c>
      <c r="O8" s="84">
        <f t="shared" si="40"/>
        <v>74210.435497385304</v>
      </c>
      <c r="P8" s="88">
        <f t="shared" si="41"/>
        <v>566877.0590679762</v>
      </c>
      <c r="Q8" s="88">
        <f t="shared" si="42"/>
        <v>63709.583331425798</v>
      </c>
      <c r="R8" s="88">
        <f t="shared" si="43"/>
        <v>59739.833129901162</v>
      </c>
      <c r="S8" s="88">
        <f t="shared" si="44"/>
        <v>180472.96754659963</v>
      </c>
      <c r="T8" s="88">
        <f t="shared" si="45"/>
        <v>166440.8404411379</v>
      </c>
      <c r="U8" s="88">
        <f t="shared" si="46"/>
        <v>26332.905787360567</v>
      </c>
      <c r="V8" s="88">
        <f t="shared" si="47"/>
        <v>70157.270668335812</v>
      </c>
      <c r="W8" s="96">
        <f t="shared" si="48"/>
        <v>913000.00765764469</v>
      </c>
      <c r="X8" s="96">
        <f t="shared" si="49"/>
        <v>131970.42824784483</v>
      </c>
      <c r="Y8" s="96">
        <f t="shared" si="50"/>
        <v>124831.48539055929</v>
      </c>
      <c r="Z8" s="96">
        <f t="shared" si="51"/>
        <v>290414.82801121206</v>
      </c>
      <c r="AA8" s="96">
        <f t="shared" si="52"/>
        <v>300860.2550039746</v>
      </c>
      <c r="AB8" s="96">
        <f t="shared" si="53"/>
        <v>17749.492473696846</v>
      </c>
      <c r="AC8" s="96">
        <f t="shared" si="54"/>
        <v>47146.203481574994</v>
      </c>
      <c r="AD8" s="100">
        <f t="shared" si="55"/>
        <v>1723248.6952530451</v>
      </c>
      <c r="AE8" s="100">
        <f t="shared" si="56"/>
        <v>197325.98501342582</v>
      </c>
      <c r="AF8" s="100">
        <f t="shared" si="57"/>
        <v>184439.69221440729</v>
      </c>
      <c r="AG8" s="100">
        <f t="shared" si="58"/>
        <v>534769.39475283551</v>
      </c>
      <c r="AH8" s="100">
        <f t="shared" si="59"/>
        <v>603363.71429405932</v>
      </c>
      <c r="AI8" s="100">
        <f t="shared" si="60"/>
        <v>55876.250860974586</v>
      </c>
      <c r="AJ8" s="100">
        <f t="shared" si="61"/>
        <v>147445.44042374959</v>
      </c>
      <c r="AK8" s="104">
        <f t="shared" si="62"/>
        <v>2856801.5592639162</v>
      </c>
      <c r="AL8" s="104">
        <f t="shared" si="63"/>
        <v>543942.59477020963</v>
      </c>
      <c r="AM8" s="104">
        <f t="shared" si="64"/>
        <v>516433.25531242671</v>
      </c>
      <c r="AN8" s="104">
        <f t="shared" si="65"/>
        <v>816292.1138697383</v>
      </c>
      <c r="AO8" s="104">
        <f t="shared" si="66"/>
        <v>779316.13029878109</v>
      </c>
      <c r="AP8" s="104">
        <f t="shared" si="67"/>
        <v>60370.002975426571</v>
      </c>
      <c r="AQ8" s="104">
        <f t="shared" si="68"/>
        <v>140370.67509059748</v>
      </c>
    </row>
    <row r="9" spans="1:43" x14ac:dyDescent="0.25">
      <c r="A9" s="48">
        <v>42552</v>
      </c>
      <c r="B9" s="92">
        <f t="shared" si="27"/>
        <v>17793965.719476543</v>
      </c>
      <c r="C9" s="92">
        <f t="shared" si="28"/>
        <v>2621053.3792954311</v>
      </c>
      <c r="D9" s="92">
        <f t="shared" si="29"/>
        <v>2479979.1944933739</v>
      </c>
      <c r="E9" s="92">
        <f t="shared" si="30"/>
        <v>5433935.3564509749</v>
      </c>
      <c r="F9" s="92">
        <f t="shared" si="31"/>
        <v>5319049.1900392314</v>
      </c>
      <c r="G9" s="92">
        <f t="shared" si="32"/>
        <v>550037.72797509085</v>
      </c>
      <c r="H9" s="92">
        <f t="shared" si="33"/>
        <v>1389333.6269208346</v>
      </c>
      <c r="I9" s="84">
        <f t="shared" si="34"/>
        <v>739360.53616216197</v>
      </c>
      <c r="J9" s="84">
        <f t="shared" si="35"/>
        <v>92756.969678833309</v>
      </c>
      <c r="K9" s="84">
        <f t="shared" si="36"/>
        <v>87969.739706333145</v>
      </c>
      <c r="L9" s="84">
        <f t="shared" si="37"/>
        <v>235810.61003907345</v>
      </c>
      <c r="M9" s="84">
        <f t="shared" si="38"/>
        <v>219491.79534552089</v>
      </c>
      <c r="N9" s="84">
        <f t="shared" si="39"/>
        <v>28931.531518397023</v>
      </c>
      <c r="O9" s="84">
        <f t="shared" si="40"/>
        <v>74367.515152786931</v>
      </c>
      <c r="P9" s="88">
        <f t="shared" si="41"/>
        <v>566364.66326916986</v>
      </c>
      <c r="Q9" s="88">
        <f t="shared" si="42"/>
        <v>63709.499998037965</v>
      </c>
      <c r="R9" s="88">
        <f t="shared" si="43"/>
        <v>59738.999790756454</v>
      </c>
      <c r="S9" s="88">
        <f t="shared" si="44"/>
        <v>180197.42762037416</v>
      </c>
      <c r="T9" s="88">
        <f t="shared" si="45"/>
        <v>166022.58033171276</v>
      </c>
      <c r="U9" s="88">
        <f t="shared" si="46"/>
        <v>26385.601831301858</v>
      </c>
      <c r="V9" s="88">
        <f t="shared" si="47"/>
        <v>70286.23293362651</v>
      </c>
      <c r="W9" s="96">
        <f t="shared" si="48"/>
        <v>921297.7370796043</v>
      </c>
      <c r="X9" s="96">
        <f t="shared" si="49"/>
        <v>133444.87369696889</v>
      </c>
      <c r="Y9" s="96">
        <f t="shared" si="50"/>
        <v>126229.55561198808</v>
      </c>
      <c r="Z9" s="96">
        <f t="shared" si="51"/>
        <v>292792.91493477073</v>
      </c>
      <c r="AA9" s="96">
        <f t="shared" si="52"/>
        <v>303353.51257897133</v>
      </c>
      <c r="AB9" s="96">
        <f t="shared" si="53"/>
        <v>17888.812481548353</v>
      </c>
      <c r="AC9" s="96">
        <f t="shared" si="54"/>
        <v>47559.705381761953</v>
      </c>
      <c r="AD9" s="100">
        <f t="shared" si="55"/>
        <v>1727229.4735952145</v>
      </c>
      <c r="AE9" s="100">
        <f t="shared" si="56"/>
        <v>198060.30945143959</v>
      </c>
      <c r="AF9" s="100">
        <f t="shared" si="57"/>
        <v>185126.02655488509</v>
      </c>
      <c r="AG9" s="100">
        <f t="shared" si="58"/>
        <v>535600.73684788786</v>
      </c>
      <c r="AH9" s="100">
        <f t="shared" si="59"/>
        <v>604371.68927324843</v>
      </c>
      <c r="AI9" s="100">
        <f t="shared" si="60"/>
        <v>56074.800169059919</v>
      </c>
      <c r="AJ9" s="100">
        <f t="shared" si="61"/>
        <v>147966.81399557125</v>
      </c>
      <c r="AK9" s="104">
        <f t="shared" si="62"/>
        <v>2859910.5960242888</v>
      </c>
      <c r="AL9" s="104">
        <f t="shared" si="63"/>
        <v>545108.97963618243</v>
      </c>
      <c r="AM9" s="104">
        <f t="shared" si="64"/>
        <v>517463.03807615099</v>
      </c>
      <c r="AN9" s="104">
        <f t="shared" si="65"/>
        <v>816522.33129902801</v>
      </c>
      <c r="AO9" s="104">
        <f t="shared" si="66"/>
        <v>779203.20546440268</v>
      </c>
      <c r="AP9" s="104">
        <f t="shared" si="67"/>
        <v>60591.827996851178</v>
      </c>
      <c r="AQ9" s="104">
        <f t="shared" si="68"/>
        <v>140942.12344079386</v>
      </c>
    </row>
    <row r="10" spans="1:43" x14ac:dyDescent="0.25">
      <c r="A10" s="48">
        <v>42583</v>
      </c>
      <c r="B10" s="92">
        <f t="shared" si="27"/>
        <v>17814613.773652513</v>
      </c>
      <c r="C10" s="92">
        <f t="shared" si="28"/>
        <v>2628254.1778059239</v>
      </c>
      <c r="D10" s="92">
        <f t="shared" si="29"/>
        <v>2486521.0355374115</v>
      </c>
      <c r="E10" s="92">
        <f t="shared" si="30"/>
        <v>5435597.0261990558</v>
      </c>
      <c r="F10" s="92">
        <f>F9*POWER(F$15/F$3,1/12)</f>
        <v>5318317.9070632318</v>
      </c>
      <c r="G10" s="92">
        <f t="shared" si="32"/>
        <v>551687.19099137874</v>
      </c>
      <c r="H10" s="92">
        <f t="shared" si="33"/>
        <v>1393674.474387496</v>
      </c>
      <c r="I10" s="84">
        <f t="shared" si="34"/>
        <v>738526.26358488284</v>
      </c>
      <c r="J10" s="84">
        <f t="shared" si="35"/>
        <v>92744.470522412099</v>
      </c>
      <c r="K10" s="84">
        <f t="shared" si="36"/>
        <v>87934.080304243471</v>
      </c>
      <c r="L10" s="84">
        <f t="shared" si="37"/>
        <v>235392.15635278952</v>
      </c>
      <c r="M10" s="84">
        <f t="shared" si="38"/>
        <v>218911.33867848446</v>
      </c>
      <c r="N10" s="84">
        <f t="shared" si="39"/>
        <v>28987.834957572217</v>
      </c>
      <c r="O10" s="84">
        <f t="shared" si="40"/>
        <v>74524.927295364745</v>
      </c>
      <c r="P10" s="88">
        <f t="shared" si="41"/>
        <v>565852.73062097165</v>
      </c>
      <c r="Q10" s="88">
        <f t="shared" si="42"/>
        <v>63709.416664759134</v>
      </c>
      <c r="R10" s="88">
        <f t="shared" si="43"/>
        <v>59738.166463236383</v>
      </c>
      <c r="S10" s="88">
        <f t="shared" si="44"/>
        <v>179922.30837904115</v>
      </c>
      <c r="T10" s="88">
        <f t="shared" si="45"/>
        <v>165605.3712955619</v>
      </c>
      <c r="U10" s="88">
        <f t="shared" si="46"/>
        <v>26438.403327830471</v>
      </c>
      <c r="V10" s="88">
        <f t="shared" si="47"/>
        <v>70415.432255828215</v>
      </c>
      <c r="W10" s="96">
        <f t="shared" si="48"/>
        <v>929670.87976879557</v>
      </c>
      <c r="X10" s="96">
        <f t="shared" si="49"/>
        <v>134935.79245311566</v>
      </c>
      <c r="Y10" s="96">
        <f t="shared" si="50"/>
        <v>127643.28374486389</v>
      </c>
      <c r="Z10" s="96">
        <f t="shared" si="51"/>
        <v>295190.47502867243</v>
      </c>
      <c r="AA10" s="96">
        <f t="shared" si="52"/>
        <v>305867.43201684917</v>
      </c>
      <c r="AB10" s="96">
        <f t="shared" si="53"/>
        <v>18029.22604543345</v>
      </c>
      <c r="AC10" s="96">
        <f t="shared" si="54"/>
        <v>47976.833954063135</v>
      </c>
      <c r="AD10" s="100">
        <f t="shared" si="55"/>
        <v>1731219.4477059653</v>
      </c>
      <c r="AE10" s="100">
        <f t="shared" si="56"/>
        <v>198797.36658773551</v>
      </c>
      <c r="AF10" s="100">
        <f t="shared" si="57"/>
        <v>185814.91487287858</v>
      </c>
      <c r="AG10" s="100">
        <f t="shared" si="58"/>
        <v>536433.37133118417</v>
      </c>
      <c r="AH10" s="100">
        <f t="shared" si="59"/>
        <v>605381.34816801711</v>
      </c>
      <c r="AI10" s="100">
        <f t="shared" si="60"/>
        <v>56274.054997417887</v>
      </c>
      <c r="AJ10" s="100">
        <f t="shared" si="61"/>
        <v>148490.03116730766</v>
      </c>
      <c r="AK10" s="104">
        <f t="shared" si="62"/>
        <v>2863023.0163271921</v>
      </c>
      <c r="AL10" s="104">
        <f t="shared" si="63"/>
        <v>546277.86560000747</v>
      </c>
      <c r="AM10" s="104">
        <f t="shared" si="64"/>
        <v>518494.87425632274</v>
      </c>
      <c r="AN10" s="104">
        <f t="shared" si="65"/>
        <v>816752.61365613446</v>
      </c>
      <c r="AO10" s="104">
        <f t="shared" si="66"/>
        <v>779090.29699311208</v>
      </c>
      <c r="AP10" s="104">
        <f t="shared" si="67"/>
        <v>60814.468097581812</v>
      </c>
      <c r="AQ10" s="104">
        <f t="shared" si="68"/>
        <v>141515.89815450407</v>
      </c>
    </row>
    <row r="11" spans="1:43" x14ac:dyDescent="0.25">
      <c r="A11" s="48">
        <v>42614</v>
      </c>
      <c r="B11" s="92">
        <f t="shared" si="27"/>
        <v>17835285.787756696</v>
      </c>
      <c r="C11" s="92">
        <f t="shared" si="28"/>
        <v>2635474.7590112668</v>
      </c>
      <c r="D11" s="92">
        <f t="shared" si="29"/>
        <v>2493080.1330505116</v>
      </c>
      <c r="E11" s="92">
        <f t="shared" si="30"/>
        <v>5437259.2040772801</v>
      </c>
      <c r="F11" s="92">
        <f t="shared" si="31"/>
        <v>5317586.7246267777</v>
      </c>
      <c r="G11" s="92">
        <f t="shared" si="32"/>
        <v>553341.60044698115</v>
      </c>
      <c r="H11" s="92">
        <f t="shared" si="33"/>
        <v>1398028.8844401077</v>
      </c>
      <c r="I11" s="84">
        <f t="shared" si="34"/>
        <v>737692.93237612303</v>
      </c>
      <c r="J11" s="84">
        <f t="shared" si="35"/>
        <v>92731.973050273067</v>
      </c>
      <c r="K11" s="84">
        <f t="shared" si="36"/>
        <v>87898.435357044335</v>
      </c>
      <c r="L11" s="84">
        <f t="shared" si="37"/>
        <v>234974.44522634012</v>
      </c>
      <c r="M11" s="84">
        <f t="shared" si="38"/>
        <v>218332.41705717388</v>
      </c>
      <c r="N11" s="84">
        <f t="shared" si="39"/>
        <v>29044.247968453317</v>
      </c>
      <c r="O11" s="84">
        <f t="shared" si="40"/>
        <v>74682.672628887274</v>
      </c>
      <c r="P11" s="88">
        <f t="shared" si="41"/>
        <v>565341.26070474333</v>
      </c>
      <c r="Q11" s="88">
        <f t="shared" si="42"/>
        <v>63709.333331589303</v>
      </c>
      <c r="R11" s="88">
        <f t="shared" si="43"/>
        <v>59737.333147340796</v>
      </c>
      <c r="S11" s="88">
        <f t="shared" si="44"/>
        <v>179647.60918031336</v>
      </c>
      <c r="T11" s="88">
        <f t="shared" si="45"/>
        <v>165189.21069137429</v>
      </c>
      <c r="U11" s="88">
        <f t="shared" si="46"/>
        <v>26491.310487972652</v>
      </c>
      <c r="V11" s="88">
        <f t="shared" si="47"/>
        <v>70544.869070696135</v>
      </c>
      <c r="W11" s="96">
        <f t="shared" si="48"/>
        <v>938120.12111282104</v>
      </c>
      <c r="X11" s="96">
        <f t="shared" si="49"/>
        <v>136443.36856503674</v>
      </c>
      <c r="Y11" s="96">
        <f t="shared" si="50"/>
        <v>129072.84515247474</v>
      </c>
      <c r="Z11" s="96">
        <f t="shared" si="51"/>
        <v>297607.66775065585</v>
      </c>
      <c r="AA11" s="96">
        <f t="shared" si="52"/>
        <v>308402.18454443285</v>
      </c>
      <c r="AB11" s="96">
        <f t="shared" si="53"/>
        <v>18170.741748934757</v>
      </c>
      <c r="AC11" s="96">
        <f t="shared" si="54"/>
        <v>48397.621006677291</v>
      </c>
      <c r="AD11" s="100">
        <f t="shared" si="55"/>
        <v>1735218.6388279167</v>
      </c>
      <c r="AE11" s="100">
        <f t="shared" si="56"/>
        <v>199537.16659171483</v>
      </c>
      <c r="AF11" s="100">
        <f t="shared" si="57"/>
        <v>186506.36667221232</v>
      </c>
      <c r="AG11" s="100">
        <f t="shared" si="58"/>
        <v>537267.30021184601</v>
      </c>
      <c r="AH11" s="100">
        <f t="shared" si="59"/>
        <v>606392.69379150239</v>
      </c>
      <c r="AI11" s="100">
        <f t="shared" si="60"/>
        <v>56474.017853027028</v>
      </c>
      <c r="AJ11" s="100">
        <f t="shared" si="61"/>
        <v>149015.09845800931</v>
      </c>
      <c r="AK11" s="104">
        <f t="shared" si="62"/>
        <v>2866138.8238549111</v>
      </c>
      <c r="AL11" s="104">
        <f t="shared" si="63"/>
        <v>547449.25802482932</v>
      </c>
      <c r="AM11" s="104">
        <f t="shared" si="64"/>
        <v>519528.76794751338</v>
      </c>
      <c r="AN11" s="104">
        <f t="shared" si="65"/>
        <v>816982.96095936908</v>
      </c>
      <c r="AO11" s="104">
        <f t="shared" si="66"/>
        <v>778977.40488253813</v>
      </c>
      <c r="AP11" s="104">
        <f t="shared" si="67"/>
        <v>61037.926272565885</v>
      </c>
      <c r="AQ11" s="104">
        <f t="shared" si="68"/>
        <v>142092.00870234292</v>
      </c>
    </row>
    <row r="12" spans="1:43" x14ac:dyDescent="0.25">
      <c r="A12" s="48">
        <v>42644</v>
      </c>
      <c r="B12" s="92">
        <f t="shared" si="27"/>
        <v>17855981.789592106</v>
      </c>
      <c r="C12" s="92">
        <f t="shared" si="28"/>
        <v>2642715.1772602955</v>
      </c>
      <c r="D12" s="92">
        <f t="shared" si="29"/>
        <v>2499656.5325528453</v>
      </c>
      <c r="E12" s="92">
        <f t="shared" si="30"/>
        <v>5438921.8902410315</v>
      </c>
      <c r="F12" s="92">
        <f t="shared" si="31"/>
        <v>5316855.6427160474</v>
      </c>
      <c r="G12" s="92">
        <f t="shared" si="32"/>
        <v>555000.97117536899</v>
      </c>
      <c r="H12" s="92">
        <f t="shared" si="33"/>
        <v>1402396.899453745</v>
      </c>
      <c r="I12" s="84">
        <f t="shared" si="34"/>
        <v>736860.54147367016</v>
      </c>
      <c r="J12" s="84">
        <f t="shared" si="35"/>
        <v>92719.477262189263</v>
      </c>
      <c r="K12" s="84">
        <f t="shared" si="36"/>
        <v>87862.80485887629</v>
      </c>
      <c r="L12" s="84">
        <f t="shared" si="37"/>
        <v>234557.47534202834</v>
      </c>
      <c r="M12" s="84">
        <f t="shared" si="38"/>
        <v>217755.02642208652</v>
      </c>
      <c r="N12" s="84">
        <f t="shared" si="39"/>
        <v>29100.770764277011</v>
      </c>
      <c r="O12" s="84">
        <f t="shared" si="40"/>
        <v>74840.751858612755</v>
      </c>
      <c r="P12" s="88">
        <f t="shared" si="41"/>
        <v>564830.25310222502</v>
      </c>
      <c r="Q12" s="88">
        <f t="shared" si="42"/>
        <v>63709.249998528474</v>
      </c>
      <c r="R12" s="88">
        <f t="shared" si="43"/>
        <v>59736.499843069527</v>
      </c>
      <c r="S12" s="88">
        <f t="shared" si="44"/>
        <v>179373.32938288417</v>
      </c>
      <c r="T12" s="88">
        <f t="shared" si="45"/>
        <v>164774.0958844765</v>
      </c>
      <c r="U12" s="88">
        <f t="shared" si="46"/>
        <v>26544.323523176939</v>
      </c>
      <c r="V12" s="88">
        <f t="shared" si="47"/>
        <v>70674.543814786477</v>
      </c>
      <c r="W12" s="96">
        <f t="shared" si="48"/>
        <v>946646.15272837505</v>
      </c>
      <c r="X12" s="96">
        <f t="shared" si="49"/>
        <v>137967.7881377766</v>
      </c>
      <c r="Y12" s="96">
        <f t="shared" si="50"/>
        <v>130518.41716211784</v>
      </c>
      <c r="Z12" s="96">
        <f t="shared" si="51"/>
        <v>300044.65386419313</v>
      </c>
      <c r="AA12" s="96">
        <f t="shared" si="52"/>
        <v>310957.9428075201</v>
      </c>
      <c r="AB12" s="96">
        <f t="shared" si="53"/>
        <v>18313.368243009492</v>
      </c>
      <c r="AC12" s="96">
        <f t="shared" si="54"/>
        <v>48822.098626781109</v>
      </c>
      <c r="AD12" s="100">
        <f t="shared" si="55"/>
        <v>1739227.0682527598</v>
      </c>
      <c r="AE12" s="100">
        <f t="shared" si="56"/>
        <v>200279.7196706231</v>
      </c>
      <c r="AF12" s="100">
        <f t="shared" si="57"/>
        <v>187200.39149207633</v>
      </c>
      <c r="AG12" s="100">
        <f t="shared" si="58"/>
        <v>538102.5255021184</v>
      </c>
      <c r="AH12" s="100">
        <f t="shared" si="59"/>
        <v>607405.72896154085</v>
      </c>
      <c r="AI12" s="100">
        <f t="shared" si="60"/>
        <v>56674.691251774129</v>
      </c>
      <c r="AJ12" s="100">
        <f t="shared" si="61"/>
        <v>149542.02240977835</v>
      </c>
      <c r="AK12" s="104">
        <f t="shared" si="62"/>
        <v>2869258.022293739</v>
      </c>
      <c r="AL12" s="104">
        <f t="shared" si="63"/>
        <v>548623.16228529252</v>
      </c>
      <c r="AM12" s="104">
        <f t="shared" si="64"/>
        <v>520564.72325245902</v>
      </c>
      <c r="AN12" s="104">
        <f t="shared" si="65"/>
        <v>817213.37322704855</v>
      </c>
      <c r="AO12" s="104">
        <f t="shared" si="66"/>
        <v>778864.52913031017</v>
      </c>
      <c r="AP12" s="104">
        <f t="shared" si="67"/>
        <v>61262.205527755526</v>
      </c>
      <c r="AQ12" s="104">
        <f t="shared" si="68"/>
        <v>142670.46459347999</v>
      </c>
    </row>
    <row r="13" spans="1:43" x14ac:dyDescent="0.25">
      <c r="A13" s="48">
        <v>42675</v>
      </c>
      <c r="B13" s="92">
        <f t="shared" si="27"/>
        <v>17876701.806994021</v>
      </c>
      <c r="C13" s="92">
        <f t="shared" si="28"/>
        <v>2649975.4870511582</v>
      </c>
      <c r="D13" s="92">
        <f t="shared" si="29"/>
        <v>2506250.27968466</v>
      </c>
      <c r="E13" s="92">
        <f t="shared" si="30"/>
        <v>5440585.0848457413</v>
      </c>
      <c r="F13" s="92">
        <f t="shared" si="31"/>
        <v>5316124.66131722</v>
      </c>
      <c r="G13" s="92">
        <f t="shared" si="32"/>
        <v>556665.31805449631</v>
      </c>
      <c r="H13" s="92">
        <f t="shared" si="33"/>
        <v>1406778.56193588</v>
      </c>
      <c r="I13" s="84">
        <f t="shared" si="34"/>
        <v>736029.08981651044</v>
      </c>
      <c r="J13" s="84">
        <f t="shared" si="35"/>
        <v>92706.983157933748</v>
      </c>
      <c r="K13" s="84">
        <f t="shared" si="36"/>
        <v>87827.188803882294</v>
      </c>
      <c r="L13" s="84">
        <f t="shared" si="37"/>
        <v>234141.24538449565</v>
      </c>
      <c r="M13" s="84">
        <f t="shared" si="38"/>
        <v>217179.16272445527</v>
      </c>
      <c r="N13" s="84">
        <f t="shared" si="39"/>
        <v>29157.403558694958</v>
      </c>
      <c r="O13" s="84">
        <f t="shared" si="40"/>
        <v>74999.165691292175</v>
      </c>
      <c r="P13" s="88">
        <f t="shared" si="41"/>
        <v>564319.70739553485</v>
      </c>
      <c r="Q13" s="88">
        <f t="shared" si="42"/>
        <v>63709.166665576646</v>
      </c>
      <c r="R13" s="88">
        <f t="shared" si="43"/>
        <v>59735.666550422407</v>
      </c>
      <c r="S13" s="88">
        <f t="shared" si="44"/>
        <v>179099.46834642609</v>
      </c>
      <c r="T13" s="88">
        <f t="shared" si="45"/>
        <v>164360.02424681588</v>
      </c>
      <c r="U13" s="88">
        <f t="shared" si="46"/>
        <v>26597.442645315012</v>
      </c>
      <c r="V13" s="88">
        <f t="shared" si="47"/>
        <v>70804.456925457926</v>
      </c>
      <c r="W13" s="96">
        <f t="shared" si="48"/>
        <v>955249.67251785623</v>
      </c>
      <c r="X13" s="96">
        <f t="shared" si="49"/>
        <v>139509.23935564654</v>
      </c>
      <c r="Y13" s="96">
        <f t="shared" si="50"/>
        <v>131980.17908709592</v>
      </c>
      <c r="Z13" s="96">
        <f t="shared" si="51"/>
        <v>302501.59544918197</v>
      </c>
      <c r="AA13" s="96">
        <f t="shared" si="52"/>
        <v>313534.88088264072</v>
      </c>
      <c r="AB13" s="96">
        <f t="shared" si="53"/>
        <v>18457.114246518304</v>
      </c>
      <c r="AC13" s="96">
        <f t="shared" si="54"/>
        <v>49250.299182976029</v>
      </c>
      <c r="AD13" s="100">
        <f t="shared" si="55"/>
        <v>1743244.7573213703</v>
      </c>
      <c r="AE13" s="100">
        <f t="shared" si="56"/>
        <v>201025.03606969077</v>
      </c>
      <c r="AF13" s="100">
        <f t="shared" si="57"/>
        <v>187896.9989071578</v>
      </c>
      <c r="AG13" s="100">
        <f t="shared" si="58"/>
        <v>538939.04921737453</v>
      </c>
      <c r="AH13" s="100">
        <f t="shared" si="59"/>
        <v>608420.45650067646</v>
      </c>
      <c r="AI13" s="100">
        <f t="shared" si="60"/>
        <v>56876.077718485853</v>
      </c>
      <c r="AJ13" s="100">
        <f t="shared" si="61"/>
        <v>150070.80958785012</v>
      </c>
      <c r="AK13" s="104">
        <f t="shared" si="62"/>
        <v>2872380.6153339795</v>
      </c>
      <c r="AL13" s="104">
        <f t="shared" si="63"/>
        <v>549799.58376756683</v>
      </c>
      <c r="AM13" s="104">
        <f t="shared" si="64"/>
        <v>521602.74428207683</v>
      </c>
      <c r="AN13" s="104">
        <f t="shared" si="65"/>
        <v>817443.85047749465</v>
      </c>
      <c r="AO13" s="104">
        <f t="shared" si="66"/>
        <v>778751.66973405785</v>
      </c>
      <c r="AP13" s="104">
        <f t="shared" si="67"/>
        <v>61487.308880148012</v>
      </c>
      <c r="AQ13" s="104">
        <f t="shared" si="68"/>
        <v>143251.27537579671</v>
      </c>
    </row>
    <row r="14" spans="1:43" x14ac:dyDescent="0.25">
      <c r="A14" s="48">
        <v>42705</v>
      </c>
      <c r="B14" s="92">
        <f t="shared" si="27"/>
        <v>17897445.867830019</v>
      </c>
      <c r="C14" s="92">
        <f t="shared" si="28"/>
        <v>2657255.7430317248</v>
      </c>
      <c r="D14" s="92">
        <f t="shared" si="29"/>
        <v>2512861.4202065952</v>
      </c>
      <c r="E14" s="92">
        <f t="shared" si="30"/>
        <v>5442248.7880468871</v>
      </c>
      <c r="F14" s="92">
        <f t="shared" si="31"/>
        <v>5315393.7804164765</v>
      </c>
      <c r="G14" s="92">
        <f t="shared" si="32"/>
        <v>558334.65600693331</v>
      </c>
      <c r="H14" s="92">
        <f t="shared" si="33"/>
        <v>1411173.9145267957</v>
      </c>
      <c r="I14" s="84">
        <f t="shared" si="34"/>
        <v>735198.57634482719</v>
      </c>
      <c r="J14" s="84">
        <f t="shared" si="35"/>
        <v>92694.49073727963</v>
      </c>
      <c r="K14" s="84">
        <f t="shared" si="36"/>
        <v>87791.587186207646</v>
      </c>
      <c r="L14" s="84">
        <f t="shared" si="37"/>
        <v>233725.75404071761</v>
      </c>
      <c r="M14" s="84">
        <f t="shared" si="38"/>
        <v>216604.82192622017</v>
      </c>
      <c r="N14" s="84">
        <f t="shared" si="39"/>
        <v>29214.146565774608</v>
      </c>
      <c r="O14" s="84">
        <f t="shared" si="40"/>
        <v>75157.914835172531</v>
      </c>
      <c r="P14" s="88">
        <f t="shared" si="41"/>
        <v>563809.62316716881</v>
      </c>
      <c r="Q14" s="88">
        <f t="shared" si="42"/>
        <v>63709.083332733819</v>
      </c>
      <c r="R14" s="88">
        <f t="shared" si="43"/>
        <v>59734.833269399285</v>
      </c>
      <c r="S14" s="88">
        <f t="shared" si="44"/>
        <v>178826.02543158925</v>
      </c>
      <c r="T14" s="88">
        <f t="shared" si="45"/>
        <v>163946.99315694399</v>
      </c>
      <c r="U14" s="88">
        <f t="shared" si="46"/>
        <v>26650.66806668253</v>
      </c>
      <c r="V14" s="88">
        <f t="shared" si="47"/>
        <v>70934.608840873101</v>
      </c>
      <c r="W14" s="96">
        <f t="shared" si="48"/>
        <v>963931.38472649502</v>
      </c>
      <c r="X14" s="96">
        <f t="shared" si="49"/>
        <v>141067.9125054554</v>
      </c>
      <c r="Y14" s="96">
        <f t="shared" si="50"/>
        <v>133458.31224895976</v>
      </c>
      <c r="Z14" s="96">
        <f t="shared" si="51"/>
        <v>304978.65591272543</v>
      </c>
      <c r="AA14" s="96">
        <f t="shared" si="52"/>
        <v>316133.17428891337</v>
      </c>
      <c r="AB14" s="96">
        <f t="shared" si="53"/>
        <v>18601.988546758254</v>
      </c>
      <c r="AC14" s="96">
        <f t="shared" si="54"/>
        <v>49682.255327756502</v>
      </c>
      <c r="AD14" s="100">
        <f t="shared" si="55"/>
        <v>1747271.7274239219</v>
      </c>
      <c r="AE14" s="100">
        <f t="shared" si="56"/>
        <v>201773.12607227472</v>
      </c>
      <c r="AF14" s="100">
        <f t="shared" si="57"/>
        <v>188596.198527773</v>
      </c>
      <c r="AG14" s="100">
        <f t="shared" si="58"/>
        <v>539776.87337612058</v>
      </c>
      <c r="AH14" s="100">
        <f t="shared" si="59"/>
        <v>609436.87923616858</v>
      </c>
      <c r="AI14" s="100">
        <f t="shared" si="60"/>
        <v>57078.179786960536</v>
      </c>
      <c r="AJ14" s="100">
        <f t="shared" si="61"/>
        <v>150601.46658067487</v>
      </c>
      <c r="AK14" s="104">
        <f t="shared" si="62"/>
        <v>2875506.6066699531</v>
      </c>
      <c r="AL14" s="104">
        <f t="shared" si="63"/>
        <v>550978.52786937146</v>
      </c>
      <c r="AM14" s="104">
        <f t="shared" si="64"/>
        <v>522642.83515548124</v>
      </c>
      <c r="AN14" s="104">
        <f t="shared" si="65"/>
        <v>817674.3927290343</v>
      </c>
      <c r="AO14" s="104">
        <f t="shared" si="66"/>
        <v>778638.82669141109</v>
      </c>
      <c r="AP14" s="104">
        <f t="shared" si="67"/>
        <v>61713.239357826336</v>
      </c>
      <c r="AQ14" s="104">
        <f t="shared" si="68"/>
        <v>143834.45063604385</v>
      </c>
    </row>
    <row r="15" spans="1:43" s="42" customFormat="1" x14ac:dyDescent="0.25">
      <c r="A15" s="47">
        <v>42736</v>
      </c>
      <c r="B15" s="93">
        <v>17918214</v>
      </c>
      <c r="C15" s="93">
        <v>2664556</v>
      </c>
      <c r="D15" s="93">
        <v>2519490</v>
      </c>
      <c r="E15" s="93">
        <v>5443913</v>
      </c>
      <c r="F15" s="93">
        <v>5314663</v>
      </c>
      <c r="G15" s="93">
        <v>560009</v>
      </c>
      <c r="H15" s="93">
        <v>1415583</v>
      </c>
      <c r="I15" s="85">
        <v>734369</v>
      </c>
      <c r="J15" s="85">
        <v>92682</v>
      </c>
      <c r="K15" s="85">
        <v>87756</v>
      </c>
      <c r="L15" s="85">
        <v>233311</v>
      </c>
      <c r="M15" s="85">
        <v>216032</v>
      </c>
      <c r="N15" s="85">
        <v>29271</v>
      </c>
      <c r="O15" s="85">
        <v>75317</v>
      </c>
      <c r="P15" s="89">
        <v>563300</v>
      </c>
      <c r="Q15" s="89">
        <v>63709</v>
      </c>
      <c r="R15" s="89">
        <v>59734</v>
      </c>
      <c r="S15" s="89">
        <v>178553</v>
      </c>
      <c r="T15" s="89">
        <v>163535</v>
      </c>
      <c r="U15" s="89">
        <v>26704</v>
      </c>
      <c r="V15" s="89">
        <v>71065</v>
      </c>
      <c r="W15" s="97">
        <v>972692</v>
      </c>
      <c r="X15" s="97">
        <v>142644</v>
      </c>
      <c r="Y15" s="97">
        <v>134953</v>
      </c>
      <c r="Z15" s="97">
        <v>307476</v>
      </c>
      <c r="AA15" s="97">
        <v>318753</v>
      </c>
      <c r="AB15" s="97">
        <v>18748</v>
      </c>
      <c r="AC15" s="97">
        <v>50118</v>
      </c>
      <c r="AD15" s="101">
        <v>1751308</v>
      </c>
      <c r="AE15" s="101">
        <v>202524</v>
      </c>
      <c r="AF15" s="101">
        <v>189298</v>
      </c>
      <c r="AG15" s="101">
        <v>540616</v>
      </c>
      <c r="AH15" s="101">
        <v>610455</v>
      </c>
      <c r="AI15" s="101">
        <v>57281</v>
      </c>
      <c r="AJ15" s="101">
        <v>151134</v>
      </c>
      <c r="AK15" s="105">
        <v>2878636</v>
      </c>
      <c r="AL15" s="105">
        <v>552160</v>
      </c>
      <c r="AM15" s="105">
        <v>523685</v>
      </c>
      <c r="AN15" s="105">
        <v>817905</v>
      </c>
      <c r="AO15" s="105">
        <v>778526</v>
      </c>
      <c r="AP15" s="105">
        <v>61940</v>
      </c>
      <c r="AQ15" s="105">
        <v>144420</v>
      </c>
    </row>
    <row r="16" spans="1:43" x14ac:dyDescent="0.25">
      <c r="A16" s="48">
        <v>42767</v>
      </c>
      <c r="B16" s="92">
        <f>B15*POWER(B$27/B$15,1/12)</f>
        <v>17938020.061445601</v>
      </c>
      <c r="C16" s="92">
        <f t="shared" ref="C16:H16" si="69">C15*POWER(C$27/C$15,1/12)</f>
        <v>2671288.1570886122</v>
      </c>
      <c r="D16" s="92">
        <f t="shared" si="69"/>
        <v>2525644.794961066</v>
      </c>
      <c r="E16" s="92">
        <f t="shared" si="69"/>
        <v>5445283.184991844</v>
      </c>
      <c r="F16" s="92">
        <f t="shared" si="69"/>
        <v>5313567.5089013539</v>
      </c>
      <c r="G16" s="92">
        <f t="shared" si="69"/>
        <v>562005.78846961656</v>
      </c>
      <c r="H16" s="92">
        <f t="shared" si="69"/>
        <v>1420052.560257884</v>
      </c>
      <c r="I16" s="84">
        <f t="shared" ref="I16:AK16" si="70">I15*POWER(I$27/I$15,1/12)</f>
        <v>734748.99999316921</v>
      </c>
      <c r="J16" s="84">
        <f t="shared" ref="J16" si="71">J15*POWER(J$27/J$15,1/12)</f>
        <v>92872.090949251899</v>
      </c>
      <c r="K16" s="84">
        <f t="shared" ref="K16" si="72">K15*POWER(K$27/K$15,1/12)</f>
        <v>87917.276487481606</v>
      </c>
      <c r="L16" s="84">
        <f t="shared" ref="L16" si="73">L15*POWER(L$27/L$15,1/12)</f>
        <v>233292.24170726657</v>
      </c>
      <c r="M16" s="84">
        <f t="shared" ref="M16" si="74">M15*POWER(M$27/M$15,1/12)</f>
        <v>215827.10117203096</v>
      </c>
      <c r="N16" s="84">
        <f t="shared" ref="N16" si="75">N15*POWER(N$27/N$15,1/12)</f>
        <v>29344.071655651649</v>
      </c>
      <c r="O16" s="84">
        <f t="shared" ref="O16" si="76">O15*POWER(O$27/O$15,1/12)</f>
        <v>75489.233828880839</v>
      </c>
      <c r="P16" s="88">
        <f t="shared" si="70"/>
        <v>562905.48386100691</v>
      </c>
      <c r="Q16" s="88">
        <f t="shared" ref="Q16" si="77">Q15*POWER(Q$27/Q$15,1/12)</f>
        <v>63699.325256874778</v>
      </c>
      <c r="R16" s="88">
        <f t="shared" ref="R16" si="78">R15*POWER(R$27/R$15,1/12)</f>
        <v>59733.83333077564</v>
      </c>
      <c r="S16" s="88">
        <f t="shared" ref="S16" si="79">S15*POWER(S$27/S$15,1/12)</f>
        <v>178319.07171446586</v>
      </c>
      <c r="T16" s="88">
        <f t="shared" ref="T16" si="80">T15*POWER(T$27/T$15,1/12)</f>
        <v>163171.42030303148</v>
      </c>
      <c r="U16" s="88">
        <f t="shared" ref="U16" si="81">U15*POWER(U$27/U$15,1/12)</f>
        <v>26773.334597242214</v>
      </c>
      <c r="V16" s="88">
        <f t="shared" ref="V16" si="82">V15*POWER(V$27/V$15,1/12)</f>
        <v>71201.466094025862</v>
      </c>
      <c r="W16" s="96">
        <f t="shared" si="70"/>
        <v>977388.97490438679</v>
      </c>
      <c r="X16" s="96">
        <f t="shared" ref="X16" si="83">X15*POWER(X$27/X$15,1/12)</f>
        <v>143655.82663296352</v>
      </c>
      <c r="Y16" s="96">
        <f t="shared" ref="Y16" si="84">Y15*POWER(Y$27/Y$15,1/12)</f>
        <v>135898.76412221015</v>
      </c>
      <c r="Z16" s="96">
        <f t="shared" ref="Z16" si="85">Z15*POWER(Z$27/Z$15,1/12)</f>
        <v>308494.64918587933</v>
      </c>
      <c r="AA16" s="96">
        <f t="shared" ref="AA16" si="86">AA15*POWER(AA$27/AA$15,1/12)</f>
        <v>319869.64843975281</v>
      </c>
      <c r="AB16" s="96">
        <f t="shared" ref="AB16" si="87">AB15*POWER(AB$27/AB$15,1/12)</f>
        <v>18907.109104765186</v>
      </c>
      <c r="AC16" s="96">
        <f t="shared" ref="AC16" si="88">AC15*POWER(AC$27/AC$15,1/12)</f>
        <v>50543.401159056593</v>
      </c>
      <c r="AD16" s="100">
        <f t="shared" si="70"/>
        <v>1755476.7376759138</v>
      </c>
      <c r="AE16" s="100">
        <f t="shared" ref="AE16" si="89">AE15*POWER(AE$27/AE$15,1/12)</f>
        <v>203422.10159755079</v>
      </c>
      <c r="AF16" s="100">
        <f t="shared" ref="AF16" si="90">AF15*POWER(AF$27/AF$15,1/12)</f>
        <v>190160.31389881353</v>
      </c>
      <c r="AG16" s="100">
        <f t="shared" ref="AG16" si="91">AG15*POWER(AG$27/AG$15,1/12)</f>
        <v>541314.35032167158</v>
      </c>
      <c r="AH16" s="100">
        <f t="shared" ref="AH16" si="92">AH15*POWER(AH$27/AH$15,1/12)</f>
        <v>611398.6030950346</v>
      </c>
      <c r="AI16" s="100">
        <f t="shared" ref="AI16" si="93">AI15*POWER(AI$27/AI$15,1/12)</f>
        <v>57499.842442093126</v>
      </c>
      <c r="AJ16" s="100">
        <f t="shared" ref="AJ16" si="94">AJ15*POWER(AJ$27/AJ$15,1/12)</f>
        <v>151664.31160272224</v>
      </c>
      <c r="AK16" s="104">
        <f t="shared" si="70"/>
        <v>2882815.7913367073</v>
      </c>
      <c r="AL16" s="104">
        <f t="shared" ref="AL16" si="95">AL15*POWER(AL$27/AL$15,1/12)</f>
        <v>553335.227686645</v>
      </c>
      <c r="AM16" s="104">
        <f t="shared" ref="AM16" si="96">AM15*POWER(AM$27/AM$15,1/12)</f>
        <v>524783.40642855852</v>
      </c>
      <c r="AN16" s="104">
        <f t="shared" ref="AN16" si="97">AN15*POWER(AN$27/AN$15,1/12)</f>
        <v>818607.83538262174</v>
      </c>
      <c r="AO16" s="104">
        <f t="shared" ref="AO16" si="98">AO15*POWER(AO$27/AO$15,1/12)</f>
        <v>778888.32113879768</v>
      </c>
      <c r="AP16" s="104">
        <f t="shared" ref="AP16" si="99">AP15*POWER(AP$27/AP$15,1/12)</f>
        <v>62195.458221792556</v>
      </c>
      <c r="AQ16" s="104">
        <f t="shared" ref="AQ16" si="100">AQ15*POWER(AQ$27/AQ$15,1/12)</f>
        <v>144989.80446562756</v>
      </c>
    </row>
    <row r="17" spans="1:43" x14ac:dyDescent="0.25">
      <c r="A17" s="48">
        <v>42795</v>
      </c>
      <c r="B17" s="92">
        <f t="shared" ref="B17:B26" si="101">B16*POWER(B$27/B$15,1/12)</f>
        <v>17957848.015702058</v>
      </c>
      <c r="C17" s="92">
        <f t="shared" ref="C17:C26" si="102">C16*POWER(C$27/C$15,1/12)</f>
        <v>2678037.3233671477</v>
      </c>
      <c r="D17" s="92">
        <f t="shared" ref="D17:D26" si="103">D16*POWER(D$27/D$15,1/12)</f>
        <v>2531814.6253066789</v>
      </c>
      <c r="E17" s="92">
        <f t="shared" ref="E17:E26" si="104">E16*POWER(E$27/E$15,1/12)</f>
        <v>5446653.7148471922</v>
      </c>
      <c r="F17" s="92">
        <f t="shared" ref="F17:F26" si="105">F16*POWER(F$27/F$15,1/12)</f>
        <v>5312472.2436120855</v>
      </c>
      <c r="G17" s="92">
        <f t="shared" ref="G17:G26" si="106">G16*POWER(G$27/G$15,1/12)</f>
        <v>564009.69676086528</v>
      </c>
      <c r="H17" s="92">
        <f t="shared" ref="H17:H26" si="107">H16*POWER(H$27/H$15,1/12)</f>
        <v>1424536.2327005703</v>
      </c>
      <c r="I17" s="84">
        <f t="shared" ref="I17:I26" si="108">I16*POWER(I$27/I$15,1/12)</f>
        <v>735129.19661772519</v>
      </c>
      <c r="J17" s="84">
        <f t="shared" ref="J17:J26" si="109">J16*POWER(J$27/J$15,1/12)</f>
        <v>93062.571775383753</v>
      </c>
      <c r="K17" s="84">
        <f t="shared" ref="K17:K26" si="110">K16*POWER(K$27/K$15,1/12)</f>
        <v>88078.849366154856</v>
      </c>
      <c r="L17" s="84">
        <f t="shared" ref="L17:L26" si="111">L16*POWER(L$27/L$15,1/12)</f>
        <v>233273.48492270696</v>
      </c>
      <c r="M17" s="84">
        <f t="shared" ref="M17:M26" si="112">M16*POWER(M$27/M$15,1/12)</f>
        <v>215622.39668346397</v>
      </c>
      <c r="N17" s="84">
        <f t="shared" ref="N17:N26" si="113">N16*POWER(N$27/N$15,1/12)</f>
        <v>29417.325726214291</v>
      </c>
      <c r="O17" s="84">
        <f t="shared" ref="O17:O26" si="114">O16*POWER(O$27/O$15,1/12)</f>
        <v>75661.861519596481</v>
      </c>
      <c r="P17" s="88">
        <f t="shared" ref="P17:P26" si="115">P16*POWER(P$27/P$15,1/12)</f>
        <v>562511.24402768386</v>
      </c>
      <c r="Q17" s="88">
        <f t="shared" ref="Q17:Q26" si="116">Q16*POWER(Q$27/Q$15,1/12)</f>
        <v>63689.651982940006</v>
      </c>
      <c r="R17" s="88">
        <f t="shared" ref="R17:R26" si="117">R16*POWER(R$27/R$15,1/12)</f>
        <v>59733.666662016323</v>
      </c>
      <c r="S17" s="88">
        <f t="shared" ref="S17:S26" si="118">S16*POWER(S$27/S$15,1/12)</f>
        <v>178085.44990623969</v>
      </c>
      <c r="T17" s="88">
        <f t="shared" ref="T17:T26" si="119">T16*POWER(T$27/T$15,1/12)</f>
        <v>162808.64893575414</v>
      </c>
      <c r="U17" s="88">
        <f t="shared" ref="U17:U26" si="120">U16*POWER(U$27/U$15,1/12)</f>
        <v>26842.849215693786</v>
      </c>
      <c r="V17" s="88">
        <f t="shared" ref="V17:V26" si="121">V16*POWER(V$27/V$15,1/12)</f>
        <v>71338.194243843158</v>
      </c>
      <c r="W17" s="96">
        <f t="shared" ref="W17:W26" si="122">W16*POWER(W$27/W$15,1/12)</f>
        <v>982108.63075325801</v>
      </c>
      <c r="X17" s="96">
        <f t="shared" ref="X17:X26" si="123">X16*POWER(X$27/X$15,1/12)</f>
        <v>144674.83052634582</v>
      </c>
      <c r="Y17" s="96">
        <f t="shared" ref="Y17:Y26" si="124">Y16*POWER(Y$27/Y$15,1/12)</f>
        <v>136851.15625398557</v>
      </c>
      <c r="Z17" s="96">
        <f t="shared" ref="Z17:Z26" si="125">Z16*POWER(Z$27/Z$15,1/12)</f>
        <v>309516.67309422122</v>
      </c>
      <c r="AA17" s="96">
        <f t="shared" ref="AA17:AA26" si="126">AA16*POWER(AA$27/AA$15,1/12)</f>
        <v>320990.20869755285</v>
      </c>
      <c r="AB17" s="96">
        <f t="shared" ref="AB17:AB26" si="127">AB16*POWER(AB$27/AB$15,1/12)</f>
        <v>19067.568524615672</v>
      </c>
      <c r="AC17" s="96">
        <f t="shared" ref="AC17:AC26" si="128">AC16*POWER(AC$27/AC$15,1/12)</f>
        <v>50972.413119544341</v>
      </c>
      <c r="AD17" s="100">
        <f t="shared" ref="AD17:AD26" si="129">AD16*POWER(AD$27/AD$15,1/12)</f>
        <v>1759655.3984343526</v>
      </c>
      <c r="AE17" s="100">
        <f t="shared" ref="AE17:AE26" si="130">AE16*POWER(AE$27/AE$15,1/12)</f>
        <v>204324.18586619006</v>
      </c>
      <c r="AF17" s="100">
        <f t="shared" ref="AF17:AF26" si="131">AF16*POWER(AF$27/AF$15,1/12)</f>
        <v>191026.55591762878</v>
      </c>
      <c r="AG17" s="100">
        <f t="shared" ref="AG17:AG26" si="132">AG16*POWER(AG$27/AG$15,1/12)</f>
        <v>542013.60274977691</v>
      </c>
      <c r="AH17" s="100">
        <f t="shared" ref="AH17:AH26" si="133">AH16*POWER(AH$27/AH$15,1/12)</f>
        <v>612343.66475261841</v>
      </c>
      <c r="AI17" s="100">
        <f t="shared" ref="AI17:AI26" si="134">AI16*POWER(AI$27/AI$15,1/12)</f>
        <v>57719.52097319415</v>
      </c>
      <c r="AJ17" s="100">
        <f t="shared" ref="AJ17:AJ26" si="135">AJ16*POWER(AJ$27/AJ$15,1/12)</f>
        <v>152196.48400709059</v>
      </c>
      <c r="AK17" s="104">
        <f t="shared" ref="AK17:AK26" si="136">AK16*POWER(AK$27/AK$15,1/12)</f>
        <v>2887001.6517476635</v>
      </c>
      <c r="AL17" s="104">
        <f t="shared" ref="AL17:AL26" si="137">AL16*POWER(AL$27/AL$15,1/12)</f>
        <v>554512.95674991177</v>
      </c>
      <c r="AM17" s="104">
        <f t="shared" ref="AM17:AM26" si="138">AM16*POWER(AM$27/AM$15,1/12)</f>
        <v>525884.11671665532</v>
      </c>
      <c r="AN17" s="104">
        <f t="shared" ref="AN17:AN26" si="139">AN16*POWER(AN$27/AN$15,1/12)</f>
        <v>819311.27471995098</v>
      </c>
      <c r="AO17" s="104">
        <f t="shared" ref="AO17:AO26" si="140">AO16*POWER(AO$27/AO$15,1/12)</f>
        <v>779250.81089959084</v>
      </c>
      <c r="AP17" s="104">
        <f t="shared" ref="AP17:AP26" si="141">AP16*POWER(AP$27/AP$15,1/12)</f>
        <v>62451.970026134048</v>
      </c>
      <c r="AQ17" s="104">
        <f t="shared" ref="AQ17:AQ26" si="142">AQ16*POWER(AQ$27/AQ$15,1/12)</f>
        <v>145561.85707645002</v>
      </c>
    </row>
    <row r="18" spans="1:43" x14ac:dyDescent="0.25">
      <c r="A18" s="48">
        <v>42826</v>
      </c>
      <c r="B18" s="92">
        <f t="shared" si="101"/>
        <v>17977697.886968788</v>
      </c>
      <c r="C18" s="92">
        <f t="shared" si="102"/>
        <v>2684803.541810323</v>
      </c>
      <c r="D18" s="92">
        <f t="shared" si="103"/>
        <v>2537999.5277663791</v>
      </c>
      <c r="E18" s="92">
        <f t="shared" si="104"/>
        <v>5448024.5896528428</v>
      </c>
      <c r="F18" s="92">
        <f t="shared" si="105"/>
        <v>5311377.2040856499</v>
      </c>
      <c r="G18" s="92">
        <f t="shared" si="106"/>
        <v>566020.75026044133</v>
      </c>
      <c r="H18" s="92">
        <f t="shared" si="107"/>
        <v>1429034.0618858559</v>
      </c>
      <c r="I18" s="84">
        <f t="shared" si="108"/>
        <v>735509.58997541491</v>
      </c>
      <c r="J18" s="84">
        <f t="shared" si="109"/>
        <v>93253.443278033737</v>
      </c>
      <c r="K18" s="84">
        <f t="shared" si="110"/>
        <v>88240.719180722459</v>
      </c>
      <c r="L18" s="84">
        <f t="shared" si="111"/>
        <v>233254.72964619994</v>
      </c>
      <c r="M18" s="84">
        <f t="shared" si="112"/>
        <v>215417.8863499749</v>
      </c>
      <c r="N18" s="84">
        <f t="shared" si="113"/>
        <v>29490.762667065588</v>
      </c>
      <c r="O18" s="84">
        <f t="shared" si="114"/>
        <v>75834.883972824464</v>
      </c>
      <c r="P18" s="88">
        <f t="shared" si="115"/>
        <v>562117.28030651575</v>
      </c>
      <c r="Q18" s="88">
        <f t="shared" si="116"/>
        <v>63679.980177972582</v>
      </c>
      <c r="R18" s="88">
        <f t="shared" si="117"/>
        <v>59733.499993722042</v>
      </c>
      <c r="S18" s="88">
        <f t="shared" si="118"/>
        <v>177852.13417379529</v>
      </c>
      <c r="T18" s="88">
        <f t="shared" si="119"/>
        <v>162446.6841010465</v>
      </c>
      <c r="U18" s="88">
        <f t="shared" si="120"/>
        <v>26912.544322764024</v>
      </c>
      <c r="V18" s="88">
        <f t="shared" si="121"/>
        <v>71475.184952677548</v>
      </c>
      <c r="W18" s="96">
        <f t="shared" si="122"/>
        <v>986851.07706928579</v>
      </c>
      <c r="X18" s="96">
        <f t="shared" si="123"/>
        <v>145701.06259110873</v>
      </c>
      <c r="Y18" s="96">
        <f t="shared" si="124"/>
        <v>137810.22284508022</v>
      </c>
      <c r="Z18" s="96">
        <f t="shared" si="125"/>
        <v>310542.08290527476</v>
      </c>
      <c r="AA18" s="96">
        <f t="shared" si="126"/>
        <v>322114.69447719434</v>
      </c>
      <c r="AB18" s="96">
        <f t="shared" si="127"/>
        <v>19229.38971930313</v>
      </c>
      <c r="AC18" s="96">
        <f t="shared" si="128"/>
        <v>51405.066529915181</v>
      </c>
      <c r="AD18" s="100">
        <f t="shared" si="129"/>
        <v>1763844.005895792</v>
      </c>
      <c r="AE18" s="100">
        <f t="shared" si="130"/>
        <v>205230.27046724816</v>
      </c>
      <c r="AF18" s="100">
        <f t="shared" si="131"/>
        <v>191896.74395030874</v>
      </c>
      <c r="AG18" s="100">
        <f t="shared" si="132"/>
        <v>542713.7584496279</v>
      </c>
      <c r="AH18" s="100">
        <f t="shared" si="133"/>
        <v>613290.18722730596</v>
      </c>
      <c r="AI18" s="100">
        <f t="shared" si="134"/>
        <v>57940.038787586695</v>
      </c>
      <c r="AJ18" s="100">
        <f t="shared" si="135"/>
        <v>152730.52374244126</v>
      </c>
      <c r="AK18" s="104">
        <f t="shared" si="136"/>
        <v>2891193.590045189</v>
      </c>
      <c r="AL18" s="104">
        <f t="shared" si="137"/>
        <v>555693.19251377718</v>
      </c>
      <c r="AM18" s="104">
        <f t="shared" si="138"/>
        <v>526987.13569653512</v>
      </c>
      <c r="AN18" s="104">
        <f t="shared" si="139"/>
        <v>820015.31853097316</v>
      </c>
      <c r="AO18" s="104">
        <f t="shared" si="140"/>
        <v>779613.46936085506</v>
      </c>
      <c r="AP18" s="104">
        <f t="shared" si="141"/>
        <v>62709.539758299339</v>
      </c>
      <c r="AQ18" s="104">
        <f t="shared" si="142"/>
        <v>146136.16670245197</v>
      </c>
    </row>
    <row r="19" spans="1:43" x14ac:dyDescent="0.25">
      <c r="A19" s="48">
        <v>42856</v>
      </c>
      <c r="B19" s="92">
        <f t="shared" si="101"/>
        <v>17997569.699471962</v>
      </c>
      <c r="C19" s="92">
        <f t="shared" si="102"/>
        <v>2691586.8555014329</v>
      </c>
      <c r="D19" s="92">
        <f t="shared" si="103"/>
        <v>2544199.5391594325</v>
      </c>
      <c r="E19" s="92">
        <f t="shared" si="104"/>
        <v>5449395.8094956176</v>
      </c>
      <c r="F19" s="92">
        <f t="shared" si="105"/>
        <v>5310282.3902755119</v>
      </c>
      <c r="G19" s="92">
        <f t="shared" si="106"/>
        <v>568038.97444555943</v>
      </c>
      <c r="H19" s="92">
        <f t="shared" si="107"/>
        <v>1433546.092512225</v>
      </c>
      <c r="I19" s="84">
        <f t="shared" si="108"/>
        <v>735890.18016803823</v>
      </c>
      <c r="J19" s="84">
        <f t="shared" si="109"/>
        <v>93444.706258480102</v>
      </c>
      <c r="K19" s="84">
        <f t="shared" si="110"/>
        <v>88402.886476888161</v>
      </c>
      <c r="L19" s="84">
        <f t="shared" si="111"/>
        <v>233235.97587762424</v>
      </c>
      <c r="M19" s="84">
        <f t="shared" si="112"/>
        <v>215213.56998741438</v>
      </c>
      <c r="N19" s="84">
        <f t="shared" si="113"/>
        <v>29564.382934720001</v>
      </c>
      <c r="O19" s="84">
        <f t="shared" si="114"/>
        <v>76008.302091302015</v>
      </c>
      <c r="P19" s="88">
        <f t="shared" si="115"/>
        <v>561723.59250412311</v>
      </c>
      <c r="Q19" s="88">
        <f t="shared" si="116"/>
        <v>63670.309841749426</v>
      </c>
      <c r="R19" s="88">
        <f t="shared" si="117"/>
        <v>59733.333325892796</v>
      </c>
      <c r="S19" s="88">
        <f t="shared" si="118"/>
        <v>177619.1241161325</v>
      </c>
      <c r="T19" s="88">
        <f t="shared" si="119"/>
        <v>162085.5240057825</v>
      </c>
      <c r="U19" s="88">
        <f t="shared" si="120"/>
        <v>26982.420387075817</v>
      </c>
      <c r="V19" s="88">
        <f t="shared" si="121"/>
        <v>71612.438724720996</v>
      </c>
      <c r="W19" s="96">
        <f t="shared" si="122"/>
        <v>991616.42390400998</v>
      </c>
      <c r="X19" s="96">
        <f t="shared" si="123"/>
        <v>146734.57409934441</v>
      </c>
      <c r="Y19" s="96">
        <f t="shared" si="124"/>
        <v>138776.01067077261</v>
      </c>
      <c r="Z19" s="96">
        <f t="shared" si="125"/>
        <v>311570.88983632863</v>
      </c>
      <c r="AA19" s="96">
        <f t="shared" si="126"/>
        <v>323243.11953047832</v>
      </c>
      <c r="AB19" s="96">
        <f t="shared" si="127"/>
        <v>19392.584245834983</v>
      </c>
      <c r="AC19" s="96">
        <f t="shared" si="128"/>
        <v>51841.39229876484</v>
      </c>
      <c r="AD19" s="100">
        <f t="shared" si="129"/>
        <v>1768042.5837369328</v>
      </c>
      <c r="AE19" s="100">
        <f t="shared" si="130"/>
        <v>206140.37314037539</v>
      </c>
      <c r="AF19" s="100">
        <f t="shared" si="131"/>
        <v>192770.89597222873</v>
      </c>
      <c r="AG19" s="100">
        <f t="shared" si="132"/>
        <v>543414.81858804205</v>
      </c>
      <c r="AH19" s="100">
        <f t="shared" si="133"/>
        <v>614238.1727771369</v>
      </c>
      <c r="AI19" s="100">
        <f t="shared" si="134"/>
        <v>58161.399091758169</v>
      </c>
      <c r="AJ19" s="100">
        <f t="shared" si="135"/>
        <v>153266.43736102121</v>
      </c>
      <c r="AK19" s="104">
        <f t="shared" si="136"/>
        <v>2895391.6150544002</v>
      </c>
      <c r="AL19" s="104">
        <f t="shared" si="137"/>
        <v>556875.9403135496</v>
      </c>
      <c r="AM19" s="104">
        <f t="shared" si="138"/>
        <v>528092.46821057831</v>
      </c>
      <c r="AN19" s="104">
        <f t="shared" si="139"/>
        <v>820719.96733511961</v>
      </c>
      <c r="AO19" s="104">
        <f t="shared" si="140"/>
        <v>779976.29660110245</v>
      </c>
      <c r="AP19" s="104">
        <f t="shared" si="141"/>
        <v>62968.171781484431</v>
      </c>
      <c r="AQ19" s="104">
        <f t="shared" si="142"/>
        <v>146712.7422486142</v>
      </c>
    </row>
    <row r="20" spans="1:43" x14ac:dyDescent="0.25">
      <c r="A20" s="48">
        <v>42887</v>
      </c>
      <c r="B20" s="92">
        <f t="shared" si="101"/>
        <v>18017463.477464523</v>
      </c>
      <c r="C20" s="92">
        <f t="shared" si="102"/>
        <v>2698387.3076326246</v>
      </c>
      <c r="D20" s="92">
        <f t="shared" si="103"/>
        <v>2550414.6963950493</v>
      </c>
      <c r="E20" s="92">
        <f t="shared" si="104"/>
        <v>5450767.3744623596</v>
      </c>
      <c r="F20" s="92">
        <f t="shared" si="105"/>
        <v>5309187.8021351453</v>
      </c>
      <c r="G20" s="92">
        <f t="shared" si="106"/>
        <v>570064.3948842769</v>
      </c>
      <c r="H20" s="92">
        <f t="shared" si="107"/>
        <v>1438072.3694192928</v>
      </c>
      <c r="I20" s="84">
        <f t="shared" si="108"/>
        <v>736270.9672974475</v>
      </c>
      <c r="J20" s="84">
        <f t="shared" si="109"/>
        <v>93636.361519644517</v>
      </c>
      <c r="K20" s="84">
        <f t="shared" si="110"/>
        <v>88565.351801358585</v>
      </c>
      <c r="L20" s="84">
        <f t="shared" si="111"/>
        <v>233217.22361685865</v>
      </c>
      <c r="M20" s="84">
        <f t="shared" si="112"/>
        <v>215009.44741180775</v>
      </c>
      <c r="N20" s="84">
        <f t="shared" si="113"/>
        <v>29638.186986831624</v>
      </c>
      <c r="O20" s="84">
        <f t="shared" si="114"/>
        <v>76182.116779830729</v>
      </c>
      <c r="P20" s="88">
        <f t="shared" si="115"/>
        <v>561330.18042726174</v>
      </c>
      <c r="Q20" s="88">
        <f t="shared" si="116"/>
        <v>63660.640974047499</v>
      </c>
      <c r="R20" s="88">
        <f t="shared" si="117"/>
        <v>59733.166658528586</v>
      </c>
      <c r="S20" s="88">
        <f t="shared" si="118"/>
        <v>177386.41933277651</v>
      </c>
      <c r="T20" s="88">
        <f t="shared" si="119"/>
        <v>161725.16686082268</v>
      </c>
      <c r="U20" s="88">
        <f t="shared" si="120"/>
        <v>27052.477878468791</v>
      </c>
      <c r="V20" s="88">
        <f t="shared" si="121"/>
        <v>71749.956065133709</v>
      </c>
      <c r="W20" s="96">
        <f t="shared" si="122"/>
        <v>996404.78184039157</v>
      </c>
      <c r="X20" s="96">
        <f t="shared" si="123"/>
        <v>147775.41668683689</v>
      </c>
      <c r="Y20" s="96">
        <f t="shared" si="124"/>
        <v>139748.56683414706</v>
      </c>
      <c r="Z20" s="96">
        <f t="shared" si="125"/>
        <v>312603.10514183366</v>
      </c>
      <c r="AA20" s="96">
        <f t="shared" si="126"/>
        <v>324375.49765738082</v>
      </c>
      <c r="AB20" s="96">
        <f t="shared" si="127"/>
        <v>19557.163759299794</v>
      </c>
      <c r="AC20" s="96">
        <f t="shared" si="128"/>
        <v>52281.42159704095</v>
      </c>
      <c r="AD20" s="100">
        <f t="shared" si="129"/>
        <v>1772251.1556908349</v>
      </c>
      <c r="AE20" s="100">
        <f t="shared" si="130"/>
        <v>207054.51170388929</v>
      </c>
      <c r="AF20" s="100">
        <f t="shared" si="131"/>
        <v>193649.03004064778</v>
      </c>
      <c r="AG20" s="100">
        <f t="shared" si="132"/>
        <v>544116.78433334385</v>
      </c>
      <c r="AH20" s="100">
        <f t="shared" si="133"/>
        <v>615187.62366364105</v>
      </c>
      <c r="AI20" s="100">
        <f t="shared" si="134"/>
        <v>58383.605104446382</v>
      </c>
      <c r="AJ20" s="100">
        <f t="shared" si="135"/>
        <v>153804.23143806841</v>
      </c>
      <c r="AK20" s="104">
        <f t="shared" si="136"/>
        <v>2899595.7356132274</v>
      </c>
      <c r="AL20" s="104">
        <f t="shared" si="137"/>
        <v>558061.20549589349</v>
      </c>
      <c r="AM20" s="104">
        <f t="shared" si="138"/>
        <v>529200.11911132175</v>
      </c>
      <c r="AN20" s="104">
        <f t="shared" si="139"/>
        <v>821425.22165226808</v>
      </c>
      <c r="AO20" s="104">
        <f t="shared" si="140"/>
        <v>780339.29269888171</v>
      </c>
      <c r="AP20" s="104">
        <f t="shared" si="141"/>
        <v>63227.870476880395</v>
      </c>
      <c r="AQ20" s="104">
        <f t="shared" si="142"/>
        <v>147291.59265505185</v>
      </c>
    </row>
    <row r="21" spans="1:43" x14ac:dyDescent="0.25">
      <c r="A21" s="48">
        <v>42917</v>
      </c>
      <c r="B21" s="92">
        <f t="shared" si="101"/>
        <v>18037379.245226227</v>
      </c>
      <c r="C21" s="92">
        <f t="shared" si="102"/>
        <v>2705204.9415051723</v>
      </c>
      <c r="D21" s="92">
        <f t="shared" si="103"/>
        <v>2556645.0364726051</v>
      </c>
      <c r="E21" s="92">
        <f t="shared" si="104"/>
        <v>5452139.2846399322</v>
      </c>
      <c r="F21" s="92">
        <f t="shared" si="105"/>
        <v>5308093.4396180334</v>
      </c>
      <c r="G21" s="92">
        <f t="shared" si="106"/>
        <v>572097.03723581752</v>
      </c>
      <c r="H21" s="92">
        <f t="shared" si="107"/>
        <v>1442612.9375882505</v>
      </c>
      <c r="I21" s="84">
        <f t="shared" si="108"/>
        <v>736651.9514655479</v>
      </c>
      <c r="J21" s="84">
        <f t="shared" si="109"/>
        <v>93828.409866095433</v>
      </c>
      <c r="K21" s="84">
        <f t="shared" si="110"/>
        <v>88728.115701845105</v>
      </c>
      <c r="L21" s="84">
        <f t="shared" si="111"/>
        <v>233198.47286378194</v>
      </c>
      <c r="M21" s="84">
        <f t="shared" si="112"/>
        <v>214805.51843935484</v>
      </c>
      <c r="N21" s="84">
        <f t="shared" si="113"/>
        <v>29712.175282197037</v>
      </c>
      <c r="O21" s="84">
        <f t="shared" si="114"/>
        <v>76356.328945281261</v>
      </c>
      <c r="P21" s="88">
        <f t="shared" si="115"/>
        <v>560937.04388282285</v>
      </c>
      <c r="Q21" s="88">
        <f t="shared" si="116"/>
        <v>63650.973574643795</v>
      </c>
      <c r="R21" s="88">
        <f t="shared" si="117"/>
        <v>59732.999991629411</v>
      </c>
      <c r="S21" s="88">
        <f t="shared" si="118"/>
        <v>177154.01942377718</v>
      </c>
      <c r="T21" s="88">
        <f t="shared" si="119"/>
        <v>161365.61088100527</v>
      </c>
      <c r="U21" s="88">
        <f t="shared" si="120"/>
        <v>27122.717268002478</v>
      </c>
      <c r="V21" s="88">
        <f t="shared" si="121"/>
        <v>71887.737480045922</v>
      </c>
      <c r="W21" s="96">
        <f t="shared" si="122"/>
        <v>1001216.2619953793</v>
      </c>
      <c r="X21" s="96">
        <f t="shared" si="123"/>
        <v>148823.64235564193</v>
      </c>
      <c r="Y21" s="96">
        <f t="shared" si="124"/>
        <v>140727.93876839103</v>
      </c>
      <c r="Z21" s="96">
        <f t="shared" si="125"/>
        <v>313638.740113526</v>
      </c>
      <c r="AA21" s="96">
        <f t="shared" si="126"/>
        <v>325511.84270622168</v>
      </c>
      <c r="AB21" s="96">
        <f t="shared" si="127"/>
        <v>19723.140013699642</v>
      </c>
      <c r="AC21" s="96">
        <f t="shared" si="128"/>
        <v>52725.185860269885</v>
      </c>
      <c r="AD21" s="100">
        <f t="shared" si="129"/>
        <v>1776469.7455470511</v>
      </c>
      <c r="AE21" s="100">
        <f t="shared" si="130"/>
        <v>207972.70405512353</v>
      </c>
      <c r="AF21" s="100">
        <f t="shared" si="131"/>
        <v>194531.16429508157</v>
      </c>
      <c r="AG21" s="100">
        <f t="shared" si="132"/>
        <v>544819.65685536701</v>
      </c>
      <c r="AH21" s="100">
        <f t="shared" si="133"/>
        <v>616138.54215184413</v>
      </c>
      <c r="AI21" s="100">
        <f t="shared" si="134"/>
        <v>58606.660056686356</v>
      </c>
      <c r="AJ21" s="100">
        <f t="shared" si="135"/>
        <v>154343.91257189258</v>
      </c>
      <c r="AK21" s="104">
        <f t="shared" si="136"/>
        <v>2903805.9605724337</v>
      </c>
      <c r="AL21" s="104">
        <f t="shared" si="137"/>
        <v>559248.99341885292</v>
      </c>
      <c r="AM21" s="104">
        <f t="shared" si="138"/>
        <v>530310.09326148033</v>
      </c>
      <c r="AN21" s="104">
        <f t="shared" si="139"/>
        <v>822131.08200274291</v>
      </c>
      <c r="AO21" s="104">
        <f t="shared" si="140"/>
        <v>780702.45773277816</v>
      </c>
      <c r="AP21" s="104">
        <f t="shared" si="141"/>
        <v>63488.640243747584</v>
      </c>
      <c r="AQ21" s="104">
        <f t="shared" si="142"/>
        <v>147872.72689715298</v>
      </c>
    </row>
    <row r="22" spans="1:43" x14ac:dyDescent="0.25">
      <c r="A22" s="48">
        <v>42948</v>
      </c>
      <c r="B22" s="92">
        <f t="shared" si="101"/>
        <v>18057317.027063664</v>
      </c>
      <c r="C22" s="92">
        <f t="shared" si="102"/>
        <v>2712039.8005297538</v>
      </c>
      <c r="D22" s="92">
        <f t="shared" si="103"/>
        <v>2562890.5964818592</v>
      </c>
      <c r="E22" s="92">
        <f t="shared" si="104"/>
        <v>5453511.5401152233</v>
      </c>
      <c r="F22" s="92">
        <f t="shared" si="105"/>
        <v>5306999.3026776696</v>
      </c>
      <c r="G22" s="92">
        <f t="shared" si="106"/>
        <v>574136.92725089635</v>
      </c>
      <c r="H22" s="92">
        <f t="shared" si="107"/>
        <v>1447167.8421423133</v>
      </c>
      <c r="I22" s="84">
        <f t="shared" si="108"/>
        <v>737033.13277429738</v>
      </c>
      <c r="J22" s="84">
        <f t="shared" si="109"/>
        <v>94020.85210405149</v>
      </c>
      <c r="K22" s="84">
        <f t="shared" si="110"/>
        <v>88891.17872706565</v>
      </c>
      <c r="L22" s="84">
        <f t="shared" si="111"/>
        <v>233179.72361827284</v>
      </c>
      <c r="M22" s="84">
        <f t="shared" si="112"/>
        <v>214601.78288642981</v>
      </c>
      <c r="N22" s="84">
        <f t="shared" si="113"/>
        <v>29786.348280758142</v>
      </c>
      <c r="O22" s="84">
        <f t="shared" si="114"/>
        <v>76530.939496598105</v>
      </c>
      <c r="P22" s="88">
        <f t="shared" si="115"/>
        <v>560544.1826778329</v>
      </c>
      <c r="Q22" s="88">
        <f t="shared" si="116"/>
        <v>63641.307643315333</v>
      </c>
      <c r="R22" s="88">
        <f t="shared" si="117"/>
        <v>59732.833325195264</v>
      </c>
      <c r="S22" s="88">
        <f t="shared" si="118"/>
        <v>176921.92398970836</v>
      </c>
      <c r="T22" s="88">
        <f t="shared" si="119"/>
        <v>161006.85428513738</v>
      </c>
      <c r="U22" s="88">
        <f t="shared" si="120"/>
        <v>27193.139027959467</v>
      </c>
      <c r="V22" s="88">
        <f t="shared" si="121"/>
        <v>72025.783476559795</v>
      </c>
      <c r="W22" s="96">
        <f t="shared" si="122"/>
        <v>1006050.9760224879</v>
      </c>
      <c r="X22" s="96">
        <f t="shared" si="123"/>
        <v>149879.30347668508</v>
      </c>
      <c r="Y22" s="96">
        <f t="shared" si="124"/>
        <v>141714.17423910848</v>
      </c>
      <c r="Z22" s="96">
        <f t="shared" si="125"/>
        <v>314677.8060805506</v>
      </c>
      <c r="AA22" s="96">
        <f t="shared" si="126"/>
        <v>326652.16857383383</v>
      </c>
      <c r="AB22" s="96">
        <f t="shared" si="127"/>
        <v>19890.524862789582</v>
      </c>
      <c r="AC22" s="96">
        <f t="shared" si="128"/>
        <v>53172.716790802493</v>
      </c>
      <c r="AD22" s="100">
        <f t="shared" si="129"/>
        <v>1780698.3771517619</v>
      </c>
      <c r="AE22" s="100">
        <f t="shared" si="130"/>
        <v>208894.9681707783</v>
      </c>
      <c r="AF22" s="100">
        <f t="shared" si="131"/>
        <v>195417.31695767719</v>
      </c>
      <c r="AG22" s="100">
        <f t="shared" si="132"/>
        <v>545523.43732545653</v>
      </c>
      <c r="AH22" s="100">
        <f t="shared" si="133"/>
        <v>617090.93051027285</v>
      </c>
      <c r="AI22" s="100">
        <f t="shared" si="134"/>
        <v>58830.567191857306</v>
      </c>
      <c r="AJ22" s="100">
        <f t="shared" si="135"/>
        <v>154885.48738395618</v>
      </c>
      <c r="AK22" s="104">
        <f t="shared" si="136"/>
        <v>2908022.2987956339</v>
      </c>
      <c r="AL22" s="104">
        <f t="shared" si="137"/>
        <v>560439.30945187632</v>
      </c>
      <c r="AM22" s="104">
        <f t="shared" si="138"/>
        <v>531422.39553396835</v>
      </c>
      <c r="AN22" s="104">
        <f t="shared" si="139"/>
        <v>822837.54890731571</v>
      </c>
      <c r="AO22" s="104">
        <f t="shared" si="140"/>
        <v>781065.79178141349</v>
      </c>
      <c r="AP22" s="104">
        <f t="shared" si="141"/>
        <v>63750.485499490154</v>
      </c>
      <c r="AQ22" s="104">
        <f t="shared" si="142"/>
        <v>148456.15398571774</v>
      </c>
    </row>
    <row r="23" spans="1:43" x14ac:dyDescent="0.25">
      <c r="A23" s="48">
        <v>42979</v>
      </c>
      <c r="B23" s="92">
        <f t="shared" si="101"/>
        <v>18077276.847310297</v>
      </c>
      <c r="C23" s="92">
        <f t="shared" si="102"/>
        <v>2718891.9282267266</v>
      </c>
      <c r="D23" s="92">
        <f t="shared" si="103"/>
        <v>2569151.4136031773</v>
      </c>
      <c r="E23" s="92">
        <f t="shared" si="104"/>
        <v>5454884.14097514</v>
      </c>
      <c r="F23" s="92">
        <f t="shared" si="105"/>
        <v>5305905.3912675567</v>
      </c>
      <c r="G23" s="92">
        <f t="shared" si="106"/>
        <v>576184.09077204636</v>
      </c>
      <c r="H23" s="92">
        <f t="shared" si="107"/>
        <v>1451737.1283471682</v>
      </c>
      <c r="I23" s="84">
        <f t="shared" si="108"/>
        <v>737414.51132570649</v>
      </c>
      <c r="J23" s="84">
        <f t="shared" si="109"/>
        <v>94213.689041384874</v>
      </c>
      <c r="K23" s="84">
        <f t="shared" si="110"/>
        <v>89054.541426746582</v>
      </c>
      <c r="L23" s="84">
        <f t="shared" si="111"/>
        <v>233160.9758802102</v>
      </c>
      <c r="M23" s="84">
        <f t="shared" si="112"/>
        <v>214398.24056958096</v>
      </c>
      <c r="N23" s="84">
        <f t="shared" si="113"/>
        <v>29860.706443605046</v>
      </c>
      <c r="O23" s="84">
        <f t="shared" si="114"/>
        <v>76705.949344804321</v>
      </c>
      <c r="P23" s="88">
        <f t="shared" si="115"/>
        <v>560151.59661945363</v>
      </c>
      <c r="Q23" s="88">
        <f t="shared" si="116"/>
        <v>63631.643179839179</v>
      </c>
      <c r="R23" s="88">
        <f t="shared" si="117"/>
        <v>59732.666659226154</v>
      </c>
      <c r="S23" s="88">
        <f t="shared" si="118"/>
        <v>176690.13263166725</v>
      </c>
      <c r="T23" s="88">
        <f t="shared" si="119"/>
        <v>160648.89529598615</v>
      </c>
      <c r="U23" s="88">
        <f t="shared" si="120"/>
        <v>27263.743631848589</v>
      </c>
      <c r="V23" s="88">
        <f t="shared" si="121"/>
        <v>72164.094562751285</v>
      </c>
      <c r="W23" s="96">
        <f t="shared" si="122"/>
        <v>1010909.036114389</v>
      </c>
      <c r="X23" s="96">
        <f t="shared" si="123"/>
        <v>150942.45279237823</v>
      </c>
      <c r="Y23" s="96">
        <f t="shared" si="124"/>
        <v>142707.32134664955</v>
      </c>
      <c r="Z23" s="96">
        <f t="shared" si="125"/>
        <v>315720.3144095852</v>
      </c>
      <c r="AA23" s="96">
        <f t="shared" si="126"/>
        <v>327796.48920573329</v>
      </c>
      <c r="AB23" s="96">
        <f t="shared" si="127"/>
        <v>20059.330260924216</v>
      </c>
      <c r="AC23" s="96">
        <f t="shared" si="128"/>
        <v>53624.046360078908</v>
      </c>
      <c r="AD23" s="100">
        <f t="shared" si="129"/>
        <v>1784937.0744079105</v>
      </c>
      <c r="AE23" s="100">
        <f t="shared" si="130"/>
        <v>209821.32210727225</v>
      </c>
      <c r="AF23" s="100">
        <f t="shared" si="131"/>
        <v>196307.50633358952</v>
      </c>
      <c r="AG23" s="100">
        <f t="shared" si="132"/>
        <v>546228.12691647047</v>
      </c>
      <c r="AH23" s="100">
        <f t="shared" si="133"/>
        <v>618044.79101096047</v>
      </c>
      <c r="AI23" s="100">
        <f t="shared" si="134"/>
        <v>59055.329765729795</v>
      </c>
      <c r="AJ23" s="100">
        <f t="shared" si="135"/>
        <v>155428.96251895558</v>
      </c>
      <c r="AK23" s="104">
        <f t="shared" si="136"/>
        <v>2912244.7591593126</v>
      </c>
      <c r="AL23" s="104">
        <f t="shared" si="137"/>
        <v>561632.15897584055</v>
      </c>
      <c r="AM23" s="104">
        <f t="shared" si="138"/>
        <v>532537.03081192065</v>
      </c>
      <c r="AN23" s="104">
        <f t="shared" si="139"/>
        <v>823544.62288720557</v>
      </c>
      <c r="AO23" s="104">
        <f t="shared" si="140"/>
        <v>781429.29492344626</v>
      </c>
      <c r="AP23" s="104">
        <f t="shared" si="141"/>
        <v>64013.4106797309</v>
      </c>
      <c r="AQ23" s="104">
        <f t="shared" si="142"/>
        <v>149041.88296709812</v>
      </c>
    </row>
    <row r="24" spans="1:43" x14ac:dyDescent="0.25">
      <c r="A24" s="48">
        <v>43009</v>
      </c>
      <c r="B24" s="92">
        <f t="shared" si="101"/>
        <v>18097258.730326481</v>
      </c>
      <c r="C24" s="92">
        <f t="shared" si="102"/>
        <v>2725761.3682264043</v>
      </c>
      <c r="D24" s="92">
        <f t="shared" si="103"/>
        <v>2575427.5251077516</v>
      </c>
      <c r="E24" s="92">
        <f t="shared" si="104"/>
        <v>5456257.087306614</v>
      </c>
      <c r="F24" s="92">
        <f t="shared" si="105"/>
        <v>5304811.7053412069</v>
      </c>
      <c r="G24" s="92">
        <f t="shared" si="106"/>
        <v>578238.55373394547</v>
      </c>
      <c r="H24" s="92">
        <f t="shared" si="107"/>
        <v>1456320.8416114242</v>
      </c>
      <c r="I24" s="84">
        <f t="shared" si="108"/>
        <v>737796.08722183865</v>
      </c>
      <c r="J24" s="84">
        <f t="shared" si="109"/>
        <v>94406.921487624713</v>
      </c>
      <c r="K24" s="84">
        <f t="shared" si="110"/>
        <v>89218.204351624547</v>
      </c>
      <c r="L24" s="84">
        <f t="shared" si="111"/>
        <v>233142.22964947278</v>
      </c>
      <c r="M24" s="84">
        <f t="shared" si="112"/>
        <v>214194.89130553059</v>
      </c>
      <c r="N24" s="84">
        <f t="shared" si="113"/>
        <v>29935.250232978902</v>
      </c>
      <c r="O24" s="84">
        <f t="shared" si="114"/>
        <v>76881.359403006267</v>
      </c>
      <c r="P24" s="88">
        <f t="shared" si="115"/>
        <v>559759.2855149816</v>
      </c>
      <c r="Q24" s="88">
        <f t="shared" si="116"/>
        <v>63621.980183992426</v>
      </c>
      <c r="R24" s="88">
        <f t="shared" si="117"/>
        <v>59732.499993722071</v>
      </c>
      <c r="S24" s="88">
        <f t="shared" si="118"/>
        <v>176458.6449512736</v>
      </c>
      <c r="T24" s="88">
        <f t="shared" si="119"/>
        <v>160291.73214027</v>
      </c>
      <c r="U24" s="88">
        <f t="shared" si="120"/>
        <v>27334.531554408102</v>
      </c>
      <c r="V24" s="88">
        <f t="shared" si="121"/>
        <v>72302.671247672013</v>
      </c>
      <c r="W24" s="96">
        <f t="shared" si="122"/>
        <v>1015790.555005515</v>
      </c>
      <c r="X24" s="96">
        <f t="shared" si="123"/>
        <v>152013.14341925472</v>
      </c>
      <c r="Y24" s="96">
        <f t="shared" si="124"/>
        <v>143707.4285284564</v>
      </c>
      <c r="Z24" s="96">
        <f t="shared" si="125"/>
        <v>316766.27650496463</v>
      </c>
      <c r="AA24" s="96">
        <f t="shared" si="126"/>
        <v>328944.81859628973</v>
      </c>
      <c r="AB24" s="96">
        <f t="shared" si="127"/>
        <v>20229.56826391146</v>
      </c>
      <c r="AC24" s="96">
        <f t="shared" si="128"/>
        <v>54079.206810912583</v>
      </c>
      <c r="AD24" s="100">
        <f t="shared" si="129"/>
        <v>1789185.8612753374</v>
      </c>
      <c r="AE24" s="100">
        <f t="shared" si="130"/>
        <v>210751.78400109601</v>
      </c>
      <c r="AF24" s="100">
        <f t="shared" si="131"/>
        <v>197201.75081135938</v>
      </c>
      <c r="AG24" s="100">
        <f t="shared" si="132"/>
        <v>546933.72680278192</v>
      </c>
      <c r="AH24" s="100">
        <f t="shared" si="133"/>
        <v>619000.12592945236</v>
      </c>
      <c r="AI24" s="100">
        <f t="shared" si="134"/>
        <v>59280.951046513081</v>
      </c>
      <c r="AJ24" s="100">
        <f t="shared" si="135"/>
        <v>155974.34464490262</v>
      </c>
      <c r="AK24" s="104">
        <f t="shared" si="136"/>
        <v>2916473.3505528425</v>
      </c>
      <c r="AL24" s="104">
        <f t="shared" si="137"/>
        <v>562827.54738307511</v>
      </c>
      <c r="AM24" s="104">
        <f t="shared" si="138"/>
        <v>533654.00398871442</v>
      </c>
      <c r="AN24" s="104">
        <f t="shared" si="139"/>
        <v>824252.30446407944</v>
      </c>
      <c r="AO24" s="104">
        <f t="shared" si="140"/>
        <v>781792.96723757137</v>
      </c>
      <c r="AP24" s="104">
        <f t="shared" si="141"/>
        <v>64277.420238386381</v>
      </c>
      <c r="AQ24" s="104">
        <f t="shared" si="142"/>
        <v>149629.92292333819</v>
      </c>
    </row>
    <row r="25" spans="1:43" x14ac:dyDescent="0.25">
      <c r="A25" s="48">
        <v>43040</v>
      </c>
      <c r="B25" s="92">
        <f t="shared" si="101"/>
        <v>18117262.700499501</v>
      </c>
      <c r="C25" s="92">
        <f t="shared" si="102"/>
        <v>2732648.164269336</v>
      </c>
      <c r="D25" s="92">
        <f t="shared" si="103"/>
        <v>2581718.9683578233</v>
      </c>
      <c r="E25" s="92">
        <f t="shared" si="104"/>
        <v>5457630.3791965963</v>
      </c>
      <c r="F25" s="92">
        <f t="shared" si="105"/>
        <v>5303718.2448521415</v>
      </c>
      <c r="G25" s="92">
        <f t="shared" si="106"/>
        <v>580300.3421637452</v>
      </c>
      <c r="H25" s="92">
        <f t="shared" si="107"/>
        <v>1460919.0274870631</v>
      </c>
      <c r="I25" s="84">
        <f t="shared" si="108"/>
        <v>738177.86056481011</v>
      </c>
      <c r="J25" s="84">
        <f t="shared" si="109"/>
        <v>94600.550253960493</v>
      </c>
      <c r="K25" s="84">
        <f t="shared" si="110"/>
        <v>89382.168053448302</v>
      </c>
      <c r="L25" s="84">
        <f t="shared" si="111"/>
        <v>233123.48492593941</v>
      </c>
      <c r="M25" s="84">
        <f t="shared" si="112"/>
        <v>213991.73491117486</v>
      </c>
      <c r="N25" s="84">
        <f t="shared" si="113"/>
        <v>30009.980112274799</v>
      </c>
      <c r="O25" s="84">
        <f t="shared" si="114"/>
        <v>77057.170586398381</v>
      </c>
      <c r="P25" s="88">
        <f t="shared" si="115"/>
        <v>559367.24917184853</v>
      </c>
      <c r="Q25" s="88">
        <f t="shared" si="116"/>
        <v>63612.318655552204</v>
      </c>
      <c r="R25" s="88">
        <f t="shared" si="117"/>
        <v>59732.333328683017</v>
      </c>
      <c r="S25" s="88">
        <f t="shared" si="118"/>
        <v>176227.46055066912</v>
      </c>
      <c r="T25" s="88">
        <f t="shared" si="119"/>
        <v>159935.36304864974</v>
      </c>
      <c r="U25" s="88">
        <f t="shared" si="120"/>
        <v>27405.503271608875</v>
      </c>
      <c r="V25" s="88">
        <f t="shared" si="121"/>
        <v>72441.514041351125</v>
      </c>
      <c r="W25" s="96">
        <f t="shared" si="122"/>
        <v>1020695.6459746748</v>
      </c>
      <c r="X25" s="96">
        <f t="shared" si="123"/>
        <v>153091.42885062305</v>
      </c>
      <c r="Y25" s="96">
        <f t="shared" si="124"/>
        <v>144714.5445614256</v>
      </c>
      <c r="Z25" s="96">
        <f t="shared" si="125"/>
        <v>317815.70380880561</v>
      </c>
      <c r="AA25" s="96">
        <f t="shared" si="126"/>
        <v>330097.17078889755</v>
      </c>
      <c r="AB25" s="96">
        <f t="shared" si="127"/>
        <v>20401.251029873543</v>
      </c>
      <c r="AC25" s="96">
        <f t="shared" si="128"/>
        <v>54538.230659793691</v>
      </c>
      <c r="AD25" s="100">
        <f t="shared" si="129"/>
        <v>1793444.7617709162</v>
      </c>
      <c r="AE25" s="100">
        <f t="shared" si="130"/>
        <v>211686.37206916726</v>
      </c>
      <c r="AF25" s="100">
        <f t="shared" si="131"/>
        <v>198100.06886329336</v>
      </c>
      <c r="AG25" s="100">
        <f t="shared" si="132"/>
        <v>547640.23816028109</v>
      </c>
      <c r="AH25" s="100">
        <f t="shared" si="133"/>
        <v>619956.93754481117</v>
      </c>
      <c r="AI25" s="100">
        <f t="shared" si="134"/>
        <v>59507.434314902639</v>
      </c>
      <c r="AJ25" s="100">
        <f t="shared" si="135"/>
        <v>156521.64045320643</v>
      </c>
      <c r="AK25" s="104">
        <f t="shared" si="136"/>
        <v>2920708.0818785047</v>
      </c>
      <c r="AL25" s="104">
        <f t="shared" si="137"/>
        <v>564025.48007738672</v>
      </c>
      <c r="AM25" s="104">
        <f t="shared" si="138"/>
        <v>534773.31996799051</v>
      </c>
      <c r="AN25" s="104">
        <f t="shared" si="139"/>
        <v>824960.59416005248</v>
      </c>
      <c r="AO25" s="104">
        <f t="shared" si="140"/>
        <v>782156.80880252051</v>
      </c>
      <c r="AP25" s="104">
        <f t="shared" si="141"/>
        <v>64542.518647742385</v>
      </c>
      <c r="AQ25" s="104">
        <f t="shared" si="142"/>
        <v>150220.28297231498</v>
      </c>
    </row>
    <row r="26" spans="1:43" x14ac:dyDescent="0.25">
      <c r="A26" s="48">
        <v>43070</v>
      </c>
      <c r="B26" s="92">
        <f t="shared" si="101"/>
        <v>18137288.782243595</v>
      </c>
      <c r="C26" s="92">
        <f t="shared" si="102"/>
        <v>2739552.3602065835</v>
      </c>
      <c r="D26" s="92">
        <f t="shared" si="103"/>
        <v>2588025.7808069051</v>
      </c>
      <c r="E26" s="92">
        <f t="shared" si="104"/>
        <v>5459004.0167320613</v>
      </c>
      <c r="F26" s="92">
        <f t="shared" si="105"/>
        <v>5302625.0097538922</v>
      </c>
      <c r="G26" s="92">
        <f t="shared" si="106"/>
        <v>582369.48218140053</v>
      </c>
      <c r="H26" s="92">
        <f t="shared" si="107"/>
        <v>1465531.7316698928</v>
      </c>
      <c r="I26" s="84">
        <f t="shared" si="108"/>
        <v>738559.83145678986</v>
      </c>
      <c r="J26" s="84">
        <f t="shared" si="109"/>
        <v>94794.576153245449</v>
      </c>
      <c r="K26" s="84">
        <f t="shared" si="110"/>
        <v>89546.433084980614</v>
      </c>
      <c r="L26" s="84">
        <f t="shared" si="111"/>
        <v>233104.74170948891</v>
      </c>
      <c r="M26" s="84">
        <f t="shared" si="112"/>
        <v>213788.7712035836</v>
      </c>
      <c r="N26" s="84">
        <f t="shared" si="113"/>
        <v>30084.896546044642</v>
      </c>
      <c r="O26" s="84">
        <f t="shared" si="114"/>
        <v>77233.383812267974</v>
      </c>
      <c r="P26" s="88">
        <f t="shared" si="115"/>
        <v>558975.48739762092</v>
      </c>
      <c r="Q26" s="88">
        <f t="shared" si="116"/>
        <v>63602.658594295674</v>
      </c>
      <c r="R26" s="88">
        <f t="shared" si="117"/>
        <v>59732.166664108991</v>
      </c>
      <c r="S26" s="88">
        <f t="shared" si="118"/>
        <v>175996.57903251678</v>
      </c>
      <c r="T26" s="88">
        <f t="shared" si="119"/>
        <v>159579.78625571993</v>
      </c>
      <c r="U26" s="88">
        <f t="shared" si="120"/>
        <v>27476.659260657601</v>
      </c>
      <c r="V26" s="88">
        <f t="shared" si="121"/>
        <v>72580.623454797169</v>
      </c>
      <c r="W26" s="96">
        <f t="shared" si="122"/>
        <v>1025624.4228476828</v>
      </c>
      <c r="X26" s="96">
        <f t="shared" si="123"/>
        <v>154177.3629592396</v>
      </c>
      <c r="Y26" s="96">
        <f t="shared" si="124"/>
        <v>145728.71856428721</v>
      </c>
      <c r="Z26" s="96">
        <f t="shared" si="125"/>
        <v>318868.60780113185</v>
      </c>
      <c r="AA26" s="96">
        <f t="shared" si="126"/>
        <v>331253.55987614772</v>
      </c>
      <c r="AB26" s="96">
        <f t="shared" si="127"/>
        <v>20574.390820115328</v>
      </c>
      <c r="AC26" s="96">
        <f t="shared" si="128"/>
        <v>55001.150699212107</v>
      </c>
      <c r="AD26" s="100">
        <f t="shared" si="129"/>
        <v>1797713.7999686887</v>
      </c>
      <c r="AE26" s="100">
        <f t="shared" si="130"/>
        <v>212625.10460918746</v>
      </c>
      <c r="AF26" s="100">
        <f t="shared" si="131"/>
        <v>199002.47904584539</v>
      </c>
      <c r="AG26" s="100">
        <f t="shared" si="132"/>
        <v>548347.66216637695</v>
      </c>
      <c r="AH26" s="100">
        <f t="shared" si="133"/>
        <v>620915.22813962237</v>
      </c>
      <c r="AI26" s="100">
        <f t="shared" si="134"/>
        <v>59734.782864127861</v>
      </c>
      <c r="AJ26" s="100">
        <f t="shared" si="135"/>
        <v>157070.85665875551</v>
      </c>
      <c r="AK26" s="104">
        <f t="shared" si="136"/>
        <v>2924948.9620515057</v>
      </c>
      <c r="AL26" s="104">
        <f t="shared" si="137"/>
        <v>565225.96247408376</v>
      </c>
      <c r="AM26" s="104">
        <f t="shared" si="138"/>
        <v>535894.98366367479</v>
      </c>
      <c r="AN26" s="104">
        <f t="shared" si="139"/>
        <v>825669.49249768874</v>
      </c>
      <c r="AO26" s="104">
        <f t="shared" si="140"/>
        <v>782520.8196970619</v>
      </c>
      <c r="AP26" s="104">
        <f t="shared" si="141"/>
        <v>64808.710398529678</v>
      </c>
      <c r="AQ26" s="104">
        <f t="shared" si="142"/>
        <v>150812.97226787973</v>
      </c>
    </row>
    <row r="27" spans="1:43" s="42" customFormat="1" x14ac:dyDescent="0.25">
      <c r="A27" s="47">
        <v>43101</v>
      </c>
      <c r="B27" s="94">
        <v>18157337</v>
      </c>
      <c r="C27" s="94">
        <v>2746474</v>
      </c>
      <c r="D27" s="94">
        <v>2594348</v>
      </c>
      <c r="E27" s="94">
        <v>5460378</v>
      </c>
      <c r="F27" s="94">
        <v>5301532</v>
      </c>
      <c r="G27" s="94">
        <v>584446</v>
      </c>
      <c r="H27" s="94">
        <v>1470159</v>
      </c>
      <c r="I27" s="86">
        <v>738942</v>
      </c>
      <c r="J27" s="86">
        <v>94989</v>
      </c>
      <c r="K27" s="86">
        <v>89711</v>
      </c>
      <c r="L27" s="86">
        <v>233086</v>
      </c>
      <c r="M27" s="86">
        <v>213586</v>
      </c>
      <c r="N27" s="86">
        <v>30160</v>
      </c>
      <c r="O27" s="86">
        <v>77410</v>
      </c>
      <c r="P27" s="90">
        <v>558584</v>
      </c>
      <c r="Q27" s="90">
        <v>63593</v>
      </c>
      <c r="R27" s="90">
        <v>59732</v>
      </c>
      <c r="S27" s="90">
        <v>175766</v>
      </c>
      <c r="T27" s="90">
        <v>159225</v>
      </c>
      <c r="U27" s="90">
        <v>27548</v>
      </c>
      <c r="V27" s="90">
        <v>72720</v>
      </c>
      <c r="W27" s="98">
        <v>1030577</v>
      </c>
      <c r="X27" s="98">
        <v>155271</v>
      </c>
      <c r="Y27" s="98">
        <v>146750</v>
      </c>
      <c r="Z27" s="98">
        <v>319925</v>
      </c>
      <c r="AA27" s="98">
        <v>332414</v>
      </c>
      <c r="AB27" s="98">
        <v>20749</v>
      </c>
      <c r="AC27" s="98">
        <v>55468</v>
      </c>
      <c r="AD27" s="102">
        <v>1801993</v>
      </c>
      <c r="AE27" s="102">
        <v>213568</v>
      </c>
      <c r="AF27" s="102">
        <v>199909</v>
      </c>
      <c r="AG27" s="102">
        <v>549056</v>
      </c>
      <c r="AH27" s="102">
        <v>621875</v>
      </c>
      <c r="AI27" s="102">
        <v>59963</v>
      </c>
      <c r="AJ27" s="102">
        <v>157622</v>
      </c>
      <c r="AK27" s="106">
        <v>2929196</v>
      </c>
      <c r="AL27" s="106">
        <v>566429</v>
      </c>
      <c r="AM27" s="106">
        <v>537019</v>
      </c>
      <c r="AN27" s="106">
        <v>826379</v>
      </c>
      <c r="AO27" s="106">
        <v>782885</v>
      </c>
      <c r="AP27" s="106">
        <v>65076</v>
      </c>
      <c r="AQ27" s="106">
        <v>151408</v>
      </c>
    </row>
    <row r="28" spans="1:43" x14ac:dyDescent="0.25">
      <c r="A28" s="48">
        <v>43132</v>
      </c>
      <c r="B28" s="92">
        <f>B27*POWER(B$39/B$27,1/12)</f>
        <v>18177071.108663268</v>
      </c>
      <c r="C28" s="92">
        <f t="shared" ref="C28:H28" si="143">C27*POWER(C$39/C$27,1/12)</f>
        <v>2753029.8267434211</v>
      </c>
      <c r="D28" s="92">
        <f t="shared" si="143"/>
        <v>2600366.0404874426</v>
      </c>
      <c r="E28" s="92">
        <f t="shared" si="143"/>
        <v>5461868.5102212317</v>
      </c>
      <c r="F28" s="92">
        <f t="shared" si="143"/>
        <v>5309126.4616976725</v>
      </c>
      <c r="G28" s="92">
        <f t="shared" si="143"/>
        <v>586431.31825529865</v>
      </c>
      <c r="H28" s="92">
        <f t="shared" si="143"/>
        <v>1466040.4645344871</v>
      </c>
      <c r="I28" s="84">
        <f t="shared" ref="I28:AK28" si="144">I27*POWER(I$39/I$27,1/12)</f>
        <v>738912.41015068465</v>
      </c>
      <c r="J28" s="84">
        <f t="shared" ref="J28" si="145">J27*POWER(J$39/J$27,1/12)</f>
        <v>95074.162140402055</v>
      </c>
      <c r="K28" s="84">
        <f t="shared" ref="K28" si="146">K27*POWER(K$39/K$27,1/12)</f>
        <v>89796.632334765207</v>
      </c>
      <c r="L28" s="84">
        <f t="shared" ref="L28" si="147">L27*POWER(L$39/L$27,1/12)</f>
        <v>232963.47974201653</v>
      </c>
      <c r="M28" s="84">
        <f t="shared" ref="M28" si="148">M27*POWER(M$39/M$27,1/12)</f>
        <v>213753.11232539418</v>
      </c>
      <c r="N28" s="84">
        <f t="shared" ref="N28" si="149">N27*POWER(N$39/N$27,1/12)</f>
        <v>30219.597983745134</v>
      </c>
      <c r="O28" s="84">
        <f t="shared" ref="O28" si="150">O27*POWER(O$39/O$27,1/12)</f>
        <v>77095.918352066568</v>
      </c>
      <c r="P28" s="88">
        <f t="shared" si="144"/>
        <v>558243.94705086097</v>
      </c>
      <c r="Q28" s="88">
        <f t="shared" ref="Q28" si="151">Q27*POWER(Q$39/Q$27,1/12)</f>
        <v>63564.345761316996</v>
      </c>
      <c r="R28" s="88">
        <f t="shared" ref="R28" si="152">R27*POWER(R$39/R$27,1/12)</f>
        <v>59703.843784378463</v>
      </c>
      <c r="S28" s="88">
        <f t="shared" ref="S28" si="153">S27*POWER(S$39/S$27,1/12)</f>
        <v>175575.11392995319</v>
      </c>
      <c r="T28" s="88">
        <f t="shared" ref="T28" si="154">T27*POWER(T$39/T$27,1/12)</f>
        <v>159310.16567737312</v>
      </c>
      <c r="U28" s="88">
        <f t="shared" ref="U28" si="155">U27*POWER(U$39/U$27,1/12)</f>
        <v>27624.245250117776</v>
      </c>
      <c r="V28" s="88">
        <f t="shared" ref="V28" si="156">V27*POWER(V$39/V$27,1/12)</f>
        <v>72459.598841323299</v>
      </c>
      <c r="W28" s="96">
        <f t="shared" si="144"/>
        <v>1034478.6413348942</v>
      </c>
      <c r="X28" s="96">
        <f t="shared" ref="X28" si="157">X27*POWER(X$39/X$27,1/12)</f>
        <v>156244.93781844692</v>
      </c>
      <c r="Y28" s="96">
        <f t="shared" ref="Y28" si="158">Y27*POWER(Y$39/Y$27,1/12)</f>
        <v>147706.69086965959</v>
      </c>
      <c r="Z28" s="96">
        <f t="shared" ref="Z28" si="159">Z27*POWER(Z$39/Z$27,1/12)</f>
        <v>320518.5719977885</v>
      </c>
      <c r="AA28" s="96">
        <f t="shared" ref="AA28" si="160">AA27*POWER(AA$39/AA$27,1/12)</f>
        <v>333433.4604545075</v>
      </c>
      <c r="AB28" s="96">
        <f t="shared" ref="AB28" si="161">AB27*POWER(AB$39/AB$27,1/12)</f>
        <v>20937.762722551146</v>
      </c>
      <c r="AC28" s="96">
        <f t="shared" ref="AC28" si="162">AC27*POWER(AC$39/AC$27,1/12)</f>
        <v>55614.761982885961</v>
      </c>
      <c r="AD28" s="100">
        <f t="shared" si="144"/>
        <v>1806323.8741613857</v>
      </c>
      <c r="AE28" s="100">
        <f t="shared" ref="AE28" si="163">AE27*POWER(AE$39/AE$27,1/12)</f>
        <v>214582.25063139602</v>
      </c>
      <c r="AF28" s="100">
        <f t="shared" ref="AF28" si="164">AF27*POWER(AF$39/AF$27,1/12)</f>
        <v>200833.92970861297</v>
      </c>
      <c r="AG28" s="100">
        <f t="shared" ref="AG28" si="165">AG27*POWER(AG$39/AG$27,1/12)</f>
        <v>549838.09359339846</v>
      </c>
      <c r="AH28" s="100">
        <f t="shared" ref="AH28" si="166">AH27*POWER(AH$39/AH$27,1/12)</f>
        <v>623557.97230547166</v>
      </c>
      <c r="AI28" s="100">
        <f t="shared" ref="AI28" si="167">AI27*POWER(AI$39/AI$27,1/12)</f>
        <v>60186.126405375369</v>
      </c>
      <c r="AJ28" s="100">
        <f t="shared" ref="AJ28" si="168">AJ27*POWER(AJ$39/AJ$27,1/12)</f>
        <v>157292.57285799313</v>
      </c>
      <c r="AK28" s="107">
        <f t="shared" si="144"/>
        <v>2934464.9753816011</v>
      </c>
      <c r="AL28" s="107">
        <f t="shared" ref="AL28" si="169">AL27*POWER(AL$39/AL$27,1/12)</f>
        <v>567782.89217858319</v>
      </c>
      <c r="AM28" s="107">
        <f t="shared" ref="AM28" si="170">AM27*POWER(AM$39/AM$27,1/12)</f>
        <v>538252.9521682699</v>
      </c>
      <c r="AN28" s="107">
        <f t="shared" ref="AN28" si="171">AN27*POWER(AN$39/AN$27,1/12)</f>
        <v>827453.44982935232</v>
      </c>
      <c r="AO28" s="107">
        <f t="shared" ref="AO28" si="172">AO27*POWER(AO$39/AO$27,1/12)</f>
        <v>784622.38640449755</v>
      </c>
      <c r="AP28" s="107">
        <f t="shared" ref="AP28" si="173">AP27*POWER(AP$39/AP$27,1/12)</f>
        <v>65342.099798550124</v>
      </c>
      <c r="AQ28" s="107">
        <f t="shared" ref="AQ28" si="174">AQ27*POWER(AQ$39/AQ$27,1/12)</f>
        <v>150988.49938355089</v>
      </c>
    </row>
    <row r="29" spans="1:43" x14ac:dyDescent="0.25">
      <c r="A29" s="48">
        <v>43160</v>
      </c>
      <c r="B29" s="92">
        <f t="shared" ref="B29:B38" si="175">B28*POWER(B$39/B$27,1/12)</f>
        <v>18196826.665132716</v>
      </c>
      <c r="C29" s="92">
        <f t="shared" ref="C29:C38" si="176">C28*POWER(C$39/C$27,1/12)</f>
        <v>2759601.3022292992</v>
      </c>
      <c r="D29" s="92">
        <f t="shared" ref="D29:D38" si="177">D28*POWER(D$39/D$27,1/12)</f>
        <v>2606398.0408643479</v>
      </c>
      <c r="E29" s="92">
        <f t="shared" ref="E29:E38" si="178">E28*POWER(E$39/E$27,1/12)</f>
        <v>5463359.427304538</v>
      </c>
      <c r="F29" s="92">
        <f t="shared" ref="F29:F38" si="179">F28*POWER(F$39/F$27,1/12)</f>
        <v>5316731.8024862343</v>
      </c>
      <c r="G29" s="92">
        <f t="shared" ref="G29:G38" si="180">G28*POWER(G$39/G$27,1/12)</f>
        <v>588423.38048450567</v>
      </c>
      <c r="H29" s="92">
        <f t="shared" ref="H29:H38" si="181">H28*POWER(H$39/H$27,1/12)</f>
        <v>1461933.466823993</v>
      </c>
      <c r="I29" s="84">
        <f t="shared" ref="I29:I38" si="182">I28*POWER(I$39/I$27,1/12)</f>
        <v>738882.82148625143</v>
      </c>
      <c r="J29" s="84">
        <f t="shared" ref="J29:J38" si="183">J28*POWER(J$39/J$27,1/12)</f>
        <v>95159.400632699151</v>
      </c>
      <c r="K29" s="84">
        <f t="shared" ref="K29:K38" si="184">K28*POWER(K$39/K$27,1/12)</f>
        <v>89882.346408634403</v>
      </c>
      <c r="L29" s="84">
        <f t="shared" ref="L29:L38" si="185">L28*POWER(L$39/L$27,1/12)</f>
        <v>232841.02388607184</v>
      </c>
      <c r="M29" s="84">
        <f t="shared" ref="M29:M38" si="186">M28*POWER(M$39/M$27,1/12)</f>
        <v>213920.35540153651</v>
      </c>
      <c r="N29" s="84">
        <f t="shared" ref="N29:N38" si="187">N28*POWER(N$39/N$27,1/12)</f>
        <v>30279.313736709981</v>
      </c>
      <c r="O29" s="84">
        <f t="shared" ref="O29:O38" si="188">O28*POWER(O$39/O$27,1/12)</f>
        <v>76783.111052170454</v>
      </c>
      <c r="P29" s="88">
        <f t="shared" ref="P29:P38" si="189">P28*POWER(P$39/P$27,1/12)</f>
        <v>557904.10111804935</v>
      </c>
      <c r="Q29" s="88">
        <f t="shared" ref="Q29:Q38" si="190">Q28*POWER(Q$39/Q$27,1/12)</f>
        <v>63535.704433888292</v>
      </c>
      <c r="R29" s="88">
        <f t="shared" ref="R29:R38" si="191">R28*POWER(R$39/R$27,1/12)</f>
        <v>59675.700840913865</v>
      </c>
      <c r="S29" s="88">
        <f t="shared" ref="S29:S38" si="192">S28*POWER(S$39/S$27,1/12)</f>
        <v>175384.43516673331</v>
      </c>
      <c r="T29" s="88">
        <f t="shared" ref="T29:T38" si="193">T28*POWER(T$39/T$27,1/12)</f>
        <v>159395.37690784785</v>
      </c>
      <c r="U29" s="88">
        <f t="shared" ref="U29:U38" si="194">U28*POWER(U$39/U$27,1/12)</f>
        <v>27700.701526014756</v>
      </c>
      <c r="V29" s="88">
        <f t="shared" ref="V29:V38" si="195">V28*POWER(V$39/V$27,1/12)</f>
        <v>72200.130146390278</v>
      </c>
      <c r="W29" s="96">
        <f t="shared" ref="W29:W38" si="196">W28*POWER(W$39/W$27,1/12)</f>
        <v>1038395.0538175107</v>
      </c>
      <c r="X29" s="96">
        <f t="shared" ref="X29:X38" si="197">X28*POWER(X$39/X$27,1/12)</f>
        <v>157224.98466481408</v>
      </c>
      <c r="Y29" s="96">
        <f t="shared" ref="Y29:Y38" si="198">Y28*POWER(Y$39/Y$27,1/12)</f>
        <v>148669.61858715626</v>
      </c>
      <c r="Z29" s="96">
        <f t="shared" ref="Z29:Z38" si="199">Z28*POWER(Z$39/Z$27,1/12)</f>
        <v>321113.24527780426</v>
      </c>
      <c r="AA29" s="96">
        <f t="shared" ref="AA29:AA38" si="200">AA28*POWER(AA$39/AA$27,1/12)</f>
        <v>334456.04743081704</v>
      </c>
      <c r="AB29" s="96">
        <f t="shared" ref="AB29:AB38" si="201">AB28*POWER(AB$39/AB$27,1/12)</f>
        <v>21128.242702099011</v>
      </c>
      <c r="AC29" s="96">
        <f t="shared" ref="AC29:AC38" si="202">AC28*POWER(AC$39/AC$27,1/12)</f>
        <v>55761.912281190191</v>
      </c>
      <c r="AD29" s="100">
        <f t="shared" ref="AD29:AD38" si="203">AD28*POWER(AD$39/AD$27,1/12)</f>
        <v>1810665.1570596541</v>
      </c>
      <c r="AE29" s="100">
        <f t="shared" ref="AE29:AE38" si="204">AE28*POWER(AE$39/AE$27,1/12)</f>
        <v>215601.31801597271</v>
      </c>
      <c r="AF29" s="100">
        <f t="shared" ref="AF29:AF38" si="205">AF28*POWER(AF$39/AF$27,1/12)</f>
        <v>201763.13883919231</v>
      </c>
      <c r="AG29" s="100">
        <f t="shared" ref="AG29:AG38" si="206">AG28*POWER(AG$39/AG$27,1/12)</f>
        <v>550621.30122687446</v>
      </c>
      <c r="AH29" s="100">
        <f t="shared" ref="AH29:AH38" si="207">AH28*POWER(AH$39/AH$27,1/12)</f>
        <v>625245.49921722431</v>
      </c>
      <c r="AI29" s="100">
        <f t="shared" ref="AI29:AI38" si="208">AI28*POWER(AI$39/AI$27,1/12)</f>
        <v>60410.083079295939</v>
      </c>
      <c r="AJ29" s="100">
        <f t="shared" ref="AJ29:AJ38" si="209">AJ28*POWER(AJ$39/AJ$27,1/12)</f>
        <v>156963.83421278169</v>
      </c>
      <c r="AK29" s="107">
        <f t="shared" ref="AK29:AK38" si="210">AK28*POWER(AK$39/AK$27,1/12)</f>
        <v>2939743.4284839053</v>
      </c>
      <c r="AL29" s="107">
        <f t="shared" ref="AL29:AL38" si="211">AL28*POWER(AL$39/AL$27,1/12)</f>
        <v>569140.02046271751</v>
      </c>
      <c r="AM29" s="107">
        <f t="shared" ref="AM29:AM38" si="212">AM28*POWER(AM$39/AM$27,1/12)</f>
        <v>539489.73968864756</v>
      </c>
      <c r="AN29" s="107">
        <f t="shared" ref="AN29:AN38" si="213">AN28*POWER(AN$39/AN$27,1/12)</f>
        <v>828529.29664778081</v>
      </c>
      <c r="AO29" s="107">
        <f t="shared" ref="AO29:AO38" si="214">AO28*POWER(AO$39/AO$27,1/12)</f>
        <v>786363.62843468541</v>
      </c>
      <c r="AP29" s="107">
        <f t="shared" ref="AP29:AP38" si="215">AP28*POWER(AP$39/AP$27,1/12)</f>
        <v>65609.287695674037</v>
      </c>
      <c r="AQ29" s="107">
        <f t="shared" ref="AQ29:AQ38" si="216">AQ28*POWER(AQ$39/AQ$27,1/12)</f>
        <v>150570.16106214037</v>
      </c>
    </row>
    <row r="30" spans="1:43" x14ac:dyDescent="0.25">
      <c r="A30" s="48">
        <v>43191</v>
      </c>
      <c r="B30" s="92">
        <f t="shared" si="175"/>
        <v>18216603.692718666</v>
      </c>
      <c r="C30" s="92">
        <f t="shared" si="176"/>
        <v>2766188.4638111438</v>
      </c>
      <c r="D30" s="92">
        <f t="shared" si="177"/>
        <v>2612444.0335131031</v>
      </c>
      <c r="E30" s="92">
        <f t="shared" si="178"/>
        <v>5464850.7513609789</v>
      </c>
      <c r="F30" s="92">
        <f t="shared" si="179"/>
        <v>5324348.0379500175</v>
      </c>
      <c r="G30" s="92">
        <f t="shared" si="180"/>
        <v>590422.20959638327</v>
      </c>
      <c r="H30" s="92">
        <f t="shared" si="181"/>
        <v>1457837.9745463994</v>
      </c>
      <c r="I30" s="84">
        <f t="shared" si="182"/>
        <v>738853.23400665296</v>
      </c>
      <c r="J30" s="84">
        <f t="shared" si="183"/>
        <v>95244.715545344385</v>
      </c>
      <c r="K30" s="84">
        <f t="shared" si="184"/>
        <v>89968.142299630461</v>
      </c>
      <c r="L30" s="84">
        <f t="shared" si="185"/>
        <v>232718.63239831341</v>
      </c>
      <c r="M30" s="84">
        <f t="shared" si="186"/>
        <v>214087.72933072803</v>
      </c>
      <c r="N30" s="84">
        <f t="shared" si="187"/>
        <v>30339.147491613636</v>
      </c>
      <c r="O30" s="84">
        <f t="shared" si="188"/>
        <v>76471.572929799688</v>
      </c>
      <c r="P30" s="88">
        <f t="shared" si="189"/>
        <v>557564.46207553835</v>
      </c>
      <c r="Q30" s="88">
        <f t="shared" si="190"/>
        <v>63507.076011896228</v>
      </c>
      <c r="R30" s="88">
        <f t="shared" si="191"/>
        <v>59647.571163350025</v>
      </c>
      <c r="S30" s="88">
        <f t="shared" si="192"/>
        <v>175193.96348520016</v>
      </c>
      <c r="T30" s="88">
        <f t="shared" si="193"/>
        <v>159480.63371578947</v>
      </c>
      <c r="U30" s="88">
        <f t="shared" si="194"/>
        <v>27777.369411751974</v>
      </c>
      <c r="V30" s="88">
        <f t="shared" si="195"/>
        <v>71941.590576165734</v>
      </c>
      <c r="W30" s="96">
        <f t="shared" si="196"/>
        <v>1042326.2933696492</v>
      </c>
      <c r="X30" s="96">
        <f t="shared" si="197"/>
        <v>158211.17885799761</v>
      </c>
      <c r="Y30" s="96">
        <f t="shared" si="198"/>
        <v>149638.82381167487</v>
      </c>
      <c r="Z30" s="96">
        <f t="shared" si="199"/>
        <v>321709.02188330836</v>
      </c>
      <c r="AA30" s="96">
        <f t="shared" si="200"/>
        <v>335481.77051746985</v>
      </c>
      <c r="AB30" s="96">
        <f t="shared" si="201"/>
        <v>21320.45556128112</v>
      </c>
      <c r="AC30" s="96">
        <f t="shared" si="202"/>
        <v>55909.451922350869</v>
      </c>
      <c r="AD30" s="100">
        <f t="shared" si="203"/>
        <v>1815016.8737109569</v>
      </c>
      <c r="AE30" s="100">
        <f t="shared" si="204"/>
        <v>216625.22502885625</v>
      </c>
      <c r="AF30" s="100">
        <f t="shared" si="205"/>
        <v>202696.6471915695</v>
      </c>
      <c r="AG30" s="100">
        <f t="shared" si="206"/>
        <v>551405.62448730378</v>
      </c>
      <c r="AH30" s="100">
        <f t="shared" si="207"/>
        <v>626937.59306133026</v>
      </c>
      <c r="AI30" s="100">
        <f t="shared" si="208"/>
        <v>60634.873111247485</v>
      </c>
      <c r="AJ30" s="100">
        <f t="shared" si="209"/>
        <v>156635.78262541979</v>
      </c>
      <c r="AK30" s="107">
        <f t="shared" si="210"/>
        <v>2945031.3763552341</v>
      </c>
      <c r="AL30" s="107">
        <f t="shared" si="211"/>
        <v>570500.39258742006</v>
      </c>
      <c r="AM30" s="107">
        <f t="shared" si="212"/>
        <v>540729.36907615187</v>
      </c>
      <c r="AN30" s="107">
        <f t="shared" si="213"/>
        <v>829606.54227163701</v>
      </c>
      <c r="AO30" s="107">
        <f t="shared" si="214"/>
        <v>788108.73464700754</v>
      </c>
      <c r="AP30" s="107">
        <f t="shared" si="215"/>
        <v>65877.568140674281</v>
      </c>
      <c r="AQ30" s="107">
        <f t="shared" si="216"/>
        <v>150152.98181544</v>
      </c>
    </row>
    <row r="31" spans="1:43" x14ac:dyDescent="0.25">
      <c r="A31" s="48">
        <v>43221</v>
      </c>
      <c r="B31" s="92">
        <f t="shared" si="175"/>
        <v>18236402.214756772</v>
      </c>
      <c r="C31" s="92">
        <f t="shared" si="176"/>
        <v>2772791.3489316278</v>
      </c>
      <c r="D31" s="92">
        <f t="shared" si="177"/>
        <v>2618504.0508912113</v>
      </c>
      <c r="E31" s="92">
        <f t="shared" si="178"/>
        <v>5466342.4825016456</v>
      </c>
      <c r="F31" s="92">
        <f t="shared" si="179"/>
        <v>5331975.1836956795</v>
      </c>
      <c r="G31" s="92">
        <f t="shared" si="180"/>
        <v>592427.82857751322</v>
      </c>
      <c r="H31" s="92">
        <f t="shared" si="181"/>
        <v>1453753.9554701357</v>
      </c>
      <c r="I31" s="84">
        <f t="shared" si="182"/>
        <v>738823.64771184174</v>
      </c>
      <c r="J31" s="84">
        <f t="shared" si="183"/>
        <v>95330.106946852204</v>
      </c>
      <c r="K31" s="84">
        <f t="shared" si="184"/>
        <v>90054.020085850731</v>
      </c>
      <c r="L31" s="84">
        <f t="shared" si="185"/>
        <v>232596.30524490649</v>
      </c>
      <c r="M31" s="84">
        <f t="shared" si="186"/>
        <v>214255.23421534977</v>
      </c>
      <c r="N31" s="84">
        <f t="shared" si="187"/>
        <v>30399.099481635069</v>
      </c>
      <c r="O31" s="84">
        <f t="shared" si="188"/>
        <v>76161.29883542101</v>
      </c>
      <c r="P31" s="88">
        <f t="shared" si="189"/>
        <v>557225.029797378</v>
      </c>
      <c r="Q31" s="88">
        <f t="shared" si="190"/>
        <v>63478.460489525773</v>
      </c>
      <c r="R31" s="88">
        <f t="shared" si="191"/>
        <v>59619.45474543373</v>
      </c>
      <c r="S31" s="88">
        <f t="shared" si="192"/>
        <v>175003.69866045812</v>
      </c>
      <c r="T31" s="88">
        <f t="shared" si="193"/>
        <v>159565.93612557626</v>
      </c>
      <c r="U31" s="88">
        <f t="shared" si="194"/>
        <v>27854.249493006977</v>
      </c>
      <c r="V31" s="88">
        <f t="shared" si="195"/>
        <v>71683.976803571146</v>
      </c>
      <c r="W31" s="96">
        <f t="shared" si="196"/>
        <v>1046272.4161248225</v>
      </c>
      <c r="X31" s="96">
        <f t="shared" si="197"/>
        <v>159203.5589572491</v>
      </c>
      <c r="Y31" s="96">
        <f t="shared" si="198"/>
        <v>150614.34746746518</v>
      </c>
      <c r="Z31" s="96">
        <f t="shared" si="199"/>
        <v>322305.90386135277</v>
      </c>
      <c r="AA31" s="96">
        <f t="shared" si="200"/>
        <v>336510.63933241362</v>
      </c>
      <c r="AB31" s="96">
        <f t="shared" si="201"/>
        <v>21514.417064860962</v>
      </c>
      <c r="AC31" s="96">
        <f t="shared" si="202"/>
        <v>56057.381936524653</v>
      </c>
      <c r="AD31" s="100">
        <f t="shared" si="203"/>
        <v>1819379.0491915685</v>
      </c>
      <c r="AE31" s="100">
        <f t="shared" si="204"/>
        <v>217653.99465380859</v>
      </c>
      <c r="AF31" s="100">
        <f t="shared" si="205"/>
        <v>203634.47465718497</v>
      </c>
      <c r="AG31" s="100">
        <f t="shared" si="206"/>
        <v>552191.06496382237</v>
      </c>
      <c r="AH31" s="100">
        <f t="shared" si="207"/>
        <v>628634.26619721984</v>
      </c>
      <c r="AI31" s="100">
        <f t="shared" si="208"/>
        <v>60860.499602211989</v>
      </c>
      <c r="AJ31" s="100">
        <f t="shared" si="209"/>
        <v>156308.41665996888</v>
      </c>
      <c r="AK31" s="107">
        <f t="shared" si="210"/>
        <v>2950328.8360745762</v>
      </c>
      <c r="AL31" s="107">
        <f t="shared" si="211"/>
        <v>571864.01630619634</v>
      </c>
      <c r="AM31" s="107">
        <f t="shared" si="212"/>
        <v>541971.84686077165</v>
      </c>
      <c r="AN31" s="107">
        <f t="shared" si="213"/>
        <v>830685.18851963384</v>
      </c>
      <c r="AO31" s="107">
        <f t="shared" si="214"/>
        <v>789857.71361689642</v>
      </c>
      <c r="AP31" s="107">
        <f t="shared" si="215"/>
        <v>66146.945601046857</v>
      </c>
      <c r="AQ31" s="107">
        <f t="shared" si="216"/>
        <v>149736.95843204384</v>
      </c>
    </row>
    <row r="32" spans="1:43" x14ac:dyDescent="0.25">
      <c r="A32" s="48">
        <v>43252</v>
      </c>
      <c r="B32" s="92">
        <f t="shared" si="175"/>
        <v>18256222.25460805</v>
      </c>
      <c r="C32" s="92">
        <f t="shared" si="176"/>
        <v>2779409.9951228001</v>
      </c>
      <c r="D32" s="92">
        <f t="shared" si="177"/>
        <v>2624578.1255314662</v>
      </c>
      <c r="E32" s="92">
        <f t="shared" si="178"/>
        <v>5467834.6208376586</v>
      </c>
      <c r="F32" s="92">
        <f t="shared" si="179"/>
        <v>5339613.2553522345</v>
      </c>
      <c r="G32" s="92">
        <f t="shared" si="180"/>
        <v>594440.2604925608</v>
      </c>
      <c r="H32" s="92">
        <f t="shared" si="181"/>
        <v>1449681.3774539256</v>
      </c>
      <c r="I32" s="84">
        <f t="shared" si="182"/>
        <v>738794.06260177039</v>
      </c>
      <c r="J32" s="84">
        <f t="shared" si="183"/>
        <v>95415.574905798509</v>
      </c>
      <c r="K32" s="84">
        <f t="shared" si="184"/>
        <v>90139.979845467111</v>
      </c>
      <c r="L32" s="84">
        <f t="shared" si="185"/>
        <v>232474.04239203411</v>
      </c>
      <c r="M32" s="84">
        <f t="shared" si="186"/>
        <v>214422.87015786287</v>
      </c>
      <c r="N32" s="84">
        <f t="shared" si="187"/>
        <v>30459.16994041402</v>
      </c>
      <c r="O32" s="84">
        <f t="shared" si="188"/>
        <v>75852.283640394788</v>
      </c>
      <c r="P32" s="88">
        <f t="shared" si="189"/>
        <v>556885.80415769503</v>
      </c>
      <c r="Q32" s="88">
        <f t="shared" si="190"/>
        <v>63449.857860964512</v>
      </c>
      <c r="R32" s="88">
        <f t="shared" si="191"/>
        <v>59591.351580914699</v>
      </c>
      <c r="S32" s="88">
        <f t="shared" si="192"/>
        <v>174813.64046785576</v>
      </c>
      <c r="T32" s="88">
        <f t="shared" si="193"/>
        <v>159651.28416159959</v>
      </c>
      <c r="U32" s="88">
        <f t="shared" si="194"/>
        <v>27931.342357078316</v>
      </c>
      <c r="V32" s="88">
        <f t="shared" si="195"/>
        <v>71427.285513441835</v>
      </c>
      <c r="W32" s="96">
        <f t="shared" si="196"/>
        <v>1050233.4784290581</v>
      </c>
      <c r="X32" s="96">
        <f t="shared" si="197"/>
        <v>160202.16376368309</v>
      </c>
      <c r="Y32" s="96">
        <f t="shared" si="198"/>
        <v>151596.23074556986</v>
      </c>
      <c r="Z32" s="96">
        <f t="shared" si="199"/>
        <v>322903.89326278755</v>
      </c>
      <c r="AA32" s="96">
        <f t="shared" si="200"/>
        <v>337542.66352309281</v>
      </c>
      <c r="AB32" s="96">
        <f t="shared" si="201"/>
        <v>21710.143121020967</v>
      </c>
      <c r="AC32" s="96">
        <f t="shared" si="202"/>
        <v>56205.703356593884</v>
      </c>
      <c r="AD32" s="100">
        <f t="shared" si="203"/>
        <v>1823751.7086380315</v>
      </c>
      <c r="AE32" s="100">
        <f t="shared" si="204"/>
        <v>218687.64998374329</v>
      </c>
      <c r="AF32" s="100">
        <f t="shared" si="205"/>
        <v>204576.64121951195</v>
      </c>
      <c r="AG32" s="100">
        <f t="shared" si="206"/>
        <v>552977.62424783001</v>
      </c>
      <c r="AH32" s="100">
        <f t="shared" si="207"/>
        <v>630335.53101777134</v>
      </c>
      <c r="AI32" s="100">
        <f t="shared" si="208"/>
        <v>61086.965664710377</v>
      </c>
      <c r="AJ32" s="100">
        <f t="shared" si="209"/>
        <v>155981.73488349153</v>
      </c>
      <c r="AK32" s="107">
        <f t="shared" si="210"/>
        <v>2955635.8247516416</v>
      </c>
      <c r="AL32" s="107">
        <f t="shared" si="211"/>
        <v>573230.89939108444</v>
      </c>
      <c r="AM32" s="107">
        <f t="shared" si="212"/>
        <v>543217.17958750029</v>
      </c>
      <c r="AN32" s="107">
        <f t="shared" si="213"/>
        <v>831765.23721284897</v>
      </c>
      <c r="AO32" s="107">
        <f t="shared" si="214"/>
        <v>791610.57393881539</v>
      </c>
      <c r="AP32" s="107">
        <f t="shared" si="215"/>
        <v>66417.424562555621</v>
      </c>
      <c r="AQ32" s="107">
        <f t="shared" si="216"/>
        <v>149322.08770944361</v>
      </c>
    </row>
    <row r="33" spans="1:45" x14ac:dyDescent="0.25">
      <c r="A33" s="48">
        <v>43282</v>
      </c>
      <c r="B33" s="92">
        <f t="shared" si="175"/>
        <v>18276063.835658904</v>
      </c>
      <c r="C33" s="92">
        <f t="shared" si="176"/>
        <v>2786044.4400062975</v>
      </c>
      <c r="D33" s="92">
        <f t="shared" si="177"/>
        <v>2630666.290042127</v>
      </c>
      <c r="E33" s="92">
        <f t="shared" si="178"/>
        <v>5469327.1664801696</v>
      </c>
      <c r="F33" s="92">
        <f t="shared" si="179"/>
        <v>5347262.2685710844</v>
      </c>
      <c r="G33" s="92">
        <f t="shared" si="180"/>
        <v>596459.52848454018</v>
      </c>
      <c r="H33" s="92">
        <f t="shared" si="181"/>
        <v>1445620.2084465341</v>
      </c>
      <c r="I33" s="84">
        <f t="shared" si="182"/>
        <v>738764.4786763913</v>
      </c>
      <c r="J33" s="84">
        <f t="shared" si="183"/>
        <v>95501.119490820667</v>
      </c>
      <c r="K33" s="84">
        <f t="shared" si="184"/>
        <v>90226.021656726109</v>
      </c>
      <c r="L33" s="84">
        <f t="shared" si="185"/>
        <v>232351.84380589708</v>
      </c>
      <c r="M33" s="84">
        <f t="shared" si="186"/>
        <v>214590.63726080864</v>
      </c>
      <c r="N33" s="84">
        <f t="shared" si="187"/>
        <v>30519.35910205192</v>
      </c>
      <c r="O33" s="84">
        <f t="shared" si="188"/>
        <v>75544.522236890203</v>
      </c>
      <c r="P33" s="88">
        <f t="shared" si="189"/>
        <v>556546.7850306927</v>
      </c>
      <c r="Q33" s="88">
        <f t="shared" si="190"/>
        <v>63421.268120402645</v>
      </c>
      <c r="R33" s="88">
        <f t="shared" si="191"/>
        <v>59563.2616635456</v>
      </c>
      <c r="S33" s="88">
        <f t="shared" si="192"/>
        <v>174623.78868298564</v>
      </c>
      <c r="T33" s="88">
        <f t="shared" si="193"/>
        <v>159736.67784826382</v>
      </c>
      <c r="U33" s="88">
        <f t="shared" si="194"/>
        <v>28008.648592890015</v>
      </c>
      <c r="V33" s="88">
        <f t="shared" si="195"/>
        <v>71171.513402484299</v>
      </c>
      <c r="W33" s="96">
        <f t="shared" si="196"/>
        <v>1054209.5368417033</v>
      </c>
      <c r="X33" s="96">
        <f t="shared" si="197"/>
        <v>161207.03232179425</v>
      </c>
      <c r="Y33" s="96">
        <f t="shared" si="198"/>
        <v>152584.51510556368</v>
      </c>
      <c r="Z33" s="96">
        <f t="shared" si="199"/>
        <v>323502.9921422677</v>
      </c>
      <c r="AA33" s="96">
        <f t="shared" si="200"/>
        <v>338577.85276653903</v>
      </c>
      <c r="AB33" s="96">
        <f t="shared" si="201"/>
        <v>21907.64978266726</v>
      </c>
      <c r="AC33" s="96">
        <f t="shared" si="202"/>
        <v>56354.417218173781</v>
      </c>
      <c r="AD33" s="100">
        <f t="shared" si="203"/>
        <v>1828134.8772473009</v>
      </c>
      <c r="AE33" s="100">
        <f t="shared" si="204"/>
        <v>219726.21422124389</v>
      </c>
      <c r="AF33" s="100">
        <f t="shared" si="205"/>
        <v>205523.16695448227</v>
      </c>
      <c r="AG33" s="100">
        <f t="shared" si="206"/>
        <v>553765.30393299309</v>
      </c>
      <c r="AH33" s="100">
        <f t="shared" si="207"/>
        <v>632041.39994940185</v>
      </c>
      <c r="AI33" s="100">
        <f t="shared" si="208"/>
        <v>61314.274422845483</v>
      </c>
      <c r="AJ33" s="100">
        <f t="shared" si="209"/>
        <v>155655.73586604508</v>
      </c>
      <c r="AK33" s="107">
        <f t="shared" si="210"/>
        <v>2960952.3595269159</v>
      </c>
      <c r="AL33" s="107">
        <f t="shared" si="211"/>
        <v>574601.04963269946</v>
      </c>
      <c r="AM33" s="107">
        <f t="shared" si="212"/>
        <v>544465.37381637015</v>
      </c>
      <c r="AN33" s="107">
        <f t="shared" si="213"/>
        <v>832846.69017472793</v>
      </c>
      <c r="AO33" s="107">
        <f t="shared" si="214"/>
        <v>793367.32422630058</v>
      </c>
      <c r="AP33" s="107">
        <f t="shared" si="215"/>
        <v>66689.009529307019</v>
      </c>
      <c r="AQ33" s="107">
        <f t="shared" si="216"/>
        <v>148908.36645400416</v>
      </c>
    </row>
    <row r="34" spans="1:45" x14ac:dyDescent="0.25">
      <c r="A34" s="48">
        <v>43313</v>
      </c>
      <c r="B34" s="92">
        <f t="shared" si="175"/>
        <v>18295926.981321163</v>
      </c>
      <c r="C34" s="92">
        <f t="shared" si="176"/>
        <v>2792694.7212935602</v>
      </c>
      <c r="D34" s="92">
        <f t="shared" si="177"/>
        <v>2636768.5771070942</v>
      </c>
      <c r="E34" s="92">
        <f t="shared" si="178"/>
        <v>5470820.1195403608</v>
      </c>
      <c r="F34" s="92">
        <f t="shared" si="179"/>
        <v>5354922.2390260538</v>
      </c>
      <c r="G34" s="92">
        <f t="shared" si="180"/>
        <v>598485.65577508067</v>
      </c>
      <c r="H34" s="92">
        <f t="shared" si="181"/>
        <v>1441570.4164865154</v>
      </c>
      <c r="I34" s="84">
        <f t="shared" si="182"/>
        <v>738734.8959356572</v>
      </c>
      <c r="J34" s="84">
        <f t="shared" si="183"/>
        <v>95586.740770617602</v>
      </c>
      <c r="K34" s="84">
        <f t="shared" si="184"/>
        <v>90312.14559794894</v>
      </c>
      <c r="L34" s="84">
        <f t="shared" si="185"/>
        <v>232229.70945271399</v>
      </c>
      <c r="M34" s="84">
        <f t="shared" si="186"/>
        <v>214758.53562680862</v>
      </c>
      <c r="N34" s="84">
        <f t="shared" si="187"/>
        <v>30579.667201112796</v>
      </c>
      <c r="O34" s="84">
        <f t="shared" si="188"/>
        <v>75238.009537800855</v>
      </c>
      <c r="P34" s="88">
        <f t="shared" si="189"/>
        <v>556207.97229065083</v>
      </c>
      <c r="Q34" s="88">
        <f t="shared" si="190"/>
        <v>63392.691262033004</v>
      </c>
      <c r="R34" s="88">
        <f t="shared" si="191"/>
        <v>59535.184987082052</v>
      </c>
      <c r="S34" s="88">
        <f t="shared" si="192"/>
        <v>174434.14308168404</v>
      </c>
      <c r="T34" s="88">
        <f t="shared" si="193"/>
        <v>159822.11720998643</v>
      </c>
      <c r="U34" s="88">
        <f t="shared" si="194"/>
        <v>28086.168790996075</v>
      </c>
      <c r="V34" s="88">
        <f t="shared" si="195"/>
        <v>70916.657179233734</v>
      </c>
      <c r="W34" s="96">
        <f t="shared" si="196"/>
        <v>1058200.6481362318</v>
      </c>
      <c r="X34" s="96">
        <f t="shared" si="197"/>
        <v>162218.203920984</v>
      </c>
      <c r="Y34" s="96">
        <f t="shared" si="198"/>
        <v>153579.24227730426</v>
      </c>
      <c r="Z34" s="96">
        <f t="shared" si="199"/>
        <v>324103.20255826035</v>
      </c>
      <c r="AA34" s="96">
        <f t="shared" si="200"/>
        <v>339616.21676946175</v>
      </c>
      <c r="AB34" s="96">
        <f t="shared" si="201"/>
        <v>22106.953248746264</v>
      </c>
      <c r="AC34" s="96">
        <f t="shared" si="202"/>
        <v>56503.524559619698</v>
      </c>
      <c r="AD34" s="100">
        <f t="shared" si="203"/>
        <v>1832528.58027689</v>
      </c>
      <c r="AE34" s="100">
        <f t="shared" si="204"/>
        <v>220769.71067908473</v>
      </c>
      <c r="AF34" s="100">
        <f t="shared" si="205"/>
        <v>206474.07203091416</v>
      </c>
      <c r="AG34" s="100">
        <f t="shared" si="206"/>
        <v>554554.10561524832</v>
      </c>
      <c r="AH34" s="100">
        <f t="shared" si="207"/>
        <v>633751.88545215782</v>
      </c>
      <c r="AI34" s="100">
        <f t="shared" si="208"/>
        <v>61542.42901234515</v>
      </c>
      <c r="AJ34" s="100">
        <f t="shared" si="209"/>
        <v>155330.41818067548</v>
      </c>
      <c r="AK34" s="107">
        <f t="shared" si="210"/>
        <v>2966278.4575717174</v>
      </c>
      <c r="AL34" s="107">
        <f t="shared" si="211"/>
        <v>575974.47484027781</v>
      </c>
      <c r="AM34" s="107">
        <f t="shared" si="212"/>
        <v>545716.43612248707</v>
      </c>
      <c r="AN34" s="107">
        <f t="shared" si="213"/>
        <v>833929.54923108697</v>
      </c>
      <c r="AO34" s="107">
        <f t="shared" si="214"/>
        <v>795127.9731120033</v>
      </c>
      <c r="AP34" s="107">
        <f t="shared" si="215"/>
        <v>66961.705023825052</v>
      </c>
      <c r="AQ34" s="107">
        <f t="shared" si="216"/>
        <v>148495.79148093879</v>
      </c>
    </row>
    <row r="35" spans="1:45" x14ac:dyDescent="0.25">
      <c r="A35" s="48">
        <v>43344</v>
      </c>
      <c r="B35" s="92">
        <f t="shared" si="175"/>
        <v>18315811.715032093</v>
      </c>
      <c r="C35" s="92">
        <f t="shared" si="176"/>
        <v>2799360.8767860453</v>
      </c>
      <c r="D35" s="92">
        <f t="shared" si="177"/>
        <v>2642885.0194860836</v>
      </c>
      <c r="E35" s="92">
        <f t="shared" si="178"/>
        <v>5472313.480129444</v>
      </c>
      <c r="F35" s="92">
        <f t="shared" si="179"/>
        <v>5362593.1824134178</v>
      </c>
      <c r="G35" s="92">
        <f t="shared" si="180"/>
        <v>600518.66566469346</v>
      </c>
      <c r="H35" s="92">
        <f t="shared" si="181"/>
        <v>1437531.9697019609</v>
      </c>
      <c r="I35" s="84">
        <f t="shared" si="182"/>
        <v>738705.3143795206</v>
      </c>
      <c r="J35" s="84">
        <f t="shared" si="183"/>
        <v>95672.438813949804</v>
      </c>
      <c r="K35" s="84">
        <f t="shared" si="184"/>
        <v>90398.351747531575</v>
      </c>
      <c r="L35" s="84">
        <f t="shared" si="185"/>
        <v>232107.63929872113</v>
      </c>
      <c r="M35" s="84">
        <f t="shared" si="186"/>
        <v>214926.56535856464</v>
      </c>
      <c r="N35" s="84">
        <f t="shared" si="187"/>
        <v>30640.094472624187</v>
      </c>
      <c r="O35" s="84">
        <f t="shared" si="188"/>
        <v>74932.740476660649</v>
      </c>
      <c r="P35" s="88">
        <f t="shared" si="189"/>
        <v>555869.36581192596</v>
      </c>
      <c r="Q35" s="88">
        <f t="shared" si="190"/>
        <v>63364.12728005102</v>
      </c>
      <c r="R35" s="88">
        <f t="shared" si="191"/>
        <v>59507.121545282607</v>
      </c>
      <c r="S35" s="88">
        <f t="shared" si="192"/>
        <v>174244.70344003069</v>
      </c>
      <c r="T35" s="88">
        <f t="shared" si="193"/>
        <v>159907.60227119792</v>
      </c>
      <c r="U35" s="88">
        <f t="shared" si="194"/>
        <v>28163.903543584995</v>
      </c>
      <c r="V35" s="88">
        <f t="shared" si="195"/>
        <v>70662.713564011632</v>
      </c>
      <c r="W35" s="96">
        <f t="shared" si="196"/>
        <v>1062206.8693010553</v>
      </c>
      <c r="X35" s="96">
        <f t="shared" si="197"/>
        <v>163235.71809709663</v>
      </c>
      <c r="Y35" s="96">
        <f t="shared" si="198"/>
        <v>154580.45426269394</v>
      </c>
      <c r="Z35" s="96">
        <f t="shared" si="199"/>
        <v>324704.52657305181</v>
      </c>
      <c r="AA35" s="96">
        <f t="shared" si="200"/>
        <v>340657.76526833937</v>
      </c>
      <c r="AB35" s="96">
        <f t="shared" si="201"/>
        <v>22308.069865573303</v>
      </c>
      <c r="AC35" s="96">
        <f t="shared" si="202"/>
        <v>56653.026422034338</v>
      </c>
      <c r="AD35" s="100">
        <f t="shared" si="203"/>
        <v>1836932.8430450149</v>
      </c>
      <c r="AE35" s="100">
        <f t="shared" si="204"/>
        <v>221818.16278075436</v>
      </c>
      <c r="AF35" s="100">
        <f t="shared" si="205"/>
        <v>207429.37671094202</v>
      </c>
      <c r="AG35" s="100">
        <f t="shared" si="206"/>
        <v>555344.03089280566</v>
      </c>
      <c r="AH35" s="100">
        <f t="shared" si="207"/>
        <v>635467.00001980644</v>
      </c>
      <c r="AI35" s="100">
        <f t="shared" si="208"/>
        <v>61771.432580605469</v>
      </c>
      <c r="AJ35" s="100">
        <f t="shared" si="209"/>
        <v>155005.78040341093</v>
      </c>
      <c r="AK35" s="107">
        <f t="shared" si="210"/>
        <v>2971614.1360882521</v>
      </c>
      <c r="AL35" s="107">
        <f t="shared" si="211"/>
        <v>577351.18284172157</v>
      </c>
      <c r="AM35" s="107">
        <f t="shared" si="212"/>
        <v>546970.37309606501</v>
      </c>
      <c r="AN35" s="107">
        <f t="shared" si="213"/>
        <v>835013.81621011626</v>
      </c>
      <c r="AO35" s="107">
        <f t="shared" si="214"/>
        <v>796892.52924773272</v>
      </c>
      <c r="AP35" s="107">
        <f t="shared" si="215"/>
        <v>67235.515587126618</v>
      </c>
      <c r="AQ35" s="107">
        <f t="shared" si="216"/>
        <v>148084.35961428477</v>
      </c>
    </row>
    <row r="36" spans="1:45" x14ac:dyDescent="0.25">
      <c r="A36" s="48">
        <v>43374</v>
      </c>
      <c r="B36" s="92">
        <f t="shared" si="175"/>
        <v>18335718.060254436</v>
      </c>
      <c r="C36" s="92">
        <f t="shared" si="176"/>
        <v>2806042.9443754423</v>
      </c>
      <c r="D36" s="92">
        <f t="shared" si="177"/>
        <v>2649015.6500148033</v>
      </c>
      <c r="E36" s="92">
        <f t="shared" si="178"/>
        <v>5473807.2483586613</v>
      </c>
      <c r="F36" s="92">
        <f t="shared" si="179"/>
        <v>5370275.1144519383</v>
      </c>
      <c r="G36" s="92">
        <f t="shared" si="180"/>
        <v>602558.58153304004</v>
      </c>
      <c r="H36" s="92">
        <f t="shared" si="181"/>
        <v>1433504.8363102488</v>
      </c>
      <c r="I36" s="84">
        <f t="shared" si="182"/>
        <v>738675.73400793399</v>
      </c>
      <c r="J36" s="84">
        <f t="shared" si="183"/>
        <v>95758.213689639422</v>
      </c>
      <c r="K36" s="84">
        <f t="shared" si="184"/>
        <v>90484.640183944808</v>
      </c>
      <c r="L36" s="84">
        <f t="shared" si="185"/>
        <v>231985.63331017262</v>
      </c>
      <c r="M36" s="84">
        <f t="shared" si="186"/>
        <v>215094.72655885891</v>
      </c>
      <c r="N36" s="84">
        <f t="shared" si="187"/>
        <v>30700.64115207806</v>
      </c>
      <c r="O36" s="84">
        <f t="shared" si="188"/>
        <v>74628.710007560047</v>
      </c>
      <c r="P36" s="88">
        <f t="shared" si="189"/>
        <v>555530.96546895092</v>
      </c>
      <c r="Q36" s="88">
        <f t="shared" si="190"/>
        <v>63335.576168654756</v>
      </c>
      <c r="R36" s="88">
        <f t="shared" si="191"/>
        <v>59479.071331908774</v>
      </c>
      <c r="S36" s="88">
        <f t="shared" si="192"/>
        <v>174055.46953434849</v>
      </c>
      <c r="T36" s="88">
        <f t="shared" si="193"/>
        <v>159993.13305634185</v>
      </c>
      <c r="U36" s="88">
        <f t="shared" si="194"/>
        <v>28241.853444484281</v>
      </c>
      <c r="V36" s="88">
        <f t="shared" si="195"/>
        <v>70409.679288883621</v>
      </c>
      <c r="W36" s="96">
        <f t="shared" si="196"/>
        <v>1066228.2575403366</v>
      </c>
      <c r="X36" s="96">
        <f t="shared" si="197"/>
        <v>164259.6146339651</v>
      </c>
      <c r="Y36" s="96">
        <f t="shared" si="198"/>
        <v>155588.19333745338</v>
      </c>
      <c r="Z36" s="96">
        <f t="shared" si="199"/>
        <v>325306.96625275468</v>
      </c>
      <c r="AA36" s="96">
        <f t="shared" si="200"/>
        <v>341702.50802951056</v>
      </c>
      <c r="AB36" s="96">
        <f t="shared" si="201"/>
        <v>22511.016128173273</v>
      </c>
      <c r="AC36" s="96">
        <f t="shared" si="202"/>
        <v>56802.923849275066</v>
      </c>
      <c r="AD36" s="100">
        <f t="shared" si="203"/>
        <v>1841347.6909307416</v>
      </c>
      <c r="AE36" s="100">
        <f t="shared" si="204"/>
        <v>222871.59406098121</v>
      </c>
      <c r="AF36" s="100">
        <f t="shared" si="205"/>
        <v>208389.10135044809</v>
      </c>
      <c r="AG36" s="100">
        <f t="shared" si="206"/>
        <v>556135.08136615145</v>
      </c>
      <c r="AH36" s="100">
        <f t="shared" si="207"/>
        <v>637186.75617992622</v>
      </c>
      <c r="AI36" s="100">
        <f t="shared" si="208"/>
        <v>62001.288286734205</v>
      </c>
      <c r="AJ36" s="100">
        <f t="shared" si="209"/>
        <v>154681.82111325575</v>
      </c>
      <c r="AK36" s="107">
        <f t="shared" si="210"/>
        <v>2976959.412309668</v>
      </c>
      <c r="AL36" s="107">
        <f t="shared" si="211"/>
        <v>578731.18148364336</v>
      </c>
      <c r="AM36" s="107">
        <f t="shared" si="212"/>
        <v>548227.19134246092</v>
      </c>
      <c r="AN36" s="107">
        <f t="shared" si="213"/>
        <v>836099.49294238293</v>
      </c>
      <c r="AO36" s="107">
        <f t="shared" si="214"/>
        <v>798661.00130449794</v>
      </c>
      <c r="AP36" s="107">
        <f t="shared" si="215"/>
        <v>67510.44577879709</v>
      </c>
      <c r="AQ36" s="107">
        <f t="shared" si="216"/>
        <v>147674.06768687893</v>
      </c>
    </row>
    <row r="37" spans="1:45" x14ac:dyDescent="0.25">
      <c r="A37" s="48">
        <v>43405</v>
      </c>
      <c r="B37" s="92">
        <f t="shared" si="175"/>
        <v>18355646.04047643</v>
      </c>
      <c r="C37" s="92">
        <f t="shared" si="176"/>
        <v>2812740.9620438875</v>
      </c>
      <c r="D37" s="92">
        <f t="shared" si="177"/>
        <v>2655160.5016051289</v>
      </c>
      <c r="E37" s="92">
        <f t="shared" si="178"/>
        <v>5475301.4243392861</v>
      </c>
      <c r="F37" s="92">
        <f t="shared" si="179"/>
        <v>5377968.0508828927</v>
      </c>
      <c r="G37" s="92">
        <f t="shared" si="180"/>
        <v>604605.42683920078</v>
      </c>
      <c r="H37" s="92">
        <f t="shared" si="181"/>
        <v>1429488.9846177937</v>
      </c>
      <c r="I37" s="84">
        <f t="shared" si="182"/>
        <v>738646.15482085012</v>
      </c>
      <c r="J37" s="84">
        <f t="shared" si="183"/>
        <v>95844.065466570304</v>
      </c>
      <c r="K37" s="84">
        <f t="shared" si="184"/>
        <v>90571.010985734349</v>
      </c>
      <c r="L37" s="84">
        <f t="shared" si="185"/>
        <v>231863.69145334029</v>
      </c>
      <c r="M37" s="84">
        <f t="shared" si="186"/>
        <v>215263.01933055403</v>
      </c>
      <c r="N37" s="84">
        <f t="shared" si="187"/>
        <v>30761.307475431731</v>
      </c>
      <c r="O37" s="84">
        <f t="shared" si="188"/>
        <v>74325.913105062689</v>
      </c>
      <c r="P37" s="88">
        <f t="shared" si="189"/>
        <v>555192.7711362351</v>
      </c>
      <c r="Q37" s="88">
        <f t="shared" si="190"/>
        <v>63307.037922044874</v>
      </c>
      <c r="R37" s="88">
        <f t="shared" si="191"/>
        <v>59451.034340724982</v>
      </c>
      <c r="S37" s="88">
        <f t="shared" si="192"/>
        <v>173866.44114120328</v>
      </c>
      <c r="T37" s="88">
        <f t="shared" si="193"/>
        <v>160078.70958987487</v>
      </c>
      <c r="U37" s="88">
        <f t="shared" si="194"/>
        <v>28320.019089164995</v>
      </c>
      <c r="V37" s="88">
        <f t="shared" si="195"/>
        <v>70157.551097617383</v>
      </c>
      <c r="W37" s="96">
        <f t="shared" si="196"/>
        <v>1070264.8702748064</v>
      </c>
      <c r="X37" s="96">
        <f t="shared" si="197"/>
        <v>165289.93356496663</v>
      </c>
      <c r="Y37" s="96">
        <f t="shared" si="198"/>
        <v>156602.5020529067</v>
      </c>
      <c r="Z37" s="96">
        <f t="shared" si="199"/>
        <v>325910.52366731485</v>
      </c>
      <c r="AA37" s="96">
        <f t="shared" si="200"/>
        <v>342750.45484926581</v>
      </c>
      <c r="AB37" s="96">
        <f t="shared" si="201"/>
        <v>22715.808681633524</v>
      </c>
      <c r="AC37" s="96">
        <f t="shared" si="202"/>
        <v>56953.217887961153</v>
      </c>
      <c r="AD37" s="100">
        <f t="shared" si="203"/>
        <v>1845773.1493741311</v>
      </c>
      <c r="AE37" s="100">
        <f t="shared" si="204"/>
        <v>223930.02816626191</v>
      </c>
      <c r="AF37" s="100">
        <f t="shared" si="205"/>
        <v>209353.26639949635</v>
      </c>
      <c r="AG37" s="100">
        <f t="shared" si="206"/>
        <v>556927.25863805192</v>
      </c>
      <c r="AH37" s="100">
        <f t="shared" si="207"/>
        <v>638911.16649399919</v>
      </c>
      <c r="AI37" s="100">
        <f t="shared" si="208"/>
        <v>62231.999301594384</v>
      </c>
      <c r="AJ37" s="100">
        <f t="shared" si="209"/>
        <v>154358.53889218406</v>
      </c>
      <c r="AK37" s="107">
        <f t="shared" si="210"/>
        <v>2982314.3035001126</v>
      </c>
      <c r="AL37" s="107">
        <f t="shared" si="211"/>
        <v>580114.47863141098</v>
      </c>
      <c r="AM37" s="107">
        <f t="shared" si="212"/>
        <v>549486.89748220937</v>
      </c>
      <c r="AN37" s="107">
        <f t="shared" si="213"/>
        <v>837186.58126083424</v>
      </c>
      <c r="AO37" s="107">
        <f t="shared" si="214"/>
        <v>800433.39797255117</v>
      </c>
      <c r="AP37" s="107">
        <f t="shared" si="215"/>
        <v>67786.500177066293</v>
      </c>
      <c r="AQ37" s="107">
        <f t="shared" si="216"/>
        <v>147264.91254033323</v>
      </c>
    </row>
    <row r="38" spans="1:45" x14ac:dyDescent="0.25">
      <c r="A38" s="48">
        <v>43435</v>
      </c>
      <c r="B38" s="92">
        <f t="shared" si="175"/>
        <v>18375595.679211847</v>
      </c>
      <c r="C38" s="92">
        <f t="shared" si="176"/>
        <v>2819454.9678641804</v>
      </c>
      <c r="D38" s="92">
        <f t="shared" si="177"/>
        <v>2661319.6072452813</v>
      </c>
      <c r="E38" s="92">
        <f t="shared" si="178"/>
        <v>5476796.0081826216</v>
      </c>
      <c r="F38" s="92">
        <f t="shared" si="179"/>
        <v>5385672.0074701086</v>
      </c>
      <c r="G38" s="92">
        <f t="shared" si="180"/>
        <v>606659.22512194468</v>
      </c>
      <c r="H38" s="92">
        <f t="shared" si="181"/>
        <v>1425484.3830197975</v>
      </c>
      <c r="I38" s="84">
        <f t="shared" si="182"/>
        <v>738616.57681822137</v>
      </c>
      <c r="J38" s="84">
        <f t="shared" si="183"/>
        <v>95929.994213688056</v>
      </c>
      <c r="K38" s="84">
        <f t="shared" si="184"/>
        <v>90657.464231520862</v>
      </c>
      <c r="L38" s="84">
        <f t="shared" si="185"/>
        <v>231741.81369451366</v>
      </c>
      <c r="M38" s="84">
        <f t="shared" si="186"/>
        <v>215431.44377659311</v>
      </c>
      <c r="N38" s="84">
        <f t="shared" si="187"/>
        <v>30822.093679108781</v>
      </c>
      <c r="O38" s="84">
        <f t="shared" si="188"/>
        <v>74024.344764122303</v>
      </c>
      <c r="P38" s="88">
        <f t="shared" si="189"/>
        <v>554854.78268836415</v>
      </c>
      <c r="Q38" s="88">
        <f t="shared" si="190"/>
        <v>63278.512534424663</v>
      </c>
      <c r="R38" s="88">
        <f t="shared" si="191"/>
        <v>59423.010565498626</v>
      </c>
      <c r="S38" s="88">
        <f t="shared" si="192"/>
        <v>173677.61803740353</v>
      </c>
      <c r="T38" s="88">
        <f t="shared" si="193"/>
        <v>160164.3318962667</v>
      </c>
      <c r="U38" s="88">
        <f t="shared" si="194"/>
        <v>28398.401074746293</v>
      </c>
      <c r="V38" s="88">
        <f t="shared" si="195"/>
        <v>69906.325745640759</v>
      </c>
      <c r="W38" s="96">
        <f t="shared" si="196"/>
        <v>1074316.7651425838</v>
      </c>
      <c r="X38" s="96">
        <f t="shared" si="197"/>
        <v>166326.71517458788</v>
      </c>
      <c r="Y38" s="96">
        <f t="shared" si="198"/>
        <v>157623.42323777798</v>
      </c>
      <c r="Z38" s="96">
        <f t="shared" si="199"/>
        <v>326515.20089051872</v>
      </c>
      <c r="AA38" s="96">
        <f t="shared" si="200"/>
        <v>343801.61555393913</v>
      </c>
      <c r="AB38" s="96">
        <f t="shared" si="201"/>
        <v>22922.464322469037</v>
      </c>
      <c r="AC38" s="96">
        <f t="shared" si="202"/>
        <v>57103.909587481117</v>
      </c>
      <c r="AD38" s="100">
        <f t="shared" si="203"/>
        <v>1850209.2438763871</v>
      </c>
      <c r="AE38" s="100">
        <f t="shared" si="204"/>
        <v>224993.48885539212</v>
      </c>
      <c r="AF38" s="100">
        <f t="shared" si="205"/>
        <v>210321.89240276814</v>
      </c>
      <c r="AG38" s="100">
        <f t="shared" si="206"/>
        <v>557720.56431355642</v>
      </c>
      <c r="AH38" s="100">
        <f t="shared" si="207"/>
        <v>640640.24355750228</v>
      </c>
      <c r="AI38" s="100">
        <f t="shared" si="208"/>
        <v>62463.568807848031</v>
      </c>
      <c r="AJ38" s="100">
        <f t="shared" si="209"/>
        <v>154035.93232513373</v>
      </c>
      <c r="AK38" s="107">
        <f t="shared" si="210"/>
        <v>2987678.8269547871</v>
      </c>
      <c r="AL38" s="107">
        <f t="shared" si="211"/>
        <v>581501.08216919226</v>
      </c>
      <c r="AM38" s="107">
        <f t="shared" si="212"/>
        <v>550749.4981510574</v>
      </c>
      <c r="AN38" s="107">
        <f t="shared" si="213"/>
        <v>838275.08300080069</v>
      </c>
      <c r="AO38" s="107">
        <f t="shared" si="214"/>
        <v>802209.72796142986</v>
      </c>
      <c r="AP38" s="107">
        <f t="shared" si="215"/>
        <v>68063.6833788847</v>
      </c>
      <c r="AQ38" s="107">
        <f t="shared" si="216"/>
        <v>146856.89102501044</v>
      </c>
    </row>
    <row r="39" spans="1:45" s="42" customFormat="1" x14ac:dyDescent="0.25">
      <c r="A39" s="47">
        <v>43466</v>
      </c>
      <c r="B39" s="94">
        <v>18395567</v>
      </c>
      <c r="C39" s="94">
        <v>2826185</v>
      </c>
      <c r="D39" s="94">
        <v>2667493</v>
      </c>
      <c r="E39" s="94">
        <v>5478291</v>
      </c>
      <c r="F39" s="94">
        <v>5393387</v>
      </c>
      <c r="G39" s="94">
        <v>608720</v>
      </c>
      <c r="H39" s="94">
        <v>1421491</v>
      </c>
      <c r="I39" s="86">
        <v>738587</v>
      </c>
      <c r="J39" s="86">
        <v>96016</v>
      </c>
      <c r="K39" s="86">
        <v>90744</v>
      </c>
      <c r="L39" s="86">
        <v>231620</v>
      </c>
      <c r="M39" s="86">
        <v>215600</v>
      </c>
      <c r="N39" s="86">
        <v>30883</v>
      </c>
      <c r="O39" s="86">
        <v>73724</v>
      </c>
      <c r="P39" s="90">
        <v>554517</v>
      </c>
      <c r="Q39" s="90">
        <v>63250</v>
      </c>
      <c r="R39" s="90">
        <v>59395</v>
      </c>
      <c r="S39" s="90">
        <v>173489</v>
      </c>
      <c r="T39" s="90">
        <v>160250</v>
      </c>
      <c r="U39" s="90">
        <v>28477</v>
      </c>
      <c r="V39" s="90">
        <v>69656</v>
      </c>
      <c r="W39" s="98">
        <v>1078384</v>
      </c>
      <c r="X39" s="98">
        <v>167370</v>
      </c>
      <c r="Y39" s="98">
        <v>158651</v>
      </c>
      <c r="Z39" s="98">
        <v>327121</v>
      </c>
      <c r="AA39" s="98">
        <v>344856</v>
      </c>
      <c r="AB39" s="98">
        <v>23131</v>
      </c>
      <c r="AC39" s="98">
        <v>57255</v>
      </c>
      <c r="AD39" s="102">
        <v>1854656</v>
      </c>
      <c r="AE39" s="102">
        <v>226062</v>
      </c>
      <c r="AF39" s="102">
        <v>211295</v>
      </c>
      <c r="AG39" s="102">
        <v>558515</v>
      </c>
      <c r="AH39" s="102">
        <v>642374</v>
      </c>
      <c r="AI39" s="102">
        <v>62696</v>
      </c>
      <c r="AJ39" s="102">
        <v>153714</v>
      </c>
      <c r="AK39" s="106">
        <v>2993053</v>
      </c>
      <c r="AL39" s="106">
        <v>582891</v>
      </c>
      <c r="AM39" s="106">
        <v>552015</v>
      </c>
      <c r="AN39" s="106">
        <v>839365</v>
      </c>
      <c r="AO39" s="106">
        <v>803990</v>
      </c>
      <c r="AP39" s="106">
        <v>68342</v>
      </c>
      <c r="AQ39" s="106">
        <v>146450</v>
      </c>
    </row>
    <row r="40" spans="1:45" x14ac:dyDescent="0.25">
      <c r="A40" s="48">
        <v>43497</v>
      </c>
      <c r="B40" s="92">
        <f>B39*POWER(B$51/B$39,1/12)</f>
        <v>18415136.426282249</v>
      </c>
      <c r="C40" s="92">
        <f t="shared" ref="C40:H40" si="217">C39*POWER(C$51/C$39,1/12)</f>
        <v>2832369.1131341518</v>
      </c>
      <c r="D40" s="92">
        <f t="shared" si="217"/>
        <v>2673092.399427149</v>
      </c>
      <c r="E40" s="92">
        <f t="shared" si="217"/>
        <v>5479850.721974385</v>
      </c>
      <c r="F40" s="92">
        <f t="shared" si="217"/>
        <v>5392071.2359779757</v>
      </c>
      <c r="G40" s="92">
        <f t="shared" si="217"/>
        <v>610932.16074095643</v>
      </c>
      <c r="H40" s="92">
        <f t="shared" si="217"/>
        <v>1426642.7268756635</v>
      </c>
      <c r="I40" s="84">
        <f t="shared" ref="I40:AD40" si="218">I39*POWER(I$51/I$39,1/12)</f>
        <v>738432.48901186022</v>
      </c>
      <c r="J40" s="84">
        <f t="shared" ref="J40" si="219">J39*POWER(J$51/J$39,1/12)</f>
        <v>96021.248421823111</v>
      </c>
      <c r="K40" s="84">
        <f t="shared" ref="K40" si="220">K39*POWER(K$51/K$39,1/12)</f>
        <v>90752.66211750776</v>
      </c>
      <c r="L40" s="84">
        <f t="shared" ref="L40" si="221">L39*POWER(L$51/L$39,1/12)</f>
        <v>231478.35790357381</v>
      </c>
      <c r="M40" s="84">
        <f t="shared" ref="M40" si="222">M39*POWER(M$51/M$39,1/12)</f>
        <v>215317.30351090487</v>
      </c>
      <c r="N40" s="84">
        <f t="shared" ref="N40" si="223">N39*POWER(N$51/N$39,1/12)</f>
        <v>30945.711517613301</v>
      </c>
      <c r="O40" s="84">
        <f t="shared" ref="O40" si="224">O39*POWER(O$51/O$39,1/12)</f>
        <v>73911.520963716262</v>
      </c>
      <c r="P40" s="88">
        <f t="shared" si="218"/>
        <v>554034.531216576</v>
      </c>
      <c r="Q40" s="88">
        <f t="shared" ref="Q40" si="225">Q39*POWER(Q$51/Q$39,1/12)</f>
        <v>63201.378287798958</v>
      </c>
      <c r="R40" s="88">
        <f t="shared" ref="R40" si="226">R39*POWER(R$51/R$39,1/12)</f>
        <v>59351.659817792686</v>
      </c>
      <c r="S40" s="88">
        <f t="shared" ref="S40" si="227">S39*POWER(S$51/S$39,1/12)</f>
        <v>173234.96406881002</v>
      </c>
      <c r="T40" s="88">
        <f t="shared" ref="T40" si="228">T39*POWER(T$51/T$39,1/12)</f>
        <v>159891.11222716598</v>
      </c>
      <c r="U40" s="88">
        <f t="shared" ref="U40" si="229">U39*POWER(U$51/U$39,1/12)</f>
        <v>28554.010838616701</v>
      </c>
      <c r="V40" s="88">
        <f t="shared" ref="V40" si="230">V39*POWER(V$51/V$39,1/12)</f>
        <v>69794.23122777103</v>
      </c>
      <c r="W40" s="96">
        <f t="shared" si="218"/>
        <v>1083084.0156808856</v>
      </c>
      <c r="X40" s="96">
        <f t="shared" ref="X40" si="231">X39*POWER(X$51/X$39,1/12)</f>
        <v>168439.90397578198</v>
      </c>
      <c r="Y40" s="96">
        <f t="shared" ref="Y40" si="232">Y39*POWER(Y$51/Y$39,1/12)</f>
        <v>159664.92367500905</v>
      </c>
      <c r="Z40" s="96">
        <f t="shared" ref="Z40" si="233">Z39*POWER(Z$51/Z$39,1/12)</f>
        <v>328065.27961282013</v>
      </c>
      <c r="AA40" s="96">
        <f t="shared" ref="AA40" si="234">AA39*POWER(AA$51/AA$39,1/12)</f>
        <v>345740.41775896848</v>
      </c>
      <c r="AB40" s="96">
        <f t="shared" ref="AB40" si="235">AB39*POWER(AB$51/AB$39,1/12)</f>
        <v>23345.016174162462</v>
      </c>
      <c r="AC40" s="96">
        <f t="shared" ref="AC40" si="236">AC39*POWER(AC$51/AC$39,1/12)</f>
        <v>57799.587604416425</v>
      </c>
      <c r="AD40" s="100">
        <f t="shared" si="218"/>
        <v>1859758.5766547122</v>
      </c>
      <c r="AE40" s="100">
        <f t="shared" ref="AE40" si="237">AE39*POWER(AE$51/AE$39,1/12)</f>
        <v>227209.73538793257</v>
      </c>
      <c r="AF40" s="100">
        <f t="shared" ref="AF40" si="238">AF39*POWER(AF$51/AF$39,1/12)</f>
        <v>212268.60952640008</v>
      </c>
      <c r="AG40" s="100">
        <f t="shared" ref="AG40" si="239">AG39*POWER(AG$51/AG$39,1/12)</f>
        <v>559758.33011930913</v>
      </c>
      <c r="AH40" s="100">
        <f t="shared" ref="AH40" si="240">AH39*POWER(AH$51/AH$39,1/12)</f>
        <v>643203.17134827294</v>
      </c>
      <c r="AI40" s="100">
        <f t="shared" ref="AI40" si="241">AI39*POWER(AI$51/AI$39,1/12)</f>
        <v>62951.367513646517</v>
      </c>
      <c r="AJ40" s="100">
        <f t="shared" ref="AJ40" si="242">AJ39*POWER(AJ$51/AJ$39,1/12)</f>
        <v>154346.08980914799</v>
      </c>
      <c r="AK40" s="104">
        <f>(AK39*POWER(AK$51/AK$39,1/12))+1011476.76569405</f>
        <v>4009577.3498959932</v>
      </c>
      <c r="AL40" s="104">
        <f>(AL39*POWER(AL$51/AL$39,1/12))+180254.735793072</f>
        <v>764479.08226947929</v>
      </c>
      <c r="AM40" s="104">
        <f>(AM39*POWER(AM$51/AM$39,1/12))+169760.729274175</f>
        <v>722963.89534456772</v>
      </c>
      <c r="AN40" s="104">
        <f>(AN39*POWER(AN$51/AN$39,1/12))+283394.773555549</f>
        <v>1123762.1633475665</v>
      </c>
      <c r="AO40" s="104">
        <f>(AO39*POWER(AO$51/AO$39,1/12))+303612.06735357</f>
        <v>1108118.7372778466</v>
      </c>
      <c r="AP40" s="104">
        <f>(AP39*POWER(AP$51/AP$39,1/12))+22221.7601481566</f>
        <v>90881.428412035151</v>
      </c>
      <c r="AQ40" s="104">
        <f>(AQ39*POWER(AQ$51/AQ$39,1/12))+52216.5084630651</f>
        <v>199337.98081895287</v>
      </c>
      <c r="AR40" s="75"/>
      <c r="AS40" s="75"/>
    </row>
    <row r="41" spans="1:45" x14ac:dyDescent="0.25">
      <c r="A41" s="48">
        <v>43525</v>
      </c>
      <c r="B41" s="92">
        <f t="shared" ref="B41:B50" si="243">B40*POWER(B$51/B$39,1/12)</f>
        <v>18434726.670756459</v>
      </c>
      <c r="C41" s="92">
        <f t="shared" ref="C41:C50" si="244">C40*POWER(C$51/C$39,1/12)</f>
        <v>2838566.7580276388</v>
      </c>
      <c r="D41" s="92">
        <f t="shared" ref="D41:D50" si="245">D40*POWER(D$51/D$39,1/12)</f>
        <v>2678703.5526898075</v>
      </c>
      <c r="E41" s="92">
        <f t="shared" ref="E41:E50" si="246">E40*POWER(E$51/E$39,1/12)</f>
        <v>5481410.8880165713</v>
      </c>
      <c r="F41" s="92">
        <f t="shared" ref="F41:F50" si="247">F40*POWER(F$51/F$39,1/12)</f>
        <v>5390755.7929481147</v>
      </c>
      <c r="G41" s="92">
        <f t="shared" ref="G41:G50" si="248">G40*POWER(G$51/G$39,1/12)</f>
        <v>613152.36073665041</v>
      </c>
      <c r="H41" s="92">
        <f t="shared" ref="H41:H50" si="249">H40*POWER(H$51/H$39,1/12)</f>
        <v>1431813.1244919798</v>
      </c>
      <c r="I41" s="84">
        <f t="shared" ref="I41:I50" si="250">I40*POWER(I$51/I$39,1/12)</f>
        <v>738278.01034712361</v>
      </c>
      <c r="J41" s="84">
        <f t="shared" ref="J41:J50" si="251">J40*POWER(J$51/J$39,1/12)</f>
        <v>96026.497130535194</v>
      </c>
      <c r="K41" s="84">
        <f t="shared" ref="K41:K50" si="252">K40*POWER(K$51/K$39,1/12)</f>
        <v>90761.325061872165</v>
      </c>
      <c r="L41" s="84">
        <f t="shared" ref="L41:L50" si="253">L40*POWER(L$51/L$39,1/12)</f>
        <v>231336.80242524401</v>
      </c>
      <c r="M41" s="84">
        <f t="shared" ref="M41:M50" si="254">M40*POWER(M$51/M$39,1/12)</f>
        <v>215034.97769576591</v>
      </c>
      <c r="N41" s="84">
        <f t="shared" ref="N41:N50" si="255">N40*POWER(N$51/N$39,1/12)</f>
        <v>31008.550378245138</v>
      </c>
      <c r="O41" s="84">
        <f t="shared" ref="O41:O50" si="256">O40*POWER(O$51/O$39,1/12)</f>
        <v>74099.518897100919</v>
      </c>
      <c r="P41" s="88">
        <f t="shared" ref="P41:P50" si="257">P40*POWER(P$51/P$39,1/12)</f>
        <v>553552.48221492069</v>
      </c>
      <c r="Q41" s="88">
        <f t="shared" ref="Q41:Q50" si="258">Q40*POWER(Q$51/Q$39,1/12)</f>
        <v>63152.793952212895</v>
      </c>
      <c r="R41" s="88">
        <f t="shared" ref="R41:R50" si="259">R40*POWER(R$51/R$39,1/12)</f>
        <v>59308.351260661453</v>
      </c>
      <c r="S41" s="88">
        <f t="shared" ref="S41:S50" si="260">S40*POWER(S$51/S$39,1/12)</f>
        <v>172981.3001165601</v>
      </c>
      <c r="T41" s="88">
        <f t="shared" ref="T41:T50" si="261">T40*POWER(T$51/T$39,1/12)</f>
        <v>159533.0282011868</v>
      </c>
      <c r="U41" s="88">
        <f t="shared" ref="U41:U50" si="262">U40*POWER(U$51/U$39,1/12)</f>
        <v>28631.229938962671</v>
      </c>
      <c r="V41" s="88">
        <f t="shared" ref="V41:V50" si="263">V40*POWER(V$51/V$39,1/12)</f>
        <v>69932.736773222248</v>
      </c>
      <c r="W41" s="96">
        <f t="shared" ref="W41:W50" si="264">W40*POWER(W$51/W$39,1/12)</f>
        <v>1087804.515852825</v>
      </c>
      <c r="X41" s="96">
        <f t="shared" ref="X41:X50" si="265">X40*POWER(X$51/X$39,1/12)</f>
        <v>169516.64725680024</v>
      </c>
      <c r="Y41" s="96">
        <f t="shared" ref="Y41:Y50" si="266">Y40*POWER(Y$51/Y$39,1/12)</f>
        <v>160685.32724121792</v>
      </c>
      <c r="Z41" s="96">
        <f t="shared" ref="Z41:Z50" si="267">Z40*POWER(Z$51/Z$39,1/12)</f>
        <v>329012.28501819767</v>
      </c>
      <c r="AA41" s="96">
        <f t="shared" ref="AA41:AA50" si="268">AA40*POWER(AA$51/AA$39,1/12)</f>
        <v>346627.10369587905</v>
      </c>
      <c r="AB41" s="96">
        <f t="shared" ref="AB41:AB50" si="269">AB40*POWER(AB$51/AB$39,1/12)</f>
        <v>23561.012501487479</v>
      </c>
      <c r="AC41" s="96">
        <f t="shared" ref="AC41:AC50" si="270">AC40*POWER(AC$51/AC$39,1/12)</f>
        <v>58349.355117292973</v>
      </c>
      <c r="AD41" s="100">
        <f t="shared" ref="AD41:AD50" si="271">AD40*POWER(AD$51/AD$39,1/12)</f>
        <v>1864875.1916478102</v>
      </c>
      <c r="AE41" s="100">
        <f t="shared" ref="AE41:AE50" si="272">AE40*POWER(AE$51/AE$39,1/12)</f>
        <v>228363.29792293414</v>
      </c>
      <c r="AF41" s="100">
        <f t="shared" ref="AF41:AF50" si="273">AF40*POWER(AF$51/AF$39,1/12)</f>
        <v>213246.70527116736</v>
      </c>
      <c r="AG41" s="100">
        <f t="shared" ref="AG41:AG50" si="274">AG40*POWER(AG$51/AG$39,1/12)</f>
        <v>561004.42806004756</v>
      </c>
      <c r="AH41" s="100">
        <f t="shared" ref="AH41:AH50" si="275">AH40*POWER(AH$51/AH$39,1/12)</f>
        <v>644033.41298445407</v>
      </c>
      <c r="AI41" s="100">
        <f t="shared" ref="AI41:AI50" si="276">AI40*POWER(AI$51/AI$39,1/12)</f>
        <v>63207.775166488929</v>
      </c>
      <c r="AJ41" s="100">
        <f t="shared" ref="AJ41:AJ50" si="277">AJ40*POWER(AJ$51/AJ$39,1/12)</f>
        <v>154980.77884495605</v>
      </c>
      <c r="AK41" s="104">
        <f>(AK40*POWER(AK$51/AK$39,1/12))+1013873.19568291</f>
        <v>5030212.4302791841</v>
      </c>
      <c r="AL41" s="104">
        <f>(AL40*POWER(AL$51/AL$39,1/12))+180981.389151902</f>
        <v>947209.19543776056</v>
      </c>
      <c r="AM41" s="104">
        <f>(AM40*POWER(AM$51/AM$39,1/12))+170442.183104646</f>
        <v>894962.1977042472</v>
      </c>
      <c r="AN41" s="104">
        <f>(AN40*POWER(AN$51/AN$39,1/12))+283851.281295971</f>
        <v>1408955.4683414469</v>
      </c>
      <c r="AO41" s="104">
        <f>(AO40*POWER(AO$51/AO$39,1/12))+303733.183002819</f>
        <v>1412564.0331478394</v>
      </c>
      <c r="AP41" s="104">
        <f>(AP40*POWER(AP$51/AP$39,1/12))+22341.158398507</f>
        <v>113645.02316860098</v>
      </c>
      <c r="AQ41" s="104">
        <f>(AQ40*POWER(AQ$51/AQ$39,1/12))+52494.4889501992</f>
        <v>252746.43319420103</v>
      </c>
      <c r="AR41" s="75"/>
      <c r="AS41" s="75"/>
    </row>
    <row r="42" spans="1:45" x14ac:dyDescent="0.25">
      <c r="A42" s="48">
        <v>43556</v>
      </c>
      <c r="B42" s="92">
        <f t="shared" si="243"/>
        <v>18454337.755569272</v>
      </c>
      <c r="C42" s="92">
        <f t="shared" si="244"/>
        <v>2844777.9642899628</v>
      </c>
      <c r="D42" s="92">
        <f t="shared" si="245"/>
        <v>2684326.4844607376</v>
      </c>
      <c r="E42" s="92">
        <f t="shared" si="246"/>
        <v>5482971.4982529888</v>
      </c>
      <c r="F42" s="92">
        <f t="shared" si="247"/>
        <v>5389440.6708321078</v>
      </c>
      <c r="G42" s="92">
        <f t="shared" si="248"/>
        <v>615380.62920268788</v>
      </c>
      <c r="H42" s="92">
        <f t="shared" si="249"/>
        <v>1437002.2605149115</v>
      </c>
      <c r="I42" s="84">
        <f t="shared" si="250"/>
        <v>738123.56399902829</v>
      </c>
      <c r="J42" s="84">
        <f t="shared" si="251"/>
        <v>96031.746126151935</v>
      </c>
      <c r="K42" s="84">
        <f t="shared" si="252"/>
        <v>90769.988833172145</v>
      </c>
      <c r="L42" s="84">
        <f t="shared" si="253"/>
        <v>231195.33351204116</v>
      </c>
      <c r="M42" s="84">
        <f t="shared" si="254"/>
        <v>214753.02206855235</v>
      </c>
      <c r="N42" s="84">
        <f t="shared" si="255"/>
        <v>31071.516840480293</v>
      </c>
      <c r="O42" s="84">
        <f t="shared" si="256"/>
        <v>74287.995013352003</v>
      </c>
      <c r="P42" s="88">
        <f t="shared" si="257"/>
        <v>553070.85262979427</v>
      </c>
      <c r="Q42" s="88">
        <f t="shared" si="258"/>
        <v>63104.246964509555</v>
      </c>
      <c r="R42" s="88">
        <f t="shared" si="259"/>
        <v>59265.07430552967</v>
      </c>
      <c r="S42" s="88">
        <f t="shared" si="260"/>
        <v>172728.00759857011</v>
      </c>
      <c r="T42" s="88">
        <f t="shared" si="261"/>
        <v>159175.74612203179</v>
      </c>
      <c r="U42" s="88">
        <f t="shared" si="262"/>
        <v>28708.657864243673</v>
      </c>
      <c r="V42" s="88">
        <f t="shared" si="263"/>
        <v>70071.517180732742</v>
      </c>
      <c r="W42" s="96">
        <f t="shared" si="264"/>
        <v>1092545.5897951743</v>
      </c>
      <c r="X42" s="96">
        <f t="shared" si="265"/>
        <v>170600.27356295596</v>
      </c>
      <c r="Y42" s="96">
        <f t="shared" si="266"/>
        <v>161712.25211100411</v>
      </c>
      <c r="Z42" s="96">
        <f t="shared" si="267"/>
        <v>329962.02408450661</v>
      </c>
      <c r="AA42" s="96">
        <f t="shared" si="268"/>
        <v>347516.06362770119</v>
      </c>
      <c r="AB42" s="96">
        <f t="shared" si="269"/>
        <v>23779.007303050847</v>
      </c>
      <c r="AC42" s="96">
        <f t="shared" si="270"/>
        <v>58904.351807932566</v>
      </c>
      <c r="AD42" s="100">
        <f t="shared" si="271"/>
        <v>1870005.8836019267</v>
      </c>
      <c r="AE42" s="100">
        <f t="shared" si="272"/>
        <v>229522.71718991018</v>
      </c>
      <c r="AF42" s="100">
        <f t="shared" si="273"/>
        <v>214229.30790599278</v>
      </c>
      <c r="AG42" s="100">
        <f t="shared" si="274"/>
        <v>562253.29998376104</v>
      </c>
      <c r="AH42" s="100">
        <f t="shared" si="275"/>
        <v>644864.72629006288</v>
      </c>
      <c r="AI42" s="100">
        <f t="shared" si="276"/>
        <v>63465.22719512543</v>
      </c>
      <c r="AJ42" s="100">
        <f t="shared" si="277"/>
        <v>155618.07779574592</v>
      </c>
      <c r="AK42" s="104">
        <f>(AK41*POWER(AK$51/AK$39,1/12))+1016275.30338667</f>
        <v>6054970.8513371777</v>
      </c>
      <c r="AL42" s="104">
        <f>(AL41*POWER(AL$51/AL$39,1/12))+181710.971837951</f>
        <v>1131086.8811950514</v>
      </c>
      <c r="AM42" s="104">
        <f>(AM41*POWER(AM$51/AM$39,1/12))+171126.372428331</f>
        <v>1068014.9013329924</v>
      </c>
      <c r="AN42" s="104">
        <f>(AN41*POWER(AN$51/AN$39,1/12))+284308.524403932</f>
        <v>1694946.601120607</v>
      </c>
      <c r="AO42" s="104">
        <f>(AO41*POWER(AO$51/AO$39,1/12))+303854.346967014</f>
        <v>1717326.139355693</v>
      </c>
      <c r="AP42" s="104">
        <f>(AP41*POWER(AP$51/AP$39,1/12))+22461.1981795954</f>
        <v>136634.46777365083</v>
      </c>
      <c r="AQ42" s="104">
        <f>(AQ41*POWER(AQ$51/AQ$39,1/12))+52773.949297889</f>
        <v>306679.2233452081</v>
      </c>
      <c r="AR42" s="75"/>
      <c r="AS42" s="75"/>
    </row>
    <row r="43" spans="1:45" x14ac:dyDescent="0.25">
      <c r="A43" s="48">
        <v>43586</v>
      </c>
      <c r="B43" s="92">
        <f t="shared" si="243"/>
        <v>18473969.702890892</v>
      </c>
      <c r="C43" s="92">
        <f t="shared" si="244"/>
        <v>2851002.7615954159</v>
      </c>
      <c r="D43" s="92">
        <f t="shared" si="245"/>
        <v>2689961.2194644921</v>
      </c>
      <c r="E43" s="92">
        <f t="shared" si="246"/>
        <v>5484532.5528101046</v>
      </c>
      <c r="F43" s="92">
        <f t="shared" si="247"/>
        <v>5388125.8695516661</v>
      </c>
      <c r="G43" s="92">
        <f t="shared" si="248"/>
        <v>617616.99546084797</v>
      </c>
      <c r="H43" s="92">
        <f t="shared" si="249"/>
        <v>1442210.2028556536</v>
      </c>
      <c r="I43" s="84">
        <f t="shared" si="250"/>
        <v>737969.14996081369</v>
      </c>
      <c r="J43" s="84">
        <f t="shared" si="251"/>
        <v>96036.995408689007</v>
      </c>
      <c r="K43" s="84">
        <f t="shared" si="252"/>
        <v>90778.653431486644</v>
      </c>
      <c r="L43" s="84">
        <f t="shared" si="253"/>
        <v>231053.95111102832</v>
      </c>
      <c r="M43" s="84">
        <f t="shared" si="254"/>
        <v>214471.43614387079</v>
      </c>
      <c r="N43" s="84">
        <f t="shared" si="255"/>
        <v>31134.611163428639</v>
      </c>
      <c r="O43" s="84">
        <f t="shared" si="256"/>
        <v>74476.950528753398</v>
      </c>
      <c r="P43" s="88">
        <f t="shared" si="257"/>
        <v>552589.64209627488</v>
      </c>
      <c r="Q43" s="88">
        <f t="shared" si="258"/>
        <v>63055.737295978775</v>
      </c>
      <c r="R43" s="88">
        <f t="shared" si="259"/>
        <v>59221.828929337542</v>
      </c>
      <c r="S43" s="88">
        <f t="shared" si="260"/>
        <v>172475.08597095744</v>
      </c>
      <c r="T43" s="88">
        <f t="shared" si="261"/>
        <v>158819.2641937015</v>
      </c>
      <c r="U43" s="88">
        <f t="shared" si="262"/>
        <v>28786.295179188553</v>
      </c>
      <c r="V43" s="88">
        <f t="shared" si="263"/>
        <v>70210.572995761904</v>
      </c>
      <c r="W43" s="96">
        <f t="shared" si="264"/>
        <v>1097307.3271764037</v>
      </c>
      <c r="X43" s="96">
        <f t="shared" si="265"/>
        <v>171690.82689362756</v>
      </c>
      <c r="Y43" s="96">
        <f t="shared" si="266"/>
        <v>162745.7399614077</v>
      </c>
      <c r="Z43" s="96">
        <f t="shared" si="267"/>
        <v>330914.50470283395</v>
      </c>
      <c r="AA43" s="96">
        <f t="shared" si="268"/>
        <v>348407.30338632269</v>
      </c>
      <c r="AB43" s="96">
        <f t="shared" si="269"/>
        <v>23999.019069441412</v>
      </c>
      <c r="AC43" s="96">
        <f t="shared" si="270"/>
        <v>59464.627414268856</v>
      </c>
      <c r="AD43" s="100">
        <f t="shared" si="271"/>
        <v>1875150.6912459545</v>
      </c>
      <c r="AE43" s="100">
        <f t="shared" si="272"/>
        <v>230688.02292397118</v>
      </c>
      <c r="AF43" s="100">
        <f t="shared" si="273"/>
        <v>215216.43819781879</v>
      </c>
      <c r="AG43" s="100">
        <f t="shared" si="274"/>
        <v>563504.95206571184</v>
      </c>
      <c r="AH43" s="100">
        <f t="shared" si="275"/>
        <v>645697.11264840176</v>
      </c>
      <c r="AI43" s="100">
        <f t="shared" si="276"/>
        <v>63723.727853410332</v>
      </c>
      <c r="AJ43" s="100">
        <f t="shared" si="277"/>
        <v>156257.99739379092</v>
      </c>
      <c r="AK43" s="104">
        <f>(AK42*POWER(AK$51/AK$39,1/12))+1018683.10225717</f>
        <v>7083865.2579756826</v>
      </c>
      <c r="AL43" s="104">
        <f>(AL42*POWER(AL$51/AL$39,1/12))+182443.495660094</f>
        <v>1316117.705716891</v>
      </c>
      <c r="AM43" s="104">
        <f>(AM42*POWER(AM$51/AM$39,1/12))+171813.308226054</f>
        <v>1242127.0222152923</v>
      </c>
      <c r="AN43" s="104">
        <f>(AN42*POWER(AN$51/AN$39,1/12))+284766.504064002</f>
        <v>1981737.2510222106</v>
      </c>
      <c r="AO43" s="104">
        <f>(AO42*POWER(AO$51/AO$39,1/12))+303975.559265429</f>
        <v>2022405.3078281754</v>
      </c>
      <c r="AP43" s="104">
        <f>(AP42*POWER(AP$51/AP$39,1/12))+22581.8829383875</f>
        <v>159851.45700339109</v>
      </c>
      <c r="AQ43" s="104">
        <f>(AQ42*POWER(AQ$51/AQ$39,1/12))+53054.8973843394</f>
        <v>361140.24309623538</v>
      </c>
      <c r="AR43" s="75"/>
      <c r="AS43" s="75"/>
    </row>
    <row r="44" spans="1:45" x14ac:dyDescent="0.25">
      <c r="A44" s="48">
        <v>43617</v>
      </c>
      <c r="B44" s="92">
        <f t="shared" si="243"/>
        <v>18493622.534915108</v>
      </c>
      <c r="C44" s="92">
        <f t="shared" si="244"/>
        <v>2857241.179683222</v>
      </c>
      <c r="D44" s="92">
        <f t="shared" si="245"/>
        <v>2695607.7824775241</v>
      </c>
      <c r="E44" s="92">
        <f t="shared" si="246"/>
        <v>5486094.0518144201</v>
      </c>
      <c r="F44" s="92">
        <f t="shared" si="247"/>
        <v>5386811.3890285185</v>
      </c>
      <c r="G44" s="92">
        <f t="shared" si="248"/>
        <v>619861.48893946863</v>
      </c>
      <c r="H44" s="92">
        <f t="shared" si="249"/>
        <v>1447437.0196715232</v>
      </c>
      <c r="I44" s="84">
        <f t="shared" si="250"/>
        <v>737814.76822572062</v>
      </c>
      <c r="J44" s="84">
        <f t="shared" si="251"/>
        <v>96042.244978162096</v>
      </c>
      <c r="K44" s="84">
        <f t="shared" si="252"/>
        <v>90787.318856894606</v>
      </c>
      <c r="L44" s="84">
        <f t="shared" si="253"/>
        <v>230912.65516930085</v>
      </c>
      <c r="M44" s="84">
        <f t="shared" si="254"/>
        <v>214190.21943696419</v>
      </c>
      <c r="N44" s="84">
        <f t="shared" si="255"/>
        <v>31197.833606726203</v>
      </c>
      <c r="O44" s="84">
        <f t="shared" si="256"/>
        <v>74666.386662682649</v>
      </c>
      <c r="P44" s="88">
        <f t="shared" si="257"/>
        <v>552108.85024975822</v>
      </c>
      <c r="Q44" s="88">
        <f t="shared" si="258"/>
        <v>63007.264917932458</v>
      </c>
      <c r="R44" s="88">
        <f t="shared" si="259"/>
        <v>59178.615109042104</v>
      </c>
      <c r="S44" s="88">
        <f t="shared" si="260"/>
        <v>172222.53469063589</v>
      </c>
      <c r="T44" s="88">
        <f t="shared" si="261"/>
        <v>158463.58062421871</v>
      </c>
      <c r="U44" s="88">
        <f t="shared" si="262"/>
        <v>28864.142450053365</v>
      </c>
      <c r="V44" s="88">
        <f t="shared" si="263"/>
        <v>70349.904764851599</v>
      </c>
      <c r="W44" s="96">
        <f t="shared" si="264"/>
        <v>1102089.8180557934</v>
      </c>
      <c r="X44" s="96">
        <f t="shared" si="265"/>
        <v>172788.35152945711</v>
      </c>
      <c r="Y44" s="96">
        <f t="shared" si="266"/>
        <v>163785.83273582286</v>
      </c>
      <c r="Z44" s="96">
        <f t="shared" si="267"/>
        <v>331869.73478704545</v>
      </c>
      <c r="AA44" s="96">
        <f t="shared" si="268"/>
        <v>349300.8288185877</v>
      </c>
      <c r="AB44" s="96">
        <f t="shared" si="269"/>
        <v>24221.066462329476</v>
      </c>
      <c r="AC44" s="96">
        <f t="shared" si="270"/>
        <v>60030.232147323652</v>
      </c>
      <c r="AD44" s="100">
        <f t="shared" si="271"/>
        <v>1880309.6534153374</v>
      </c>
      <c r="AE44" s="100">
        <f t="shared" si="272"/>
        <v>231859.24501119522</v>
      </c>
      <c r="AF44" s="100">
        <f t="shared" si="273"/>
        <v>216208.1170092781</v>
      </c>
      <c r="AG44" s="100">
        <f t="shared" si="274"/>
        <v>564759.39049490914</v>
      </c>
      <c r="AH44" s="100">
        <f t="shared" si="275"/>
        <v>646530.57344455877</v>
      </c>
      <c r="AI44" s="100">
        <f t="shared" si="276"/>
        <v>63983.281412524353</v>
      </c>
      <c r="AJ44" s="100">
        <f t="shared" si="277"/>
        <v>156900.54841549674</v>
      </c>
      <c r="AK44" s="104">
        <f>(AK43*POWER(AK$51/AK$39,1/12))+1021096.60577816</f>
        <v>8116908.3299089307</v>
      </c>
      <c r="AL44" s="104">
        <f>(AL43*POWER(AL$51/AL$39,1/12))+183178.972474807</f>
        <v>1502307.2597677649</v>
      </c>
      <c r="AM44" s="104">
        <f>(AM43*POWER(AM$51/AM$39,1/12))+172503.001522714</f>
        <v>1417303.598157024</v>
      </c>
      <c r="AN44" s="104">
        <f>(AN43*POWER(AN$51/AN$39,1/12))+285225.221462659</f>
        <v>2269329.1105873464</v>
      </c>
      <c r="AO44" s="104">
        <f>(AO43*POWER(AO$51/AO$39,1/12))+304096.819917343</f>
        <v>2327801.7906732317</v>
      </c>
      <c r="AP44" s="104">
        <f>(AP43*POWER(AP$51/AP$39,1/12))+22703.21614037</f>
        <v>183297.69697719769</v>
      </c>
      <c r="AQ44" s="104">
        <f>(AQ43*POWER(AQ$51/AQ$39,1/12))+53337.3411296959</f>
        <v>416133.41003568016</v>
      </c>
      <c r="AR44" s="75"/>
      <c r="AS44" s="75"/>
    </row>
    <row r="45" spans="1:45" x14ac:dyDescent="0.25">
      <c r="A45" s="48">
        <v>43647</v>
      </c>
      <c r="B45" s="92">
        <f t="shared" si="243"/>
        <v>18513296.273859318</v>
      </c>
      <c r="C45" s="92">
        <f t="shared" si="244"/>
        <v>2863493.2483576783</v>
      </c>
      <c r="D45" s="92">
        <f t="shared" si="245"/>
        <v>2701266.1983282957</v>
      </c>
      <c r="E45" s="92">
        <f t="shared" si="246"/>
        <v>5487655.9953924743</v>
      </c>
      <c r="F45" s="92">
        <f t="shared" si="247"/>
        <v>5385497.2291844133</v>
      </c>
      <c r="G45" s="92">
        <f t="shared" si="248"/>
        <v>622114.13917383365</v>
      </c>
      <c r="H45" s="92">
        <f t="shared" si="249"/>
        <v>1452682.7793668516</v>
      </c>
      <c r="I45" s="84">
        <f t="shared" si="250"/>
        <v>737660.41878699139</v>
      </c>
      <c r="J45" s="84">
        <f t="shared" si="251"/>
        <v>96047.494834586891</v>
      </c>
      <c r="K45" s="84">
        <f t="shared" si="252"/>
        <v>90795.985109474976</v>
      </c>
      <c r="L45" s="84">
        <f t="shared" si="253"/>
        <v>230771.44563398647</v>
      </c>
      <c r="M45" s="84">
        <f t="shared" si="254"/>
        <v>213909.3714637112</v>
      </c>
      <c r="N45" s="84">
        <f t="shared" si="255"/>
        <v>31261.184430536228</v>
      </c>
      <c r="O45" s="84">
        <f t="shared" si="256"/>
        <v>74856.304637618858</v>
      </c>
      <c r="P45" s="88">
        <f t="shared" si="257"/>
        <v>551628.47672595712</v>
      </c>
      <c r="Q45" s="88">
        <f t="shared" si="258"/>
        <v>62958.82980170456</v>
      </c>
      <c r="R45" s="88">
        <f t="shared" si="259"/>
        <v>59135.4328216172</v>
      </c>
      <c r="S45" s="88">
        <f t="shared" si="260"/>
        <v>171970.35321531448</v>
      </c>
      <c r="T45" s="88">
        <f t="shared" si="261"/>
        <v>158108.69362561946</v>
      </c>
      <c r="U45" s="88">
        <f t="shared" si="262"/>
        <v>28942.200244625496</v>
      </c>
      <c r="V45" s="88">
        <f t="shared" si="263"/>
        <v>70489.513035628275</v>
      </c>
      <c r="W45" s="96">
        <f t="shared" si="264"/>
        <v>1106893.1528851367</v>
      </c>
      <c r="X45" s="96">
        <f t="shared" si="265"/>
        <v>173892.89203414842</v>
      </c>
      <c r="Y45" s="96">
        <f t="shared" si="266"/>
        <v>164832.57264570001</v>
      </c>
      <c r="Z45" s="96">
        <f t="shared" si="267"/>
        <v>332827.72227385134</v>
      </c>
      <c r="AA45" s="96">
        <f t="shared" si="268"/>
        <v>350196.64578633534</v>
      </c>
      <c r="AB45" s="96">
        <f t="shared" si="269"/>
        <v>24445.168316049698</v>
      </c>
      <c r="AC45" s="96">
        <f t="shared" si="270"/>
        <v>60601.216695706731</v>
      </c>
      <c r="AD45" s="100">
        <f t="shared" si="271"/>
        <v>1885482.8090523651</v>
      </c>
      <c r="AE45" s="100">
        <f t="shared" si="272"/>
        <v>233036.41348939444</v>
      </c>
      <c r="AF45" s="100">
        <f t="shared" si="273"/>
        <v>217204.36529913475</v>
      </c>
      <c r="AG45" s="100">
        <f t="shared" si="274"/>
        <v>566016.62147413974</v>
      </c>
      <c r="AH45" s="100">
        <f t="shared" si="275"/>
        <v>647365.11006541003</v>
      </c>
      <c r="AI45" s="100">
        <f t="shared" si="276"/>
        <v>64243.89216104518</v>
      </c>
      <c r="AJ45" s="100">
        <f t="shared" si="277"/>
        <v>157545.74168158288</v>
      </c>
      <c r="AK45" s="104">
        <f>(AK44*POWER(AK$51/AK$39,1/12))+1023515.82746531</f>
        <v>9154112.7817503251</v>
      </c>
      <c r="AL45" s="104">
        <f>(AL44*POWER(AL$51/AL$39,1/12))+183917.414186368</f>
        <v>1689661.158805147</v>
      </c>
      <c r="AM45" s="104">
        <f>(AM44*POWER(AM$51/AM$39,1/12))+173195.463387469</f>
        <v>1593549.6888766773</v>
      </c>
      <c r="AN45" s="104">
        <f>(AN44*POWER(AN$51/AN$39,1/12))+285684.677788291</f>
        <v>2557723.8755667661</v>
      </c>
      <c r="AO45" s="104">
        <f>(AO44*POWER(AO$51/AO$39,1/12))+304218.128942047</f>
        <v>2633515.8401801093</v>
      </c>
      <c r="AP45" s="104">
        <f>(AP44*POWER(AP$51/AP$39,1/12))+22825.2012696493</f>
        <v>206974.90522896172</v>
      </c>
      <c r="AQ45" s="104">
        <f>(AQ44*POWER(AQ$51/AQ$39,1/12))+53621.2884962679</f>
        <v>471662.66767636786</v>
      </c>
      <c r="AR45" s="75"/>
      <c r="AS45" s="75"/>
    </row>
    <row r="46" spans="1:45" x14ac:dyDescent="0.25">
      <c r="A46" s="48">
        <v>43678</v>
      </c>
      <c r="B46" s="92">
        <f t="shared" si="243"/>
        <v>18532990.941964559</v>
      </c>
      <c r="C46" s="92">
        <f t="shared" si="244"/>
        <v>2869758.9974882994</v>
      </c>
      <c r="D46" s="92">
        <f t="shared" si="245"/>
        <v>2706936.491897387</v>
      </c>
      <c r="E46" s="92">
        <f t="shared" si="246"/>
        <v>5489218.3836708413</v>
      </c>
      <c r="F46" s="92">
        <f t="shared" si="247"/>
        <v>5384183.3899411187</v>
      </c>
      <c r="G46" s="92">
        <f t="shared" si="248"/>
        <v>624374.97580656176</v>
      </c>
      <c r="H46" s="92">
        <f t="shared" si="249"/>
        <v>1457947.5505938784</v>
      </c>
      <c r="I46" s="84">
        <f t="shared" si="250"/>
        <v>737506.10163786961</v>
      </c>
      <c r="J46" s="84">
        <f t="shared" si="251"/>
        <v>96052.744977979077</v>
      </c>
      <c r="K46" s="84">
        <f t="shared" si="252"/>
        <v>90804.652189306711</v>
      </c>
      <c r="L46" s="84">
        <f t="shared" si="253"/>
        <v>230630.32245224528</v>
      </c>
      <c r="M46" s="84">
        <f t="shared" si="254"/>
        <v>213628.89174062523</v>
      </c>
      <c r="N46" s="84">
        <f t="shared" si="255"/>
        <v>31324.663895550257</v>
      </c>
      <c r="O46" s="84">
        <f t="shared" si="256"/>
        <v>75046.705679150575</v>
      </c>
      <c r="P46" s="88">
        <f t="shared" si="257"/>
        <v>551148.52116090141</v>
      </c>
      <c r="Q46" s="88">
        <f t="shared" si="258"/>
        <v>62910.431918651077</v>
      </c>
      <c r="R46" s="88">
        <f t="shared" si="259"/>
        <v>59092.282044053478</v>
      </c>
      <c r="S46" s="88">
        <f t="shared" si="260"/>
        <v>171718.5410034963</v>
      </c>
      <c r="T46" s="88">
        <f t="shared" si="261"/>
        <v>157754.60141394398</v>
      </c>
      <c r="U46" s="88">
        <f t="shared" si="262"/>
        <v>29020.469132227809</v>
      </c>
      <c r="V46" s="88">
        <f t="shared" si="263"/>
        <v>70629.398356805148</v>
      </c>
      <c r="W46" s="96">
        <f t="shared" si="264"/>
        <v>1111717.4225104512</v>
      </c>
      <c r="X46" s="96">
        <f t="shared" si="265"/>
        <v>175004.49325627642</v>
      </c>
      <c r="Y46" s="96">
        <f t="shared" si="266"/>
        <v>165886.00217225909</v>
      </c>
      <c r="Z46" s="96">
        <f t="shared" si="267"/>
        <v>333788.47512287222</v>
      </c>
      <c r="AA46" s="96">
        <f t="shared" si="268"/>
        <v>351094.76016643789</v>
      </c>
      <c r="AB46" s="96">
        <f t="shared" si="269"/>
        <v>24671.343639198647</v>
      </c>
      <c r="AC46" s="96">
        <f t="shared" si="270"/>
        <v>61177.632230158495</v>
      </c>
      <c r="AD46" s="100">
        <f t="shared" si="271"/>
        <v>1890670.197206466</v>
      </c>
      <c r="AE46" s="100">
        <f t="shared" si="272"/>
        <v>234219.55854888548</v>
      </c>
      <c r="AF46" s="100">
        <f t="shared" si="273"/>
        <v>218205.20412272698</v>
      </c>
      <c r="AG46" s="100">
        <f t="shared" si="274"/>
        <v>567276.65121999872</v>
      </c>
      <c r="AH46" s="100">
        <f t="shared" si="275"/>
        <v>648200.72389962152</v>
      </c>
      <c r="AI46" s="100">
        <f t="shared" si="276"/>
        <v>64505.564405018333</v>
      </c>
      <c r="AJ46" s="100">
        <f t="shared" si="277"/>
        <v>158193.58805726492</v>
      </c>
      <c r="AK46" s="104">
        <f>(AK45*POWER(AK$51/AK$39,1/12))+1025940.78086633</f>
        <v>10195491.363103315</v>
      </c>
      <c r="AL46" s="104">
        <f>(AL45*POWER(AL$51/AL$39,1/12))+184658.832747039</f>
        <v>1878185.0430839739</v>
      </c>
      <c r="AM46" s="104">
        <f>(AM45*POWER(AM$51/AM$39,1/12))+173890.70493391</f>
        <v>1770870.3760969532</v>
      </c>
      <c r="AN46" s="104">
        <f>(AN45*POWER(AN$51/AN$39,1/12))+286144.874231205</f>
        <v>2846923.2449266315</v>
      </c>
      <c r="AO46" s="104">
        <f>(AO45*POWER(AO$51/AO$39,1/12))+304339.486358837</f>
        <v>2939547.7088194811</v>
      </c>
      <c r="AP46" s="104">
        <f>(AP45*POWER(AP$51/AP$39,1/12))+22947.8418290524</f>
        <v>230884.81077886687</v>
      </c>
      <c r="AQ46" s="104">
        <f>(AQ45*POWER(AQ$51/AQ$39,1/12))+53906.747488753</f>
        <v>527731.98561680375</v>
      </c>
      <c r="AR46" s="75"/>
      <c r="AS46" s="75"/>
    </row>
    <row r="47" spans="1:45" x14ac:dyDescent="0.25">
      <c r="A47" s="48">
        <v>43709</v>
      </c>
      <c r="B47" s="92">
        <f t="shared" si="243"/>
        <v>18552706.561495524</v>
      </c>
      <c r="C47" s="92">
        <f t="shared" si="244"/>
        <v>2876038.4570099576</v>
      </c>
      <c r="D47" s="92">
        <f t="shared" si="245"/>
        <v>2712618.6881176052</v>
      </c>
      <c r="E47" s="92">
        <f t="shared" si="246"/>
        <v>5490781.2167761317</v>
      </c>
      <c r="F47" s="92">
        <f t="shared" si="247"/>
        <v>5382869.871220421</v>
      </c>
      <c r="G47" s="92">
        <f t="shared" si="248"/>
        <v>626644.02858799638</v>
      </c>
      <c r="H47" s="92">
        <f t="shared" si="249"/>
        <v>1463231.4022536513</v>
      </c>
      <c r="I47" s="84">
        <f t="shared" si="250"/>
        <v>737351.81677160028</v>
      </c>
      <c r="J47" s="84">
        <f t="shared" si="251"/>
        <v>96057.995408354342</v>
      </c>
      <c r="K47" s="84">
        <f t="shared" si="252"/>
        <v>90813.320096468786</v>
      </c>
      <c r="L47" s="84">
        <f t="shared" si="253"/>
        <v>230489.28557126963</v>
      </c>
      <c r="M47" s="84">
        <f t="shared" si="254"/>
        <v>213348.77978485363</v>
      </c>
      <c r="N47" s="84">
        <f t="shared" si="255"/>
        <v>31388.27226298919</v>
      </c>
      <c r="O47" s="84">
        <f t="shared" si="256"/>
        <v>75237.591015983693</v>
      </c>
      <c r="P47" s="88">
        <f t="shared" si="257"/>
        <v>550668.98319093767</v>
      </c>
      <c r="Q47" s="88">
        <f t="shared" si="258"/>
        <v>62862.07124015002</v>
      </c>
      <c r="R47" s="88">
        <f t="shared" si="259"/>
        <v>59049.162753358381</v>
      </c>
      <c r="S47" s="88">
        <f t="shared" si="260"/>
        <v>171467.09751447733</v>
      </c>
      <c r="T47" s="88">
        <f t="shared" si="261"/>
        <v>157401.30220922778</v>
      </c>
      <c r="U47" s="88">
        <f t="shared" si="262"/>
        <v>29098.949683722803</v>
      </c>
      <c r="V47" s="88">
        <f t="shared" si="263"/>
        <v>70769.561278184352</v>
      </c>
      <c r="W47" s="96">
        <f t="shared" si="264"/>
        <v>1116562.7181736962</v>
      </c>
      <c r="X47" s="96">
        <f t="shared" si="265"/>
        <v>176123.20033110824</v>
      </c>
      <c r="Y47" s="96">
        <f t="shared" si="266"/>
        <v>166946.16406821346</v>
      </c>
      <c r="Z47" s="96">
        <f t="shared" si="267"/>
        <v>334752.00131670519</v>
      </c>
      <c r="AA47" s="96">
        <f t="shared" si="268"/>
        <v>351995.17785083945</v>
      </c>
      <c r="AB47" s="96">
        <f t="shared" si="269"/>
        <v>24899.611616247137</v>
      </c>
      <c r="AC47" s="96">
        <f t="shared" si="270"/>
        <v>61759.530408135812</v>
      </c>
      <c r="AD47" s="100">
        <f t="shared" si="271"/>
        <v>1895871.8570345021</v>
      </c>
      <c r="AE47" s="100">
        <f t="shared" si="272"/>
        <v>235408.71053326366</v>
      </c>
      <c r="AF47" s="100">
        <f t="shared" si="273"/>
        <v>219210.6546324123</v>
      </c>
      <c r="AG47" s="100">
        <f t="shared" si="274"/>
        <v>568539.48596291989</v>
      </c>
      <c r="AH47" s="100">
        <f t="shared" si="275"/>
        <v>649037.4163376519</v>
      </c>
      <c r="AI47" s="100">
        <f t="shared" si="276"/>
        <v>64768.302468028327</v>
      </c>
      <c r="AJ47" s="100">
        <f t="shared" si="277"/>
        <v>158844.09845243744</v>
      </c>
      <c r="AK47" s="104">
        <f>(AK46*POWER(AK$51/AK$39,1/12))+1028371.479561</f>
        <v>11241056.858652508</v>
      </c>
      <c r="AL47" s="104">
        <f>(AL46*POWER(AL$51/AL$39,1/12))+185403.240157269</f>
        <v>2067884.5777615509</v>
      </c>
      <c r="AM47" s="104">
        <f>(AM46*POWER(AM$51/AM$39,1/12))+174588.737320241</f>
        <v>1949270.7636367388</v>
      </c>
      <c r="AN47" s="104">
        <f>(AN46*POWER(AN$51/AN$39,1/12))+286605.811983619</f>
        <v>3136928.9208542709</v>
      </c>
      <c r="AO47" s="104">
        <f>(AO46*POWER(AO$51/AO$39,1/12))+304460.892187017</f>
        <v>3245897.6492435704</v>
      </c>
      <c r="AP47" s="104">
        <f>(AP46*POWER(AP$51/AP$39,1/12))+23071.141340227</f>
        <v>255029.15420560082</v>
      </c>
      <c r="AQ47" s="104">
        <f>(AQ46*POWER(AQ$51/AQ$39,1/12))+54193.7261544625</f>
        <v>584345.35970338946</v>
      </c>
      <c r="AR47" s="75"/>
      <c r="AS47" s="75"/>
    </row>
    <row r="48" spans="1:45" x14ac:dyDescent="0.25">
      <c r="A48" s="48">
        <v>43739</v>
      </c>
      <c r="B48" s="92">
        <f t="shared" si="243"/>
        <v>18572443.154740591</v>
      </c>
      <c r="C48" s="92">
        <f t="shared" si="244"/>
        <v>2882331.6569230282</v>
      </c>
      <c r="D48" s="92">
        <f t="shared" si="245"/>
        <v>2718312.8119740947</v>
      </c>
      <c r="E48" s="92">
        <f t="shared" si="246"/>
        <v>5492344.4948349912</v>
      </c>
      <c r="F48" s="92">
        <f t="shared" si="247"/>
        <v>5381556.6729441257</v>
      </c>
      <c r="G48" s="92">
        <f t="shared" si="248"/>
        <v>628921.32737659721</v>
      </c>
      <c r="H48" s="92">
        <f t="shared" si="249"/>
        <v>1468534.4034969267</v>
      </c>
      <c r="I48" s="84">
        <f t="shared" si="250"/>
        <v>737197.56418143003</v>
      </c>
      <c r="J48" s="84">
        <f t="shared" si="251"/>
        <v>96063.246125728372</v>
      </c>
      <c r="K48" s="84">
        <f t="shared" si="252"/>
        <v>90821.988831040173</v>
      </c>
      <c r="L48" s="84">
        <f t="shared" si="253"/>
        <v>230348.33493828418</v>
      </c>
      <c r="M48" s="84">
        <f t="shared" si="254"/>
        <v>213069.03511417686</v>
      </c>
      <c r="N48" s="84">
        <f t="shared" si="255"/>
        <v>31452.009794604368</v>
      </c>
      <c r="O48" s="84">
        <f t="shared" si="256"/>
        <v>75428.961879949391</v>
      </c>
      <c r="P48" s="88">
        <f t="shared" si="257"/>
        <v>550189.86245272867</v>
      </c>
      <c r="Q48" s="88">
        <f t="shared" si="258"/>
        <v>62813.747737601407</v>
      </c>
      <c r="R48" s="88">
        <f t="shared" si="259"/>
        <v>59006.074926556132</v>
      </c>
      <c r="S48" s="88">
        <f t="shared" si="260"/>
        <v>171216.02220834533</v>
      </c>
      <c r="T48" s="88">
        <f t="shared" si="261"/>
        <v>157048.79423549271</v>
      </c>
      <c r="U48" s="88">
        <f t="shared" si="262"/>
        <v>29177.642471516767</v>
      </c>
      <c r="V48" s="88">
        <f t="shared" si="263"/>
        <v>70910.002350659095</v>
      </c>
      <c r="W48" s="96">
        <f t="shared" si="264"/>
        <v>1121429.1315144992</v>
      </c>
      <c r="X48" s="96">
        <f t="shared" si="265"/>
        <v>177249.05868243583</v>
      </c>
      <c r="Y48" s="96">
        <f t="shared" si="266"/>
        <v>168013.10135950509</v>
      </c>
      <c r="Z48" s="96">
        <f t="shared" si="267"/>
        <v>335718.30886099034</v>
      </c>
      <c r="AA48" s="96">
        <f t="shared" si="268"/>
        <v>352897.90474659466</v>
      </c>
      <c r="AB48" s="96">
        <f t="shared" si="269"/>
        <v>25129.991609167475</v>
      </c>
      <c r="AC48" s="96">
        <f t="shared" si="270"/>
        <v>62346.963378441469</v>
      </c>
      <c r="AD48" s="100">
        <f t="shared" si="271"/>
        <v>1901087.8278010648</v>
      </c>
      <c r="AE48" s="100">
        <f t="shared" si="272"/>
        <v>236603.89994018123</v>
      </c>
      <c r="AF48" s="100">
        <f t="shared" si="273"/>
        <v>220220.73807801452</v>
      </c>
      <c r="AG48" s="100">
        <f t="shared" si="274"/>
        <v>569805.13194720726</v>
      </c>
      <c r="AH48" s="100">
        <f t="shared" si="275"/>
        <v>649875.1887717545</v>
      </c>
      <c r="AI48" s="100">
        <f t="shared" si="276"/>
        <v>65032.110691270093</v>
      </c>
      <c r="AJ48" s="100">
        <f t="shared" si="277"/>
        <v>159497.28382185783</v>
      </c>
      <c r="AK48" s="104">
        <f>(AK47*POWER(AK$51/AK$39,1/12))+1030807.93716132</f>
        <v>12290822.088254998</v>
      </c>
      <c r="AL48" s="104">
        <f>(AL47*POWER(AL$51/AL$39,1/12))+186150.64846588</f>
        <v>2258765.4530028924</v>
      </c>
      <c r="AM48" s="104">
        <f>(AM47*POWER(AM$51/AM$39,1/12))+175289.571749455</f>
        <v>2128755.977503459</v>
      </c>
      <c r="AN48" s="104">
        <f>(AN47*POWER(AN$51/AN$39,1/12))+287067.492239677</f>
        <v>3427742.6087639481</v>
      </c>
      <c r="AO48" s="104">
        <f>(AO47*POWER(AO$51/AO$39,1/12))+304582.3464459</f>
        <v>3552565.9142862745</v>
      </c>
      <c r="AP48" s="104">
        <f>(AP47*POWER(AP$51/AP$39,1/12))+23195.1033437427</f>
        <v>279409.68771900365</v>
      </c>
      <c r="AQ48" s="104">
        <f>(AQ47*POWER(AQ$51/AQ$39,1/12))+54482.2325835487</f>
        <v>641506.81219361036</v>
      </c>
      <c r="AR48" s="75"/>
      <c r="AS48" s="75"/>
    </row>
    <row r="49" spans="1:45" x14ac:dyDescent="0.25">
      <c r="A49" s="48">
        <v>43770</v>
      </c>
      <c r="B49" s="92">
        <f t="shared" si="243"/>
        <v>18592200.744011849</v>
      </c>
      <c r="C49" s="92">
        <f t="shared" si="244"/>
        <v>2888638.6272935313</v>
      </c>
      <c r="D49" s="92">
        <f t="shared" si="245"/>
        <v>2724018.8885044469</v>
      </c>
      <c r="E49" s="92">
        <f t="shared" si="246"/>
        <v>5493908.2179741031</v>
      </c>
      <c r="F49" s="92">
        <f t="shared" si="247"/>
        <v>5380243.7950340575</v>
      </c>
      <c r="G49" s="92">
        <f t="shared" si="248"/>
        <v>631206.90213933331</v>
      </c>
      <c r="H49" s="92">
        <f t="shared" si="249"/>
        <v>1473856.6237250755</v>
      </c>
      <c r="I49" s="84">
        <f t="shared" si="250"/>
        <v>737043.34386060666</v>
      </c>
      <c r="J49" s="84">
        <f t="shared" si="251"/>
        <v>96068.497130116855</v>
      </c>
      <c r="K49" s="84">
        <f t="shared" si="252"/>
        <v>90830.658393099846</v>
      </c>
      <c r="L49" s="84">
        <f t="shared" si="253"/>
        <v>230207.47050054593</v>
      </c>
      <c r="M49" s="84">
        <f t="shared" si="254"/>
        <v>212789.65724700774</v>
      </c>
      <c r="N49" s="84">
        <f t="shared" si="255"/>
        <v>31515.876752678651</v>
      </c>
      <c r="O49" s="84">
        <f t="shared" si="256"/>
        <v>75620.819506012063</v>
      </c>
      <c r="P49" s="88">
        <f t="shared" si="257"/>
        <v>549711.15858325351</v>
      </c>
      <c r="Q49" s="88">
        <f t="shared" si="258"/>
        <v>62765.461382427231</v>
      </c>
      <c r="R49" s="88">
        <f t="shared" si="259"/>
        <v>58963.018540687706</v>
      </c>
      <c r="S49" s="88">
        <f t="shared" si="260"/>
        <v>170965.31454597859</v>
      </c>
      <c r="T49" s="88">
        <f t="shared" si="261"/>
        <v>156697.07572073798</v>
      </c>
      <c r="U49" s="88">
        <f t="shared" si="262"/>
        <v>29256.548069563956</v>
      </c>
      <c r="V49" s="88">
        <f t="shared" si="263"/>
        <v>71050.722126215798</v>
      </c>
      <c r="W49" s="96">
        <f t="shared" si="264"/>
        <v>1126316.7545718888</v>
      </c>
      <c r="X49" s="96">
        <f t="shared" si="265"/>
        <v>178382.11402442039</v>
      </c>
      <c r="Y49" s="96">
        <f t="shared" si="266"/>
        <v>169086.85734705068</v>
      </c>
      <c r="Z49" s="96">
        <f t="shared" si="267"/>
        <v>336687.40578447701</v>
      </c>
      <c r="AA49" s="96">
        <f t="shared" si="268"/>
        <v>353802.94677590736</v>
      </c>
      <c r="AB49" s="96">
        <f t="shared" si="269"/>
        <v>25362.503159075768</v>
      </c>
      <c r="AC49" s="96">
        <f t="shared" si="270"/>
        <v>62939.983785897661</v>
      </c>
      <c r="AD49" s="100">
        <f t="shared" si="271"/>
        <v>1906318.1488787716</v>
      </c>
      <c r="AE49" s="100">
        <f t="shared" si="272"/>
        <v>237805.15742212956</v>
      </c>
      <c r="AF49" s="100">
        <f t="shared" si="273"/>
        <v>221235.47580727274</v>
      </c>
      <c r="AG49" s="100">
        <f t="shared" si="274"/>
        <v>571073.59543106519</v>
      </c>
      <c r="AH49" s="100">
        <f t="shared" si="275"/>
        <v>650714.04259597987</v>
      </c>
      <c r="AI49" s="100">
        <f t="shared" si="276"/>
        <v>65296.993433620715</v>
      </c>
      <c r="AJ49" s="100">
        <f t="shared" si="277"/>
        <v>160153.15516533062</v>
      </c>
      <c r="AK49" s="104">
        <f>(AK48*POWER(AK$51/AK$39,1/12))+1033250.16731149</f>
        <v>13344799.907031937</v>
      </c>
      <c r="AL49" s="104">
        <f>(AL48*POWER(AL$51/AL$39,1/12))+186901.069770269</f>
        <v>2450833.3840864985</v>
      </c>
      <c r="AM49" s="104">
        <f>(AM48*POWER(AM$51/AM$39,1/12))+175993.21946952</f>
        <v>2309331.1659858054</v>
      </c>
      <c r="AN49" s="104">
        <f>(AN48*POWER(AN$51/AN$39,1/12))+287529.916195444</f>
        <v>3719366.0173026379</v>
      </c>
      <c r="AO49" s="104">
        <f>(AO48*POWER(AO$51/AO$39,1/12))+304703.849154805</f>
        <v>3859552.7569632903</v>
      </c>
      <c r="AP49" s="104">
        <f>(AP48*POWER(AP$51/AP$39,1/12))+23319.7313991926</f>
        <v>304028.17523315561</v>
      </c>
      <c r="AQ49" s="104">
        <f>(AQ48*POWER(AQ$51/AQ$39,1/12))+54772.2749092328</f>
        <v>699220.39192019869</v>
      </c>
      <c r="AR49" s="75"/>
      <c r="AS49" s="75"/>
    </row>
    <row r="50" spans="1:45" x14ac:dyDescent="0.25">
      <c r="A50" s="48">
        <v>43800</v>
      </c>
      <c r="B50" s="92">
        <f t="shared" si="243"/>
        <v>18611979.351645127</v>
      </c>
      <c r="C50" s="92">
        <f t="shared" si="244"/>
        <v>2894959.3982532755</v>
      </c>
      <c r="D50" s="92">
        <f t="shared" si="245"/>
        <v>2729736.9427988105</v>
      </c>
      <c r="E50" s="92">
        <f t="shared" si="246"/>
        <v>5495472.3863201858</v>
      </c>
      <c r="F50" s="92">
        <f t="shared" si="247"/>
        <v>5378931.2374120606</v>
      </c>
      <c r="G50" s="92">
        <f t="shared" si="248"/>
        <v>633500.78295207699</v>
      </c>
      <c r="H50" s="92">
        <f t="shared" si="249"/>
        <v>1479198.132590991</v>
      </c>
      <c r="I50" s="84">
        <f t="shared" si="250"/>
        <v>736889.1558023796</v>
      </c>
      <c r="J50" s="84">
        <f t="shared" si="251"/>
        <v>96073.748421535478</v>
      </c>
      <c r="K50" s="84">
        <f t="shared" si="252"/>
        <v>90839.328782726792</v>
      </c>
      <c r="L50" s="84">
        <f t="shared" si="253"/>
        <v>230066.69220534404</v>
      </c>
      <c r="M50" s="84">
        <f t="shared" si="254"/>
        <v>212510.64570239047</v>
      </c>
      <c r="N50" s="84">
        <f t="shared" si="255"/>
        <v>31579.873400027493</v>
      </c>
      <c r="O50" s="84">
        <f t="shared" si="256"/>
        <v>75813.165132277325</v>
      </c>
      <c r="P50" s="88">
        <f t="shared" si="257"/>
        <v>549232.87121980707</v>
      </c>
      <c r="Q50" s="88">
        <f t="shared" si="258"/>
        <v>62717.21214607147</v>
      </c>
      <c r="R50" s="88">
        <f t="shared" si="259"/>
        <v>58919.993572810839</v>
      </c>
      <c r="S50" s="88">
        <f t="shared" si="260"/>
        <v>170714.97398904484</v>
      </c>
      <c r="T50" s="88">
        <f t="shared" si="261"/>
        <v>156346.14489693131</v>
      </c>
      <c r="U50" s="88">
        <f t="shared" si="262"/>
        <v>29335.66705337078</v>
      </c>
      <c r="V50" s="88">
        <f t="shared" si="263"/>
        <v>71191.721157936321</v>
      </c>
      <c r="W50" s="96">
        <f t="shared" si="264"/>
        <v>1131225.6797860353</v>
      </c>
      <c r="X50" s="96">
        <f t="shared" si="265"/>
        <v>179522.41236344844</v>
      </c>
      <c r="Y50" s="96">
        <f t="shared" si="266"/>
        <v>170167.47560849911</v>
      </c>
      <c r="Z50" s="96">
        <f t="shared" si="267"/>
        <v>337659.30013909069</v>
      </c>
      <c r="AA50" s="96">
        <f t="shared" si="268"/>
        <v>354710.30987616949</v>
      </c>
      <c r="AB50" s="96">
        <f t="shared" si="269"/>
        <v>25597.165987889424</v>
      </c>
      <c r="AC50" s="96">
        <f t="shared" si="270"/>
        <v>63538.644776063949</v>
      </c>
      <c r="AD50" s="100">
        <f t="shared" si="271"/>
        <v>1911562.8597485626</v>
      </c>
      <c r="AE50" s="100">
        <f t="shared" si="272"/>
        <v>239012.51378722521</v>
      </c>
      <c r="AF50" s="100">
        <f t="shared" si="273"/>
        <v>222254.88926629268</v>
      </c>
      <c r="AG50" s="100">
        <f t="shared" si="274"/>
        <v>572344.88268662966</v>
      </c>
      <c r="AH50" s="100">
        <f t="shared" si="275"/>
        <v>651553.97920617799</v>
      </c>
      <c r="AI50" s="100">
        <f t="shared" si="276"/>
        <v>65562.955071711447</v>
      </c>
      <c r="AJ50" s="100">
        <f t="shared" si="277"/>
        <v>160811.72352789293</v>
      </c>
      <c r="AK50" s="104">
        <f>(AK49*POWER(AK$51/AK$39,1/12))+1035698.18368806</f>
        <v>14403003.20546033</v>
      </c>
      <c r="AL50" s="104">
        <f>(AL49*POWER(AL$51/AL$39,1/12))+187654.5162166</f>
        <v>2644094.1115105683</v>
      </c>
      <c r="AM50" s="104">
        <f>(AM49*POWER(AM$51/AM$39,1/12))+176699.691773551</f>
        <v>2491001.4997468484</v>
      </c>
      <c r="AN50" s="104">
        <f>(AN49*POWER(AN$51/AN$39,1/12))+287993.085048911</f>
        <v>4011800.8583558155</v>
      </c>
      <c r="AO50" s="104">
        <f>(AO49*POWER(AO$51/AO$39,1/12))+304825.40033306</f>
        <v>4166858.430472238</v>
      </c>
      <c r="AP50" s="104">
        <f>(AP49*POWER(AP$51/AP$39,1/12))+23445.0290852959</f>
        <v>328886.3924399066</v>
      </c>
      <c r="AQ50" s="104">
        <f>(AQ49*POWER(AQ$51/AQ$39,1/12))+55063.8613080339</f>
        <v>757490.17445627938</v>
      </c>
      <c r="AR50" s="75"/>
      <c r="AS50" s="75"/>
    </row>
    <row r="51" spans="1:45" s="43" customFormat="1" x14ac:dyDescent="0.25">
      <c r="A51" s="47">
        <v>43831</v>
      </c>
      <c r="B51" s="94">
        <v>18631779</v>
      </c>
      <c r="C51" s="94">
        <v>2901294</v>
      </c>
      <c r="D51" s="94">
        <v>2735467</v>
      </c>
      <c r="E51" s="94">
        <v>5497037</v>
      </c>
      <c r="F51" s="94">
        <v>5377619</v>
      </c>
      <c r="G51" s="94">
        <v>635803</v>
      </c>
      <c r="H51" s="94">
        <v>1484559</v>
      </c>
      <c r="I51" s="86">
        <v>736735</v>
      </c>
      <c r="J51" s="86">
        <v>96079</v>
      </c>
      <c r="K51" s="86">
        <v>90848</v>
      </c>
      <c r="L51" s="86">
        <v>229926</v>
      </c>
      <c r="M51" s="86">
        <v>212232</v>
      </c>
      <c r="N51" s="86">
        <v>31644</v>
      </c>
      <c r="O51" s="86">
        <v>76006</v>
      </c>
      <c r="P51" s="90">
        <v>548755</v>
      </c>
      <c r="Q51" s="90">
        <v>62669</v>
      </c>
      <c r="R51" s="90">
        <v>58877</v>
      </c>
      <c r="S51" s="90">
        <v>170465</v>
      </c>
      <c r="T51" s="90">
        <v>155996</v>
      </c>
      <c r="U51" s="90">
        <v>29415</v>
      </c>
      <c r="V51" s="90">
        <v>71333</v>
      </c>
      <c r="W51" s="98">
        <v>1136156</v>
      </c>
      <c r="X51" s="98">
        <v>180670</v>
      </c>
      <c r="Y51" s="98">
        <v>171255</v>
      </c>
      <c r="Z51" s="98">
        <v>338634</v>
      </c>
      <c r="AA51" s="98">
        <v>355620</v>
      </c>
      <c r="AB51" s="98">
        <v>25834</v>
      </c>
      <c r="AC51" s="98">
        <v>64143</v>
      </c>
      <c r="AD51" s="102">
        <v>1916822</v>
      </c>
      <c r="AE51" s="102">
        <v>240226</v>
      </c>
      <c r="AF51" s="102">
        <v>223279</v>
      </c>
      <c r="AG51" s="102">
        <v>573619</v>
      </c>
      <c r="AH51" s="102">
        <v>652395</v>
      </c>
      <c r="AI51" s="102">
        <v>65830</v>
      </c>
      <c r="AJ51" s="102">
        <v>161473</v>
      </c>
      <c r="AK51" s="106">
        <v>3054189</v>
      </c>
      <c r="AL51" s="106">
        <v>599094</v>
      </c>
      <c r="AM51" s="106">
        <v>566443</v>
      </c>
      <c r="AN51" s="106">
        <v>851473</v>
      </c>
      <c r="AO51" s="106">
        <v>810212</v>
      </c>
      <c r="AP51" s="106">
        <v>72253</v>
      </c>
      <c r="AQ51" s="106">
        <v>154714</v>
      </c>
    </row>
    <row r="52" spans="1:45" x14ac:dyDescent="0.25">
      <c r="A52" s="41"/>
    </row>
    <row r="53" spans="1:45" x14ac:dyDescent="0.25">
      <c r="A5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на начало 2016г</vt:lpstr>
      <vt:lpstr>на начало 2017г</vt:lpstr>
      <vt:lpstr>на начало 2018г</vt:lpstr>
      <vt:lpstr>на начало 2019г</vt:lpstr>
      <vt:lpstr>на начало 2020г</vt:lpstr>
      <vt:lpstr>Лист1</vt:lpstr>
      <vt:lpstr>Датасет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Dilyara2</dc:creator>
  <cp:lastModifiedBy>Admin</cp:lastModifiedBy>
  <dcterms:created xsi:type="dcterms:W3CDTF">2020-05-28T05:02:43Z</dcterms:created>
  <dcterms:modified xsi:type="dcterms:W3CDTF">2020-06-08T16:53:16Z</dcterms:modified>
</cp:coreProperties>
</file>