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nk\Downloads\"/>
    </mc:Choice>
  </mc:AlternateContent>
  <xr:revisionPtr revIDLastSave="0" documentId="13_ncr:1_{4FA09008-3D65-44CD-94D9-D5400CD70510}" xr6:coauthVersionLast="47" xr6:coauthVersionMax="47" xr10:uidLastSave="{00000000-0000-0000-0000-000000000000}"/>
  <bookViews>
    <workbookView xWindow="-120" yWindow="-120" windowWidth="29040" windowHeight="16440" xr2:uid="{7BE8BBC8-C76C-4672-AAC3-A6F469C1E8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9" i="1"/>
  <c r="K40" i="1"/>
  <c r="K41" i="1"/>
  <c r="K42" i="1"/>
  <c r="K32" i="1"/>
  <c r="I33" i="1"/>
  <c r="I34" i="1"/>
  <c r="I35" i="1"/>
  <c r="I36" i="1"/>
  <c r="I37" i="1"/>
  <c r="I38" i="1"/>
  <c r="I39" i="1"/>
  <c r="I40" i="1"/>
  <c r="I41" i="1"/>
  <c r="I42" i="1"/>
  <c r="I32" i="1"/>
  <c r="G33" i="1"/>
  <c r="G34" i="1"/>
  <c r="G35" i="1"/>
  <c r="G36" i="1"/>
  <c r="G37" i="1"/>
  <c r="G38" i="1"/>
  <c r="G39" i="1"/>
  <c r="G40" i="1"/>
  <c r="G41" i="1"/>
  <c r="G42" i="1"/>
  <c r="G32" i="1"/>
  <c r="E33" i="1"/>
  <c r="E34" i="1"/>
  <c r="E35" i="1"/>
  <c r="E36" i="1"/>
  <c r="E37" i="1"/>
  <c r="E38" i="1"/>
  <c r="E39" i="1"/>
  <c r="E40" i="1"/>
  <c r="E41" i="1"/>
  <c r="E42" i="1"/>
  <c r="E32" i="1"/>
  <c r="C34" i="1"/>
  <c r="C35" i="1"/>
  <c r="C36" i="1"/>
  <c r="C37" i="1"/>
  <c r="C38" i="1"/>
  <c r="C39" i="1"/>
  <c r="C40" i="1"/>
  <c r="C41" i="1"/>
  <c r="C42" i="1"/>
  <c r="C33" i="1"/>
  <c r="C32" i="1"/>
  <c r="A33" i="1"/>
  <c r="A34" i="1"/>
  <c r="A35" i="1"/>
  <c r="A36" i="1"/>
  <c r="A37" i="1"/>
  <c r="A38" i="1"/>
  <c r="A39" i="1"/>
  <c r="A40" i="1"/>
  <c r="A41" i="1"/>
  <c r="A42" i="1"/>
  <c r="A32" i="1"/>
  <c r="P19" i="1"/>
  <c r="P20" i="1"/>
  <c r="P21" i="1"/>
  <c r="P22" i="1"/>
  <c r="P23" i="1"/>
  <c r="P24" i="1"/>
  <c r="P25" i="1"/>
  <c r="P26" i="1"/>
  <c r="P27" i="1"/>
  <c r="G18" i="1"/>
  <c r="O27" i="1"/>
  <c r="O26" i="1" s="1"/>
  <c r="O25" i="1" s="1"/>
  <c r="O24" i="1" s="1"/>
  <c r="O23" i="1" s="1"/>
  <c r="O22" i="1" s="1"/>
  <c r="O21" i="1" s="1"/>
  <c r="O20" i="1" s="1"/>
  <c r="N20" i="1"/>
  <c r="N21" i="1"/>
  <c r="N22" i="1" s="1"/>
  <c r="N23" i="1" s="1"/>
  <c r="N24" i="1" s="1"/>
  <c r="N25" i="1" s="1"/>
  <c r="N26" i="1" s="1"/>
  <c r="N27" i="1" s="1"/>
  <c r="N28" i="1" s="1"/>
  <c r="N19" i="1"/>
  <c r="N18" i="1"/>
  <c r="M21" i="1"/>
  <c r="M22" i="1" s="1"/>
  <c r="M23" i="1" s="1"/>
  <c r="M24" i="1" s="1"/>
  <c r="M25" i="1" s="1"/>
  <c r="M26" i="1" s="1"/>
  <c r="M27" i="1" s="1"/>
  <c r="M28" i="1" s="1"/>
  <c r="M20" i="1"/>
  <c r="M19" i="1"/>
  <c r="M18" i="1"/>
  <c r="K20" i="1"/>
  <c r="K21" i="1"/>
  <c r="K22" i="1"/>
  <c r="K23" i="1"/>
  <c r="K24" i="1"/>
  <c r="K25" i="1"/>
  <c r="K26" i="1"/>
  <c r="K27" i="1"/>
  <c r="K19" i="1"/>
  <c r="I19" i="1"/>
  <c r="J20" i="1"/>
  <c r="J21" i="1"/>
  <c r="J22" i="1"/>
  <c r="J23" i="1"/>
  <c r="J24" i="1"/>
  <c r="J25" i="1"/>
  <c r="J26" i="1"/>
  <c r="J27" i="1"/>
  <c r="J19" i="1"/>
  <c r="I20" i="1"/>
  <c r="I21" i="1"/>
  <c r="I22" i="1"/>
  <c r="I23" i="1"/>
  <c r="I24" i="1"/>
  <c r="I25" i="1"/>
  <c r="I26" i="1"/>
  <c r="I27" i="1"/>
  <c r="G19" i="1"/>
  <c r="G20" i="1"/>
  <c r="G21" i="1"/>
  <c r="G22" i="1"/>
  <c r="G23" i="1"/>
  <c r="G24" i="1"/>
  <c r="G25" i="1"/>
  <c r="G26" i="1"/>
  <c r="G27" i="1"/>
  <c r="G28" i="1"/>
  <c r="F19" i="1"/>
  <c r="F20" i="1"/>
  <c r="F21" i="1"/>
  <c r="F22" i="1"/>
  <c r="F23" i="1"/>
  <c r="F24" i="1"/>
  <c r="F25" i="1"/>
  <c r="F26" i="1"/>
  <c r="F27" i="1"/>
  <c r="F28" i="1"/>
  <c r="F18" i="1"/>
  <c r="E19" i="1"/>
  <c r="E20" i="1"/>
  <c r="E21" i="1"/>
  <c r="E22" i="1"/>
  <c r="E23" i="1"/>
  <c r="E24" i="1"/>
  <c r="E25" i="1"/>
  <c r="E26" i="1"/>
  <c r="E27" i="1"/>
  <c r="E28" i="1"/>
  <c r="E18" i="1"/>
  <c r="A19" i="1"/>
  <c r="A20" i="1"/>
  <c r="A21" i="1"/>
  <c r="A22" i="1"/>
  <c r="A23" i="1"/>
  <c r="A24" i="1"/>
  <c r="A25" i="1"/>
  <c r="A26" i="1"/>
  <c r="A27" i="1"/>
  <c r="A28" i="1"/>
  <c r="A18" i="1"/>
  <c r="D20" i="1"/>
  <c r="D21" i="1"/>
  <c r="D22" i="1" s="1"/>
  <c r="D23" i="1" s="1"/>
  <c r="D24" i="1" s="1"/>
  <c r="D25" i="1" s="1"/>
  <c r="D26" i="1" s="1"/>
  <c r="D27" i="1" s="1"/>
  <c r="D28" i="1" s="1"/>
  <c r="D19" i="1"/>
  <c r="C20" i="1"/>
  <c r="C21" i="1"/>
  <c r="C22" i="1"/>
  <c r="C23" i="1"/>
  <c r="C24" i="1" s="1"/>
  <c r="C25" i="1" s="1"/>
  <c r="C26" i="1" s="1"/>
  <c r="C27" i="1" s="1"/>
  <c r="C28" i="1" s="1"/>
  <c r="C19" i="1"/>
  <c r="B28" i="1"/>
  <c r="B26" i="1"/>
  <c r="B27" i="1"/>
  <c r="B20" i="1"/>
  <c r="B21" i="1"/>
  <c r="B22" i="1" s="1"/>
  <c r="B23" i="1" s="1"/>
  <c r="B24" i="1" s="1"/>
  <c r="B25" i="1" s="1"/>
  <c r="B19" i="1"/>
  <c r="A15" i="1"/>
  <c r="B12" i="1"/>
  <c r="A12" i="1"/>
  <c r="E9" i="1"/>
  <c r="F9" i="1"/>
  <c r="A9" i="1"/>
  <c r="O18" i="1" l="1"/>
  <c r="O19" i="1"/>
</calcChain>
</file>

<file path=xl/sharedStrings.xml><?xml version="1.0" encoding="utf-8"?>
<sst xmlns="http://schemas.openxmlformats.org/spreadsheetml/2006/main" count="37" uniqueCount="33">
  <si>
    <t>m</t>
  </si>
  <si>
    <t>A0</t>
  </si>
  <si>
    <t>k</t>
  </si>
  <si>
    <r>
      <rPr>
        <sz val="11"/>
        <color theme="1"/>
        <rFont val="Calibri"/>
        <family val="2"/>
        <charset val="204"/>
      </rPr>
      <t>ω</t>
    </r>
    <r>
      <rPr>
        <sz val="11"/>
        <color theme="1"/>
        <rFont val="Calibri"/>
        <family val="2"/>
        <charset val="204"/>
        <scheme val="minor"/>
      </rPr>
      <t>0</t>
    </r>
  </si>
  <si>
    <r>
      <rPr>
        <sz val="11"/>
        <color theme="1"/>
        <rFont val="Calibri"/>
        <family val="2"/>
        <charset val="204"/>
      </rPr>
      <t>ϕ</t>
    </r>
    <r>
      <rPr>
        <sz val="11"/>
        <color theme="1"/>
        <rFont val="Calibri"/>
        <family val="2"/>
        <charset val="204"/>
        <scheme val="minor"/>
      </rPr>
      <t>0</t>
    </r>
  </si>
  <si>
    <t>η</t>
  </si>
  <si>
    <t>β</t>
  </si>
  <si>
    <t>R</t>
  </si>
  <si>
    <t>ρ</t>
  </si>
  <si>
    <t>ω</t>
  </si>
  <si>
    <t>b</t>
  </si>
  <si>
    <t>hA</t>
  </si>
  <si>
    <t>ht</t>
  </si>
  <si>
    <t>i</t>
  </si>
  <si>
    <t>A</t>
  </si>
  <si>
    <t>t</t>
  </si>
  <si>
    <t>x</t>
  </si>
  <si>
    <t>p(t)</t>
  </si>
  <si>
    <t>q(t)</t>
  </si>
  <si>
    <t>f</t>
  </si>
  <si>
    <t>ai</t>
  </si>
  <si>
    <t>bi</t>
  </si>
  <si>
    <t>ci</t>
  </si>
  <si>
    <t>fi</t>
  </si>
  <si>
    <t>α</t>
  </si>
  <si>
    <t>y</t>
  </si>
  <si>
    <r>
      <rPr>
        <sz val="11"/>
        <color theme="1"/>
        <rFont val="Calibri"/>
        <family val="2"/>
        <charset val="204"/>
      </rPr>
      <t>tω</t>
    </r>
    <r>
      <rPr>
        <sz val="11"/>
        <color theme="1"/>
        <rFont val="Calibri"/>
        <family val="2"/>
        <charset val="204"/>
        <scheme val="minor"/>
      </rPr>
      <t>0+ϕ0</t>
    </r>
  </si>
  <si>
    <t>y_true</t>
  </si>
  <si>
    <t>скорость</t>
  </si>
  <si>
    <t>ускорение</t>
  </si>
  <si>
    <t>смещение</t>
  </si>
  <si>
    <t>численное</t>
  </si>
  <si>
    <t>аналитическое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</si>
</sst>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 конечных разностей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Лист1!$O$18:$O$28</c:f>
              <c:numCache>
                <c:formatCode>General</c:formatCode>
                <c:ptCount val="11"/>
                <c:pt idx="0">
                  <c:v>0</c:v>
                </c:pt>
                <c:pt idx="1">
                  <c:v>10099.824357404952</c:v>
                </c:pt>
                <c:pt idx="2">
                  <c:v>2564.3036385526407</c:v>
                </c:pt>
                <c:pt idx="3">
                  <c:v>-1834.5424504833156</c:v>
                </c:pt>
                <c:pt idx="4">
                  <c:v>-1096.8684714061515</c:v>
                </c:pt>
                <c:pt idx="5">
                  <c:v>172.99811443426003</c:v>
                </c:pt>
                <c:pt idx="6">
                  <c:v>313.86737254797623</c:v>
                </c:pt>
                <c:pt idx="7">
                  <c:v>37.114076593350802</c:v>
                </c:pt>
                <c:pt idx="8">
                  <c:v>-67.820947750203004</c:v>
                </c:pt>
                <c:pt idx="9">
                  <c:v>-26.353385901309899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6-4A86-849E-9E4E3523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00064"/>
        <c:axId val="2035603808"/>
      </c:scatterChart>
      <c:valAx>
        <c:axId val="203560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603808"/>
        <c:crosses val="autoZero"/>
        <c:crossBetween val="midCat"/>
      </c:valAx>
      <c:valAx>
        <c:axId val="20356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60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Скорость от времени</a:t>
            </a:r>
          </a:p>
        </c:rich>
      </c:tx>
      <c:layout>
        <c:manualLayout>
          <c:xMode val="edge"/>
          <c:yMode val="edge"/>
          <c:x val="0.206037688402722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Численное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Лист1!$D$18:$D$28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Лист1!$A$32:$A$42</c:f>
              <c:numCache>
                <c:formatCode>General</c:formatCode>
                <c:ptCount val="11"/>
                <c:pt idx="0">
                  <c:v>0</c:v>
                </c:pt>
                <c:pt idx="1">
                  <c:v>0.88119132635485953</c:v>
                </c:pt>
                <c:pt idx="2">
                  <c:v>2.6986697712968626</c:v>
                </c:pt>
                <c:pt idx="3">
                  <c:v>3.4973228058975483</c:v>
                </c:pt>
                <c:pt idx="4">
                  <c:v>1.7488399925290488</c:v>
                </c:pt>
                <c:pt idx="5">
                  <c:v>-2.3775356500131108</c:v>
                </c:pt>
                <c:pt idx="6">
                  <c:v>-6.8137053701915677</c:v>
                </c:pt>
                <c:pt idx="7">
                  <c:v>-8.673555315676472</c:v>
                </c:pt>
                <c:pt idx="8">
                  <c:v>-6.0328418800918939</c:v>
                </c:pt>
                <c:pt idx="9">
                  <c:v>0.64959675920210447</c:v>
                </c:pt>
                <c:pt idx="10">
                  <c:v>8.3901261757029282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4-47B7-B8DF-096FF0D1DA2A}"/>
            </c:ext>
          </c:extLst>
        </c:ser>
        <c:ser>
          <c:idx val="1"/>
          <c:order val="1"/>
          <c:tx>
            <c:v>Аналитическое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Лист1!$D$18:$D$28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Лист1!$G$32:$G$42</c:f>
              <c:numCache>
                <c:formatCode>General</c:formatCode>
                <c:ptCount val="11"/>
                <c:pt idx="0">
                  <c:v>0</c:v>
                </c:pt>
                <c:pt idx="1">
                  <c:v>0.91872536986556852</c:v>
                </c:pt>
                <c:pt idx="2">
                  <c:v>2.7938239945464338</c:v>
                </c:pt>
                <c:pt idx="3">
                  <c:v>3.615792681505837</c:v>
                </c:pt>
                <c:pt idx="4">
                  <c:v>1.742716944934912</c:v>
                </c:pt>
                <c:pt idx="5">
                  <c:v>-2.7140932817957726</c:v>
                </c:pt>
                <c:pt idx="6">
                  <c:v>-7.5661748256691759</c:v>
                </c:pt>
                <c:pt idx="7">
                  <c:v>-9.6219376462234045</c:v>
                </c:pt>
                <c:pt idx="8">
                  <c:v>-6.6318265766847926</c:v>
                </c:pt>
                <c:pt idx="9">
                  <c:v>1.0269894597503548</c:v>
                </c:pt>
                <c:pt idx="10">
                  <c:v>10.024812527586709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C4-47B7-B8DF-096FF0D1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21040"/>
        <c:axId val="1785422704"/>
      </c:scatterChart>
      <c:valAx>
        <c:axId val="17854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4957866943278797"/>
              <c:y val="0.8062029746281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422704"/>
        <c:crosses val="autoZero"/>
        <c:crossBetween val="midCat"/>
      </c:valAx>
      <c:valAx>
        <c:axId val="17854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542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Ускорение от времени</a:t>
            </a:r>
          </a:p>
        </c:rich>
      </c:tx>
      <c:layout>
        <c:manualLayout>
          <c:xMode val="edge"/>
          <c:yMode val="edge"/>
          <c:x val="0.180465786977904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130690416001521"/>
          <c:y val="0.18300925925925926"/>
          <c:w val="0.75037677587436302"/>
          <c:h val="0.61335629921259838"/>
        </c:manualLayout>
      </c:layout>
      <c:scatterChart>
        <c:scatterStyle val="smoothMarker"/>
        <c:varyColors val="0"/>
        <c:ser>
          <c:idx val="0"/>
          <c:order val="0"/>
          <c:tx>
            <c:v>Численное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Лист1!$D$18:$D$28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Лист1!$C$32:$C$42</c:f>
              <c:numCache>
                <c:formatCode>General</c:formatCode>
                <c:ptCount val="11"/>
                <c:pt idx="0">
                  <c:v>0</c:v>
                </c:pt>
                <c:pt idx="1">
                  <c:v>-0.14477157624354053</c:v>
                </c:pt>
                <c:pt idx="2">
                  <c:v>2.2477724590508714</c:v>
                </c:pt>
                <c:pt idx="3">
                  <c:v>5.4682874030771149</c:v>
                </c:pt>
                <c:pt idx="4">
                  <c:v>6.5569504517201338</c:v>
                </c:pt>
                <c:pt idx="5">
                  <c:v>3.4353725815262943</c:v>
                </c:pt>
                <c:pt idx="6">
                  <c:v>-3.3623993098851823</c:v>
                </c:pt>
                <c:pt idx="7">
                  <c:v>-10.534281079384558</c:v>
                </c:pt>
                <c:pt idx="8">
                  <c:v>-13.676763156974289</c:v>
                </c:pt>
                <c:pt idx="9">
                  <c:v>-9.9045871137698853</c:v>
                </c:pt>
                <c:pt idx="10">
                  <c:v>9.6951509960895521E-2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8-439C-BB46-79F1B9965C56}"/>
            </c:ext>
          </c:extLst>
        </c:ser>
        <c:ser>
          <c:idx val="1"/>
          <c:order val="1"/>
          <c:tx>
            <c:v>Аналитическое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Лист1!$D$18:$D$28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Лист1!$I$32:$I$42</c:f>
              <c:numCache>
                <c:formatCode>General</c:formatCode>
                <c:ptCount val="11"/>
                <c:pt idx="0">
                  <c:v>0</c:v>
                </c:pt>
                <c:pt idx="1">
                  <c:v>-0.76024459707563008</c:v>
                </c:pt>
                <c:pt idx="2">
                  <c:v>-0.31188738953074874</c:v>
                </c:pt>
                <c:pt idx="3">
                  <c:v>1.5694016828665682</c:v>
                </c:pt>
                <c:pt idx="4">
                  <c:v>3.8054525125033898</c:v>
                </c:pt>
                <c:pt idx="5">
                  <c:v>4.6170173087021809</c:v>
                </c:pt>
                <c:pt idx="6">
                  <c:v>2.7159711437541123</c:v>
                </c:pt>
                <c:pt idx="7">
                  <c:v>-1.6459519938608205</c:v>
                </c:pt>
                <c:pt idx="8">
                  <c:v>-6.4814688249183634</c:v>
                </c:pt>
                <c:pt idx="9">
                  <c:v>-8.9706547322244461</c:v>
                </c:pt>
                <c:pt idx="10">
                  <c:v>-7.0534790630844215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E8-439C-BB46-79F1B996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85584"/>
        <c:axId val="2039905968"/>
      </c:scatterChart>
      <c:valAx>
        <c:axId val="203988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49194413294786205"/>
              <c:y val="0.8195137066200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905968"/>
        <c:crosses val="autoZero"/>
        <c:crossBetween val="midCat"/>
      </c:valAx>
      <c:valAx>
        <c:axId val="20399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988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70682695572735"/>
          <c:y val="0.83976778944298625"/>
          <c:w val="0.733779382176201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Смещение от времени</a:t>
            </a:r>
          </a:p>
        </c:rich>
      </c:tx>
      <c:layout>
        <c:manualLayout>
          <c:xMode val="edge"/>
          <c:yMode val="edge"/>
          <c:x val="0.183223474311220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366935420497589"/>
          <c:y val="0.18300925925925926"/>
          <c:w val="0.72601128451757901"/>
          <c:h val="0.53465259550889477"/>
        </c:manualLayout>
      </c:layout>
      <c:scatterChart>
        <c:scatterStyle val="smoothMarker"/>
        <c:varyColors val="0"/>
        <c:ser>
          <c:idx val="0"/>
          <c:order val="0"/>
          <c:tx>
            <c:v>Численное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Лист1!$D$18:$D$28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Лист1!$E$32:$E$42</c:f>
              <c:numCache>
                <c:formatCode>General</c:formatCode>
                <c:ptCount val="11"/>
                <c:pt idx="0">
                  <c:v>0</c:v>
                </c:pt>
                <c:pt idx="1">
                  <c:v>0.88119132635485953</c:v>
                </c:pt>
                <c:pt idx="2">
                  <c:v>5.3973395425937252</c:v>
                </c:pt>
                <c:pt idx="3">
                  <c:v>10.491968417692645</c:v>
                </c:pt>
                <c:pt idx="4">
                  <c:v>6.995359970116195</c:v>
                </c:pt>
                <c:pt idx="5">
                  <c:v>-11.887678250065555</c:v>
                </c:pt>
                <c:pt idx="6">
                  <c:v>-40.882232221149408</c:v>
                </c:pt>
                <c:pt idx="7">
                  <c:v>-60.714887209735302</c:v>
                </c:pt>
                <c:pt idx="8">
                  <c:v>-48.262735040735151</c:v>
                </c:pt>
                <c:pt idx="9">
                  <c:v>5.8463708328189403</c:v>
                </c:pt>
                <c:pt idx="10">
                  <c:v>83.901261757029289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A-4F65-AB1E-7BFF3B7F1341}"/>
            </c:ext>
          </c:extLst>
        </c:ser>
        <c:ser>
          <c:idx val="1"/>
          <c:order val="1"/>
          <c:tx>
            <c:v>Аналитическое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Лист1!$D$18:$D$28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Лист1!$K$32:$K$42</c:f>
              <c:numCache>
                <c:formatCode>General</c:formatCode>
                <c:ptCount val="11"/>
                <c:pt idx="0">
                  <c:v>0</c:v>
                </c:pt>
                <c:pt idx="1">
                  <c:v>0.91872536986556852</c:v>
                </c:pt>
                <c:pt idx="2">
                  <c:v>5.5876479890928676</c:v>
                </c:pt>
                <c:pt idx="3">
                  <c:v>10.847378044517511</c:v>
                </c:pt>
                <c:pt idx="4">
                  <c:v>6.9708677797396481</c:v>
                </c:pt>
                <c:pt idx="5">
                  <c:v>-13.570466408978863</c:v>
                </c:pt>
                <c:pt idx="6">
                  <c:v>-45.397048954015055</c:v>
                </c:pt>
                <c:pt idx="7">
                  <c:v>-67.353563523563835</c:v>
                </c:pt>
                <c:pt idx="8">
                  <c:v>-53.054612613478341</c:v>
                </c:pt>
                <c:pt idx="9">
                  <c:v>9.2429051377531941</c:v>
                </c:pt>
                <c:pt idx="10">
                  <c:v>100.2481252758671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9A-4F65-AB1E-7BFF3B7F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77936"/>
        <c:axId val="1777678352"/>
      </c:scatterChart>
      <c:valAx>
        <c:axId val="17776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42363084853914218"/>
              <c:y val="0.7408100029163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678352"/>
        <c:crosses val="autoZero"/>
        <c:crossBetween val="midCat"/>
      </c:valAx>
      <c:valAx>
        <c:axId val="17776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6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738522954091816"/>
          <c:y val="0.82645705745115194"/>
          <c:w val="0.7287824351297405"/>
          <c:h val="0.16435403907844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95250</xdr:colOff>
      <xdr:row>0</xdr:row>
      <xdr:rowOff>19050</xdr:rowOff>
    </xdr:from>
    <xdr:to>
      <xdr:col>30</xdr:col>
      <xdr:colOff>209549</xdr:colOff>
      <xdr:row>55</xdr:row>
      <xdr:rowOff>60241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5913616-A0CB-4C3C-87C8-24C671A0C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19050"/>
          <a:ext cx="8648699" cy="1051869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28576</xdr:colOff>
      <xdr:row>2</xdr:row>
      <xdr:rowOff>95251</xdr:rowOff>
    </xdr:from>
    <xdr:to>
      <xdr:col>9</xdr:col>
      <xdr:colOff>59600</xdr:colOff>
      <xdr:row>5</xdr:row>
      <xdr:rowOff>114301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7B05101-771C-4013-80D3-47B91D39C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6" y="476251"/>
          <a:ext cx="5517424" cy="5905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9</xdr:col>
      <xdr:colOff>200025</xdr:colOff>
      <xdr:row>0</xdr:row>
      <xdr:rowOff>85725</xdr:rowOff>
    </xdr:from>
    <xdr:to>
      <xdr:col>16</xdr:col>
      <xdr:colOff>57150</xdr:colOff>
      <xdr:row>14</xdr:row>
      <xdr:rowOff>161925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CDB5507-B9E4-4852-B25C-DBC125BC8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28575</xdr:rowOff>
    </xdr:from>
    <xdr:to>
      <xdr:col>5</xdr:col>
      <xdr:colOff>133350</xdr:colOff>
      <xdr:row>56</xdr:row>
      <xdr:rowOff>104775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701E5FA-AD97-467F-9053-0796BC80A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185736</xdr:colOff>
      <xdr:row>42</xdr:row>
      <xdr:rowOff>38100</xdr:rowOff>
    </xdr:from>
    <xdr:to>
      <xdr:col>10</xdr:col>
      <xdr:colOff>409575</xdr:colOff>
      <xdr:row>56</xdr:row>
      <xdr:rowOff>114300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54B0C9E-7A7C-433D-A059-155AC053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476250</xdr:colOff>
      <xdr:row>42</xdr:row>
      <xdr:rowOff>38100</xdr:rowOff>
    </xdr:from>
    <xdr:to>
      <xdr:col>16</xdr:col>
      <xdr:colOff>0</xdr:colOff>
      <xdr:row>56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E5B63A7-A181-4480-BD0B-2F60EA178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2F8B-54D0-419A-A651-33C2ABE4D00E}">
  <dimension ref="A1:R46"/>
  <sheetViews>
    <sheetView tabSelected="1" workbookViewId="0">
      <selection activeCell="N36" sqref="N36"/>
    </sheetView>
  </sheetViews>
  <sheetFormatPr defaultRowHeight="15" x14ac:dyDescent="0.25"/>
  <cols>
    <col min="1" max="1638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</row>
    <row r="2" spans="1:6" x14ac:dyDescent="0.25">
      <c r="A2" s="2">
        <v>200</v>
      </c>
      <c r="B2" s="2">
        <v>20</v>
      </c>
      <c r="C2" s="2">
        <v>100</v>
      </c>
    </row>
    <row r="8" spans="1:6" x14ac:dyDescent="0.25">
      <c r="A8" s="3" t="s">
        <v>3</v>
      </c>
      <c r="B8" s="3" t="s">
        <v>4</v>
      </c>
      <c r="C8" s="4" t="s">
        <v>5</v>
      </c>
      <c r="D8" s="4" t="s">
        <v>8</v>
      </c>
      <c r="E8" s="3" t="s">
        <v>7</v>
      </c>
      <c r="F8" s="4" t="s">
        <v>6</v>
      </c>
    </row>
    <row r="9" spans="1:6" x14ac:dyDescent="0.25">
      <c r="A9" s="3">
        <f>SQRT(C2/A2)</f>
        <v>0.70710678118654757</v>
      </c>
      <c r="B9" s="3">
        <v>0</v>
      </c>
      <c r="C9" s="3">
        <v>1.8</v>
      </c>
      <c r="D9" s="3">
        <v>7700</v>
      </c>
      <c r="E9" s="3">
        <f>((3*A2)/(D9*4*PI()))^(1/3)</f>
        <v>0.18371737031067673</v>
      </c>
      <c r="F9" s="3">
        <f>((3*PI()*E9)/A2)*C9</f>
        <v>1.5583458804431153E-2</v>
      </c>
    </row>
    <row r="11" spans="1:6" x14ac:dyDescent="0.25">
      <c r="A11" s="3" t="s">
        <v>9</v>
      </c>
      <c r="B11" s="3" t="s">
        <v>10</v>
      </c>
    </row>
    <row r="12" spans="1:6" x14ac:dyDescent="0.25">
      <c r="A12" s="3">
        <f>SQRT(A9^2-F9^2)</f>
        <v>0.70693504355894732</v>
      </c>
      <c r="B12" s="3">
        <f>6*PI()*E9*C9</f>
        <v>6.2333835217724616</v>
      </c>
    </row>
    <row r="14" spans="1:6" x14ac:dyDescent="0.25">
      <c r="A14" s="5" t="s">
        <v>11</v>
      </c>
      <c r="B14" s="5" t="s">
        <v>12</v>
      </c>
    </row>
    <row r="15" spans="1:6" x14ac:dyDescent="0.25">
      <c r="A15" s="5">
        <f>B2/10</f>
        <v>2</v>
      </c>
      <c r="B15" s="5">
        <v>1</v>
      </c>
    </row>
    <row r="17" spans="1:16" x14ac:dyDescent="0.25">
      <c r="A17" s="7" t="s">
        <v>26</v>
      </c>
      <c r="B17" s="7" t="s">
        <v>13</v>
      </c>
      <c r="C17" s="7" t="s">
        <v>14</v>
      </c>
      <c r="D17" s="7" t="s">
        <v>15</v>
      </c>
      <c r="E17" s="11" t="s">
        <v>16</v>
      </c>
      <c r="F17" s="6" t="s">
        <v>17</v>
      </c>
      <c r="G17" s="6" t="s">
        <v>18</v>
      </c>
      <c r="H17" s="6" t="s">
        <v>19</v>
      </c>
      <c r="I17" s="8" t="s">
        <v>20</v>
      </c>
      <c r="J17" s="8" t="s">
        <v>21</v>
      </c>
      <c r="K17" s="8" t="s">
        <v>22</v>
      </c>
      <c r="L17" s="8" t="s">
        <v>23</v>
      </c>
      <c r="M17" s="9" t="s">
        <v>24</v>
      </c>
      <c r="N17" s="9" t="s">
        <v>6</v>
      </c>
      <c r="O17" s="10" t="s">
        <v>25</v>
      </c>
      <c r="P17" s="10" t="s">
        <v>27</v>
      </c>
    </row>
    <row r="18" spans="1:16" x14ac:dyDescent="0.25">
      <c r="A18" s="7">
        <f>D18*$A$9+$B$9</f>
        <v>0</v>
      </c>
      <c r="B18" s="7">
        <v>0</v>
      </c>
      <c r="C18" s="7">
        <v>0</v>
      </c>
      <c r="D18" s="7">
        <v>0</v>
      </c>
      <c r="E18" s="11">
        <f>C18*EXP(-$F$9*D18)*COS($A$12*D18+$B$9)</f>
        <v>0</v>
      </c>
      <c r="F18" s="6">
        <f>$B$12/$A$2</f>
        <v>3.1166917608862307E-2</v>
      </c>
      <c r="G18" s="6">
        <f>$C$2/$A$2</f>
        <v>0.5</v>
      </c>
      <c r="H18" s="6">
        <v>0</v>
      </c>
      <c r="I18" s="8">
        <v>0</v>
      </c>
      <c r="J18" s="8">
        <v>0</v>
      </c>
      <c r="K18" s="8">
        <v>-1</v>
      </c>
      <c r="L18" s="8">
        <v>0</v>
      </c>
      <c r="M18" s="8">
        <f>J18/K18</f>
        <v>0</v>
      </c>
      <c r="N18" s="8">
        <f>-H18/K18</f>
        <v>0</v>
      </c>
      <c r="O18" s="10">
        <f>N18+M18*O19</f>
        <v>0</v>
      </c>
      <c r="P18" s="10">
        <v>0</v>
      </c>
    </row>
    <row r="19" spans="1:16" x14ac:dyDescent="0.25">
      <c r="A19" s="7">
        <f t="shared" ref="A19:A28" si="0">D19*$A$9+$B$9</f>
        <v>0.70710678118654757</v>
      </c>
      <c r="B19" s="7">
        <f>B18+1</f>
        <v>1</v>
      </c>
      <c r="C19" s="7">
        <f>C18+$A$15</f>
        <v>2</v>
      </c>
      <c r="D19" s="7">
        <f>D18+$B$15</f>
        <v>1</v>
      </c>
      <c r="E19" s="11">
        <f t="shared" ref="E19:E28" si="1">C19*EXP(-$F$9*D19)*COS($A$12*D19+$B$9)</f>
        <v>1.4971980410140908</v>
      </c>
      <c r="F19" s="6">
        <f t="shared" ref="F19:F28" si="2">$B$12/$A$2</f>
        <v>3.1166917608862307E-2</v>
      </c>
      <c r="G19" s="6">
        <f t="shared" ref="G19:G28" si="3">$C$2/$A$2</f>
        <v>0.5</v>
      </c>
      <c r="H19" s="6">
        <v>0</v>
      </c>
      <c r="I19" s="8">
        <f>(1/4)-(F19/8)</f>
        <v>0.24610413529889222</v>
      </c>
      <c r="J19" s="8">
        <f>(2*1)/4+0.5</f>
        <v>1</v>
      </c>
      <c r="K19" s="8">
        <f>(1/4)+(F19/8)</f>
        <v>0.25389586470110781</v>
      </c>
      <c r="L19" s="8">
        <v>0</v>
      </c>
      <c r="M19" s="8">
        <f>J19/(K19-I19*M18)</f>
        <v>3.9386226363994687</v>
      </c>
      <c r="N19" s="8">
        <f>-(H19-I19*N18)/(K19-I19*I19)</f>
        <v>0</v>
      </c>
      <c r="O19" s="10">
        <f>N19+M19*O20</f>
        <v>10099.824357404952</v>
      </c>
      <c r="P19" s="10">
        <f t="shared" ref="P19:P26" si="4">I19*O18-K19*O19+J19*O20</f>
        <v>0</v>
      </c>
    </row>
    <row r="20" spans="1:16" x14ac:dyDescent="0.25">
      <c r="A20" s="7">
        <f t="shared" si="0"/>
        <v>1.4142135623730951</v>
      </c>
      <c r="B20" s="7">
        <f t="shared" ref="B20:B27" si="5">B19+1</f>
        <v>2</v>
      </c>
      <c r="C20" s="7">
        <f t="shared" ref="C20:C28" si="6">C19+$A$15</f>
        <v>4</v>
      </c>
      <c r="D20" s="7">
        <f t="shared" ref="D20:D28" si="7">D19+$B$15</f>
        <v>2</v>
      </c>
      <c r="E20" s="11">
        <f t="shared" si="1"/>
        <v>0.60594889188773349</v>
      </c>
      <c r="F20" s="6">
        <f t="shared" si="2"/>
        <v>3.1166917608862307E-2</v>
      </c>
      <c r="G20" s="6">
        <f t="shared" si="3"/>
        <v>0.5</v>
      </c>
      <c r="H20" s="6">
        <v>0</v>
      </c>
      <c r="I20" s="8">
        <f t="shared" ref="I20:I27" si="8">(1/4)-(F20/8)</f>
        <v>0.24610413529889222</v>
      </c>
      <c r="J20" s="8">
        <f t="shared" ref="J20:J27" si="9">(2*1)/4+0.5</f>
        <v>1</v>
      </c>
      <c r="K20" s="8">
        <f t="shared" ref="K20:K27" si="10">(1/4)+(F20/8)</f>
        <v>0.25389586470110781</v>
      </c>
      <c r="L20" s="8">
        <v>0</v>
      </c>
      <c r="M20" s="8">
        <f>J20/(K20-I20*M19)</f>
        <v>-1.3977892078087739</v>
      </c>
      <c r="N20" s="8">
        <f t="shared" ref="N20:N28" si="11">-(H20-I20*N19)/(K20-I20*I20)</f>
        <v>0</v>
      </c>
      <c r="O20" s="10">
        <f t="shared" ref="O19:O28" si="12">N20+M20*O21</f>
        <v>2564.3036385526407</v>
      </c>
      <c r="P20" s="10">
        <f t="shared" si="4"/>
        <v>0</v>
      </c>
    </row>
    <row r="21" spans="1:16" x14ac:dyDescent="0.25">
      <c r="A21" s="7">
        <f t="shared" si="0"/>
        <v>2.1213203435596428</v>
      </c>
      <c r="B21" s="7">
        <f t="shared" si="5"/>
        <v>3</v>
      </c>
      <c r="C21" s="7">
        <f t="shared" si="6"/>
        <v>6</v>
      </c>
      <c r="D21" s="7">
        <f t="shared" si="7"/>
        <v>3</v>
      </c>
      <c r="E21" s="11">
        <f t="shared" si="1"/>
        <v>-2.9929257650958907</v>
      </c>
      <c r="F21" s="6">
        <f t="shared" si="2"/>
        <v>3.1166917608862307E-2</v>
      </c>
      <c r="G21" s="6">
        <f t="shared" si="3"/>
        <v>0.5</v>
      </c>
      <c r="H21" s="6">
        <v>0</v>
      </c>
      <c r="I21" s="8">
        <f t="shared" si="8"/>
        <v>0.24610413529889222</v>
      </c>
      <c r="J21" s="8">
        <f t="shared" si="9"/>
        <v>1</v>
      </c>
      <c r="K21" s="8">
        <f t="shared" si="10"/>
        <v>0.25389586470110781</v>
      </c>
      <c r="L21" s="8">
        <v>0</v>
      </c>
      <c r="M21" s="8">
        <f t="shared" ref="M21:M28" si="13">J21/(K21-I21*M20)</f>
        <v>1.6725272886470053</v>
      </c>
      <c r="N21" s="8">
        <f t="shared" si="11"/>
        <v>0</v>
      </c>
      <c r="O21" s="10">
        <f t="shared" si="12"/>
        <v>-1834.5424504833156</v>
      </c>
      <c r="P21" s="10">
        <f t="shared" si="4"/>
        <v>0</v>
      </c>
    </row>
    <row r="22" spans="1:16" x14ac:dyDescent="0.25">
      <c r="A22" s="7">
        <f t="shared" si="0"/>
        <v>2.8284271247461903</v>
      </c>
      <c r="B22" s="7">
        <f t="shared" si="5"/>
        <v>4</v>
      </c>
      <c r="C22" s="7">
        <f t="shared" si="6"/>
        <v>8</v>
      </c>
      <c r="D22" s="7">
        <f t="shared" si="7"/>
        <v>4</v>
      </c>
      <c r="E22" s="11">
        <f t="shared" si="1"/>
        <v>-7.1493793256215135</v>
      </c>
      <c r="F22" s="6">
        <f t="shared" si="2"/>
        <v>3.1166917608862307E-2</v>
      </c>
      <c r="G22" s="6">
        <f t="shared" si="3"/>
        <v>0.5</v>
      </c>
      <c r="H22" s="6">
        <v>0</v>
      </c>
      <c r="I22" s="8">
        <f t="shared" si="8"/>
        <v>0.24610413529889222</v>
      </c>
      <c r="J22" s="8">
        <f t="shared" si="9"/>
        <v>1</v>
      </c>
      <c r="K22" s="8">
        <f t="shared" si="10"/>
        <v>0.25389586470110781</v>
      </c>
      <c r="L22" s="8">
        <v>0</v>
      </c>
      <c r="M22" s="8">
        <f t="shared" si="13"/>
        <v>-6.3403492864251181</v>
      </c>
      <c r="N22" s="8">
        <f t="shared" si="11"/>
        <v>0</v>
      </c>
      <c r="O22" s="10">
        <f t="shared" si="12"/>
        <v>-1096.8684714061515</v>
      </c>
      <c r="P22" s="10">
        <f t="shared" si="4"/>
        <v>0</v>
      </c>
    </row>
    <row r="23" spans="1:16" x14ac:dyDescent="0.25">
      <c r="A23" s="7">
        <f t="shared" si="0"/>
        <v>3.5355339059327378</v>
      </c>
      <c r="B23" s="7">
        <f t="shared" si="5"/>
        <v>5</v>
      </c>
      <c r="C23" s="7">
        <f t="shared" si="6"/>
        <v>10</v>
      </c>
      <c r="D23" s="7">
        <f t="shared" si="7"/>
        <v>5</v>
      </c>
      <c r="E23" s="11">
        <f t="shared" si="1"/>
        <v>-8.5449056695735202</v>
      </c>
      <c r="F23" s="6">
        <f t="shared" si="2"/>
        <v>3.1166917608862307E-2</v>
      </c>
      <c r="G23" s="6">
        <f t="shared" si="3"/>
        <v>0.5</v>
      </c>
      <c r="H23" s="6">
        <v>0</v>
      </c>
      <c r="I23" s="8">
        <f t="shared" si="8"/>
        <v>0.24610413529889222</v>
      </c>
      <c r="J23" s="8">
        <f t="shared" si="9"/>
        <v>1</v>
      </c>
      <c r="K23" s="8">
        <f t="shared" si="10"/>
        <v>0.25389586470110781</v>
      </c>
      <c r="L23" s="8">
        <v>0</v>
      </c>
      <c r="M23" s="8">
        <f t="shared" si="13"/>
        <v>0.55118221760312591</v>
      </c>
      <c r="N23" s="8">
        <f t="shared" si="11"/>
        <v>0</v>
      </c>
      <c r="O23" s="10">
        <f t="shared" si="12"/>
        <v>172.99811443426003</v>
      </c>
      <c r="P23" s="10">
        <f t="shared" si="4"/>
        <v>0</v>
      </c>
    </row>
    <row r="24" spans="1:16" x14ac:dyDescent="0.25">
      <c r="A24" s="7">
        <f t="shared" si="0"/>
        <v>4.2426406871192857</v>
      </c>
      <c r="B24" s="7">
        <f t="shared" si="5"/>
        <v>6</v>
      </c>
      <c r="C24" s="7">
        <f t="shared" si="6"/>
        <v>12</v>
      </c>
      <c r="D24" s="7">
        <f t="shared" si="7"/>
        <v>6</v>
      </c>
      <c r="E24" s="11">
        <f t="shared" si="1"/>
        <v>-4.9571115580007543</v>
      </c>
      <c r="F24" s="6">
        <f t="shared" si="2"/>
        <v>3.1166917608862307E-2</v>
      </c>
      <c r="G24" s="6">
        <f t="shared" si="3"/>
        <v>0.5</v>
      </c>
      <c r="H24" s="6">
        <v>0</v>
      </c>
      <c r="I24" s="8">
        <f t="shared" si="8"/>
        <v>0.24610413529889222</v>
      </c>
      <c r="J24" s="8">
        <f t="shared" si="9"/>
        <v>1</v>
      </c>
      <c r="K24" s="8">
        <f t="shared" si="10"/>
        <v>0.25389586470110781</v>
      </c>
      <c r="L24" s="8">
        <v>0</v>
      </c>
      <c r="M24" s="8">
        <f t="shared" si="13"/>
        <v>8.4568282807339834</v>
      </c>
      <c r="N24" s="8">
        <f t="shared" si="11"/>
        <v>0</v>
      </c>
      <c r="O24" s="10">
        <f t="shared" si="12"/>
        <v>313.86737254797623</v>
      </c>
      <c r="P24" s="10">
        <f t="shared" si="4"/>
        <v>0</v>
      </c>
    </row>
    <row r="25" spans="1:16" x14ac:dyDescent="0.25">
      <c r="A25" s="7">
        <f t="shared" si="0"/>
        <v>4.9497474683058327</v>
      </c>
      <c r="B25" s="7">
        <f t="shared" si="5"/>
        <v>7</v>
      </c>
      <c r="C25" s="7">
        <f t="shared" si="6"/>
        <v>14</v>
      </c>
      <c r="D25" s="7">
        <f t="shared" si="7"/>
        <v>7</v>
      </c>
      <c r="E25" s="11">
        <f t="shared" si="1"/>
        <v>2.937031883058109</v>
      </c>
      <c r="F25" s="6">
        <f t="shared" si="2"/>
        <v>3.1166917608862307E-2</v>
      </c>
      <c r="G25" s="6">
        <f t="shared" si="3"/>
        <v>0.5</v>
      </c>
      <c r="H25" s="6">
        <v>0</v>
      </c>
      <c r="I25" s="8">
        <f t="shared" si="8"/>
        <v>0.24610413529889222</v>
      </c>
      <c r="J25" s="8">
        <f t="shared" si="9"/>
        <v>1</v>
      </c>
      <c r="K25" s="8">
        <f t="shared" si="10"/>
        <v>0.25389586470110781</v>
      </c>
      <c r="L25" s="8">
        <v>0</v>
      </c>
      <c r="M25" s="8">
        <f t="shared" si="13"/>
        <v>-0.54723618328143619</v>
      </c>
      <c r="N25" s="8">
        <f t="shared" si="11"/>
        <v>0</v>
      </c>
      <c r="O25" s="10">
        <f t="shared" si="12"/>
        <v>37.114076593350802</v>
      </c>
      <c r="P25" s="10">
        <f t="shared" si="4"/>
        <v>0</v>
      </c>
    </row>
    <row r="26" spans="1:16" x14ac:dyDescent="0.25">
      <c r="A26" s="7">
        <f t="shared" si="0"/>
        <v>5.6568542494923806</v>
      </c>
      <c r="B26" s="7">
        <f>B25+1</f>
        <v>8</v>
      </c>
      <c r="C26" s="7">
        <f t="shared" si="6"/>
        <v>16</v>
      </c>
      <c r="D26" s="7">
        <f t="shared" si="7"/>
        <v>8</v>
      </c>
      <c r="E26" s="11">
        <f t="shared" si="1"/>
        <v>11.432168672666187</v>
      </c>
      <c r="F26" s="6">
        <f t="shared" si="2"/>
        <v>3.1166917608862307E-2</v>
      </c>
      <c r="G26" s="6">
        <f t="shared" si="3"/>
        <v>0.5</v>
      </c>
      <c r="H26" s="6">
        <v>0</v>
      </c>
      <c r="I26" s="8">
        <f t="shared" si="8"/>
        <v>0.24610413529889222</v>
      </c>
      <c r="J26" s="8">
        <f t="shared" si="9"/>
        <v>1</v>
      </c>
      <c r="K26" s="8">
        <f t="shared" si="10"/>
        <v>0.25389586470110781</v>
      </c>
      <c r="L26" s="8">
        <v>0</v>
      </c>
      <c r="M26" s="8">
        <f t="shared" si="13"/>
        <v>2.5735193194598938</v>
      </c>
      <c r="N26" s="8">
        <f t="shared" si="11"/>
        <v>0</v>
      </c>
      <c r="O26" s="10">
        <f t="shared" si="12"/>
        <v>-67.820947750203004</v>
      </c>
      <c r="P26" s="10">
        <f t="shared" si="4"/>
        <v>0</v>
      </c>
    </row>
    <row r="27" spans="1:16" x14ac:dyDescent="0.25">
      <c r="A27" s="7">
        <f t="shared" si="0"/>
        <v>6.3639610306789285</v>
      </c>
      <c r="B27" s="7">
        <f t="shared" si="5"/>
        <v>9</v>
      </c>
      <c r="C27" s="7">
        <f t="shared" si="6"/>
        <v>18</v>
      </c>
      <c r="D27" s="7">
        <f t="shared" si="7"/>
        <v>9</v>
      </c>
      <c r="E27" s="11">
        <f t="shared" si="1"/>
        <v>15.595441127922264</v>
      </c>
      <c r="F27" s="6">
        <f t="shared" si="2"/>
        <v>3.1166917608862307E-2</v>
      </c>
      <c r="G27" s="6">
        <f t="shared" si="3"/>
        <v>0.5</v>
      </c>
      <c r="H27" s="6">
        <v>0</v>
      </c>
      <c r="I27" s="8">
        <f t="shared" si="8"/>
        <v>0.24610413529889222</v>
      </c>
      <c r="J27" s="8">
        <f t="shared" si="9"/>
        <v>1</v>
      </c>
      <c r="K27" s="8">
        <f t="shared" si="10"/>
        <v>0.25389586470110781</v>
      </c>
      <c r="L27" s="8">
        <v>0</v>
      </c>
      <c r="M27" s="8">
        <f t="shared" si="13"/>
        <v>-2.6353385901309898</v>
      </c>
      <c r="N27" s="8">
        <f t="shared" si="11"/>
        <v>0</v>
      </c>
      <c r="O27" s="10">
        <f t="shared" si="12"/>
        <v>-26.353385901309899</v>
      </c>
      <c r="P27" s="10">
        <f>I27*O26-K27*O27+J27*O28</f>
        <v>0</v>
      </c>
    </row>
    <row r="28" spans="1:16" x14ac:dyDescent="0.25">
      <c r="A28" s="7">
        <f t="shared" si="0"/>
        <v>7.0710678118654755</v>
      </c>
      <c r="B28" s="7">
        <f>B27+1</f>
        <v>10</v>
      </c>
      <c r="C28" s="7">
        <f t="shared" si="6"/>
        <v>20</v>
      </c>
      <c r="D28" s="7">
        <f t="shared" si="7"/>
        <v>10</v>
      </c>
      <c r="E28" s="11">
        <f t="shared" si="1"/>
        <v>12.092150724862337</v>
      </c>
      <c r="F28" s="6">
        <f t="shared" si="2"/>
        <v>3.1166917608862307E-2</v>
      </c>
      <c r="G28" s="6">
        <f t="shared" si="3"/>
        <v>0.5</v>
      </c>
      <c r="H28" s="6">
        <v>0</v>
      </c>
      <c r="I28" s="8">
        <v>0</v>
      </c>
      <c r="J28" s="8">
        <v>0</v>
      </c>
      <c r="K28" s="8">
        <v>-1</v>
      </c>
      <c r="L28" s="8">
        <v>0</v>
      </c>
      <c r="M28" s="8">
        <f t="shared" si="13"/>
        <v>0</v>
      </c>
      <c r="N28" s="8">
        <f t="shared" si="11"/>
        <v>0</v>
      </c>
      <c r="O28" s="10">
        <v>10</v>
      </c>
      <c r="P28" s="10">
        <v>0</v>
      </c>
    </row>
    <row r="30" spans="1:16" x14ac:dyDescent="0.25">
      <c r="A30" s="18" t="s">
        <v>31</v>
      </c>
      <c r="B30" s="18"/>
      <c r="C30" s="18"/>
      <c r="D30" s="18"/>
      <c r="E30" s="18"/>
      <c r="F30" s="18"/>
      <c r="G30" s="17" t="s">
        <v>32</v>
      </c>
      <c r="H30" s="17"/>
      <c r="I30" s="17"/>
      <c r="J30" s="17"/>
      <c r="K30" s="17"/>
      <c r="L30" s="17"/>
    </row>
    <row r="31" spans="1:16" x14ac:dyDescent="0.25">
      <c r="A31" s="12" t="s">
        <v>28</v>
      </c>
      <c r="B31" s="12"/>
      <c r="C31" s="12" t="s">
        <v>29</v>
      </c>
      <c r="D31" s="12"/>
      <c r="E31" s="12" t="s">
        <v>30</v>
      </c>
      <c r="F31" s="12"/>
      <c r="G31" s="14" t="s">
        <v>28</v>
      </c>
      <c r="H31" s="15"/>
      <c r="I31" s="13" t="s">
        <v>29</v>
      </c>
      <c r="J31" s="13"/>
      <c r="K31" s="13" t="s">
        <v>30</v>
      </c>
      <c r="L31" s="13"/>
    </row>
    <row r="32" spans="1:16" x14ac:dyDescent="0.25">
      <c r="A32" s="12">
        <f>C18*$A$9*EXP(-$F$9*D18)*SIN($A$9*D18+$B$9)-$F$9*C18*EXP(-$F$9*D18)*COS($A$9*D18+$B$9)</f>
        <v>0</v>
      </c>
      <c r="B32" s="12"/>
      <c r="C32" s="12">
        <f>D18*$A$9*EXP(-$F$9*D18)*SIN($A$9*D18+$B$9)+$F$9*C18*EXP(-$F$9*D18)*COS($A$9*D18+$B$9)-C18*$A$9*$F$9*EXP(-$F$9*D18)*SIN($A$9*D18+$B$9)-C18*$A$9*EXP(-$F$9*D18)*COS($A$9*D18+$B$9)</f>
        <v>0</v>
      </c>
      <c r="D32" s="12"/>
      <c r="E32" s="12">
        <f>D18*A32</f>
        <v>0</v>
      </c>
      <c r="F32" s="12"/>
      <c r="G32" s="13">
        <f>C18*SQRT(G18)*SIN(SQRT(G18)*D18)</f>
        <v>0</v>
      </c>
      <c r="H32" s="13"/>
      <c r="I32" s="13">
        <f>-C18*G18*COS(SQRT(G18)*D18)</f>
        <v>0</v>
      </c>
      <c r="J32" s="13"/>
      <c r="K32" s="13">
        <f>G32*D18</f>
        <v>0</v>
      </c>
      <c r="L32" s="13"/>
    </row>
    <row r="33" spans="1:18" x14ac:dyDescent="0.25">
      <c r="A33" s="12">
        <f t="shared" ref="A33:A42" si="14">C19*$A$9*EXP(-$F$9*D19)*SIN($A$9*D19+$B$9)-$F$9*C19*EXP(-$F$9*D19)*COS($A$9*D19+$B$9)</f>
        <v>0.88119132635485953</v>
      </c>
      <c r="B33" s="12"/>
      <c r="C33" s="12">
        <f>C19*$A$9*EXP(-$F$9*D19)*SIN($A$9*D19+$B$9)+$F$9*C19*EXP(-$F$9*D19)*COS($A$9*D19+$B$9)-C19*$A$9*$F$9*EXP(-$F$9*D19)*SIN($A$9*D19+$B$9)-C19*$A$9*EXP(-$F$9*D19)*COS($A$9*D19+$B$9)</f>
        <v>-0.14477157624354053</v>
      </c>
      <c r="D33" s="12"/>
      <c r="E33" s="12">
        <f t="shared" ref="E33:E42" si="15">D19*A33</f>
        <v>0.88119132635485953</v>
      </c>
      <c r="F33" s="12"/>
      <c r="G33" s="13">
        <f t="shared" ref="G33:G42" si="16">C19*SQRT(G19)*SIN(SQRT(G19)*D19)</f>
        <v>0.91872536986556852</v>
      </c>
      <c r="H33" s="13"/>
      <c r="I33" s="13">
        <f t="shared" ref="I33:I42" si="17">-C19*G19*COS(SQRT(G19)*D19)</f>
        <v>-0.76024459707563008</v>
      </c>
      <c r="J33" s="13"/>
      <c r="K33" s="13">
        <f>G33*D19</f>
        <v>0.91872536986556852</v>
      </c>
      <c r="L33" s="13"/>
    </row>
    <row r="34" spans="1:18" x14ac:dyDescent="0.25">
      <c r="A34" s="12">
        <f t="shared" si="14"/>
        <v>2.6986697712968626</v>
      </c>
      <c r="B34" s="12"/>
      <c r="C34" s="12">
        <f t="shared" ref="C34:C42" si="18">C20*$A$9*EXP(-$F$9*D20)*SIN($A$9*D20+$B$9)+$F$9*C20*EXP(-$F$9*D20)*COS($A$9*D20+$B$9)-C20*$A$9*$F$9*EXP(-$F$9*D20)*SIN($A$9*D20+$B$9)-C20*$A$9*EXP(-$F$9*D20)*COS($A$9*D20+$B$9)</f>
        <v>2.2477724590508714</v>
      </c>
      <c r="D34" s="12"/>
      <c r="E34" s="12">
        <f t="shared" si="15"/>
        <v>5.3973395425937252</v>
      </c>
      <c r="F34" s="12"/>
      <c r="G34" s="13">
        <f t="shared" si="16"/>
        <v>2.7938239945464338</v>
      </c>
      <c r="H34" s="13"/>
      <c r="I34" s="13">
        <f t="shared" si="17"/>
        <v>-0.31188738953074874</v>
      </c>
      <c r="J34" s="13"/>
      <c r="K34" s="13">
        <f t="shared" ref="K33:K42" si="19">G34*D20</f>
        <v>5.5876479890928676</v>
      </c>
      <c r="L34" s="13"/>
    </row>
    <row r="35" spans="1:18" x14ac:dyDescent="0.25">
      <c r="A35" s="12">
        <f t="shared" si="14"/>
        <v>3.4973228058975483</v>
      </c>
      <c r="B35" s="12"/>
      <c r="C35" s="12">
        <f t="shared" si="18"/>
        <v>5.4682874030771149</v>
      </c>
      <c r="D35" s="12"/>
      <c r="E35" s="12">
        <f t="shared" si="15"/>
        <v>10.491968417692645</v>
      </c>
      <c r="F35" s="12"/>
      <c r="G35" s="13">
        <f t="shared" si="16"/>
        <v>3.615792681505837</v>
      </c>
      <c r="H35" s="13"/>
      <c r="I35" s="13">
        <f t="shared" si="17"/>
        <v>1.5694016828665682</v>
      </c>
      <c r="J35" s="13"/>
      <c r="K35" s="13">
        <f t="shared" si="19"/>
        <v>10.847378044517511</v>
      </c>
      <c r="L35" s="13"/>
    </row>
    <row r="36" spans="1:18" x14ac:dyDescent="0.25">
      <c r="A36" s="12">
        <f t="shared" si="14"/>
        <v>1.7488399925290488</v>
      </c>
      <c r="B36" s="12"/>
      <c r="C36" s="12">
        <f t="shared" si="18"/>
        <v>6.5569504517201338</v>
      </c>
      <c r="D36" s="12"/>
      <c r="E36" s="12">
        <f t="shared" si="15"/>
        <v>6.995359970116195</v>
      </c>
      <c r="F36" s="12"/>
      <c r="G36" s="13">
        <f t="shared" si="16"/>
        <v>1.742716944934912</v>
      </c>
      <c r="H36" s="13"/>
      <c r="I36" s="13">
        <f t="shared" si="17"/>
        <v>3.8054525125033898</v>
      </c>
      <c r="J36" s="13"/>
      <c r="K36" s="13">
        <f t="shared" si="19"/>
        <v>6.9708677797396481</v>
      </c>
      <c r="L36" s="13"/>
    </row>
    <row r="37" spans="1:18" x14ac:dyDescent="0.25">
      <c r="A37" s="12">
        <f t="shared" si="14"/>
        <v>-2.3775356500131108</v>
      </c>
      <c r="B37" s="12"/>
      <c r="C37" s="12">
        <f t="shared" si="18"/>
        <v>3.4353725815262943</v>
      </c>
      <c r="D37" s="12"/>
      <c r="E37" s="12">
        <f t="shared" si="15"/>
        <v>-11.887678250065555</v>
      </c>
      <c r="F37" s="12"/>
      <c r="G37" s="13">
        <f t="shared" si="16"/>
        <v>-2.7140932817957726</v>
      </c>
      <c r="H37" s="13"/>
      <c r="I37" s="13">
        <f t="shared" si="17"/>
        <v>4.6170173087021809</v>
      </c>
      <c r="J37" s="13"/>
      <c r="K37" s="13">
        <f t="shared" si="19"/>
        <v>-13.570466408978863</v>
      </c>
      <c r="L37" s="13"/>
    </row>
    <row r="38" spans="1:18" x14ac:dyDescent="0.25">
      <c r="A38" s="12">
        <f t="shared" si="14"/>
        <v>-6.8137053701915677</v>
      </c>
      <c r="B38" s="12"/>
      <c r="C38" s="12">
        <f t="shared" si="18"/>
        <v>-3.3623993098851823</v>
      </c>
      <c r="D38" s="12"/>
      <c r="E38" s="12">
        <f t="shared" si="15"/>
        <v>-40.882232221149408</v>
      </c>
      <c r="F38" s="12"/>
      <c r="G38" s="13">
        <f t="shared" si="16"/>
        <v>-7.5661748256691759</v>
      </c>
      <c r="H38" s="13"/>
      <c r="I38" s="13">
        <f t="shared" si="17"/>
        <v>2.7159711437541123</v>
      </c>
      <c r="J38" s="13"/>
      <c r="K38" s="13">
        <f t="shared" si="19"/>
        <v>-45.397048954015055</v>
      </c>
      <c r="L38" s="13"/>
    </row>
    <row r="39" spans="1:18" x14ac:dyDescent="0.25">
      <c r="A39" s="12">
        <f t="shared" si="14"/>
        <v>-8.673555315676472</v>
      </c>
      <c r="B39" s="12"/>
      <c r="C39" s="12">
        <f t="shared" si="18"/>
        <v>-10.534281079384558</v>
      </c>
      <c r="D39" s="12"/>
      <c r="E39" s="12">
        <f t="shared" si="15"/>
        <v>-60.714887209735302</v>
      </c>
      <c r="F39" s="12"/>
      <c r="G39" s="13">
        <f t="shared" si="16"/>
        <v>-9.6219376462234045</v>
      </c>
      <c r="H39" s="13"/>
      <c r="I39" s="13">
        <f t="shared" si="17"/>
        <v>-1.6459519938608205</v>
      </c>
      <c r="J39" s="13"/>
      <c r="K39" s="13">
        <f t="shared" si="19"/>
        <v>-67.353563523563835</v>
      </c>
      <c r="L39" s="13"/>
    </row>
    <row r="40" spans="1:18" x14ac:dyDescent="0.25">
      <c r="A40" s="12">
        <f t="shared" si="14"/>
        <v>-6.0328418800918939</v>
      </c>
      <c r="B40" s="12"/>
      <c r="C40" s="12">
        <f t="shared" si="18"/>
        <v>-13.676763156974289</v>
      </c>
      <c r="D40" s="12"/>
      <c r="E40" s="12">
        <f t="shared" si="15"/>
        <v>-48.262735040735151</v>
      </c>
      <c r="F40" s="12"/>
      <c r="G40" s="13">
        <f t="shared" si="16"/>
        <v>-6.6318265766847926</v>
      </c>
      <c r="H40" s="13"/>
      <c r="I40" s="13">
        <f t="shared" si="17"/>
        <v>-6.4814688249183634</v>
      </c>
      <c r="J40" s="13"/>
      <c r="K40" s="13">
        <f t="shared" si="19"/>
        <v>-53.054612613478341</v>
      </c>
      <c r="L40" s="13"/>
    </row>
    <row r="41" spans="1:18" x14ac:dyDescent="0.25">
      <c r="A41" s="12">
        <f t="shared" si="14"/>
        <v>0.64959675920210447</v>
      </c>
      <c r="B41" s="12"/>
      <c r="C41" s="12">
        <f t="shared" si="18"/>
        <v>-9.9045871137698853</v>
      </c>
      <c r="D41" s="12"/>
      <c r="E41" s="12">
        <f t="shared" si="15"/>
        <v>5.8463708328189403</v>
      </c>
      <c r="F41" s="12"/>
      <c r="G41" s="13">
        <f t="shared" si="16"/>
        <v>1.0269894597503548</v>
      </c>
      <c r="H41" s="13"/>
      <c r="I41" s="13">
        <f t="shared" si="17"/>
        <v>-8.9706547322244461</v>
      </c>
      <c r="J41" s="13"/>
      <c r="K41" s="13">
        <f t="shared" si="19"/>
        <v>9.2429051377531941</v>
      </c>
      <c r="L41" s="13"/>
    </row>
    <row r="42" spans="1:18" x14ac:dyDescent="0.25">
      <c r="A42" s="12">
        <f t="shared" si="14"/>
        <v>8.3901261757029282</v>
      </c>
      <c r="B42" s="12"/>
      <c r="C42" s="12">
        <f t="shared" si="18"/>
        <v>9.6951509960895521E-2</v>
      </c>
      <c r="D42" s="12"/>
      <c r="E42" s="12">
        <f t="shared" si="15"/>
        <v>83.901261757029289</v>
      </c>
      <c r="F42" s="12"/>
      <c r="G42" s="13">
        <f t="shared" si="16"/>
        <v>10.024812527586709</v>
      </c>
      <c r="H42" s="13"/>
      <c r="I42" s="13">
        <f t="shared" si="17"/>
        <v>-7.0534790630844215</v>
      </c>
      <c r="J42" s="13"/>
      <c r="K42" s="13">
        <f t="shared" si="19"/>
        <v>100.2481252758671</v>
      </c>
      <c r="L42" s="13"/>
    </row>
    <row r="46" spans="1:18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</sheetData>
  <mergeCells count="75">
    <mergeCell ref="A46:R46"/>
    <mergeCell ref="G41:H41"/>
    <mergeCell ref="I41:J41"/>
    <mergeCell ref="K41:L41"/>
    <mergeCell ref="G42:H42"/>
    <mergeCell ref="I42:J42"/>
    <mergeCell ref="K42:L42"/>
    <mergeCell ref="G39:H39"/>
    <mergeCell ref="I39:J39"/>
    <mergeCell ref="K39:L39"/>
    <mergeCell ref="G40:H40"/>
    <mergeCell ref="I40:J40"/>
    <mergeCell ref="K40:L40"/>
    <mergeCell ref="G37:H37"/>
    <mergeCell ref="I37:J37"/>
    <mergeCell ref="K37:L37"/>
    <mergeCell ref="G38:H38"/>
    <mergeCell ref="I38:J38"/>
    <mergeCell ref="K38:L38"/>
    <mergeCell ref="I34:J34"/>
    <mergeCell ref="K34:L34"/>
    <mergeCell ref="G35:H35"/>
    <mergeCell ref="I35:J35"/>
    <mergeCell ref="K35:L35"/>
    <mergeCell ref="G36:H36"/>
    <mergeCell ref="I36:J36"/>
    <mergeCell ref="K36:L36"/>
    <mergeCell ref="A42:B42"/>
    <mergeCell ref="C42:D42"/>
    <mergeCell ref="E42:F42"/>
    <mergeCell ref="G32:H32"/>
    <mergeCell ref="I32:J32"/>
    <mergeCell ref="K32:L32"/>
    <mergeCell ref="G33:H33"/>
    <mergeCell ref="I33:J33"/>
    <mergeCell ref="K33:L33"/>
    <mergeCell ref="G34:H34"/>
    <mergeCell ref="A40:B40"/>
    <mergeCell ref="C40:D40"/>
    <mergeCell ref="E40:F40"/>
    <mergeCell ref="A41:B41"/>
    <mergeCell ref="C41:D41"/>
    <mergeCell ref="E41:F41"/>
    <mergeCell ref="A38:B38"/>
    <mergeCell ref="C38:D38"/>
    <mergeCell ref="E38:F38"/>
    <mergeCell ref="A39:B39"/>
    <mergeCell ref="C39:D39"/>
    <mergeCell ref="E39:F39"/>
    <mergeCell ref="A36:B36"/>
    <mergeCell ref="C36:D36"/>
    <mergeCell ref="E36:F36"/>
    <mergeCell ref="A37:B37"/>
    <mergeCell ref="C37:D37"/>
    <mergeCell ref="E37:F37"/>
    <mergeCell ref="A34:B34"/>
    <mergeCell ref="C34:D34"/>
    <mergeCell ref="E34:F34"/>
    <mergeCell ref="A35:B35"/>
    <mergeCell ref="C35:D35"/>
    <mergeCell ref="E35:F35"/>
    <mergeCell ref="G30:L30"/>
    <mergeCell ref="A30:F30"/>
    <mergeCell ref="A32:B32"/>
    <mergeCell ref="C32:D32"/>
    <mergeCell ref="E32:F32"/>
    <mergeCell ref="A33:B33"/>
    <mergeCell ref="C33:D33"/>
    <mergeCell ref="E33:F33"/>
    <mergeCell ref="A31:B31"/>
    <mergeCell ref="C31:D31"/>
    <mergeCell ref="E31:F31"/>
    <mergeCell ref="G31:H31"/>
    <mergeCell ref="I31:J31"/>
    <mergeCell ref="K31:L31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Хисамов</dc:creator>
  <cp:lastModifiedBy>Искандер Хисамов</cp:lastModifiedBy>
  <dcterms:created xsi:type="dcterms:W3CDTF">2021-12-23T18:22:18Z</dcterms:created>
  <dcterms:modified xsi:type="dcterms:W3CDTF">2021-12-23T20:45:00Z</dcterms:modified>
</cp:coreProperties>
</file>