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hiculos" sheetId="1" state="visible" r:id="rId2"/>
    <sheet name="Rutas aut" sheetId="2" state="visible" r:id="rId3"/>
    <sheet name="Rutas Buses" sheetId="3" state="visible" r:id="rId4"/>
    <sheet name="Semaforos" sheetId="4" state="visible" r:id="rId5"/>
    <sheet name="Conteo " sheetId="5" state="visible" r:id="rId6"/>
    <sheet name="Aumento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<sst xmlns="http://schemas.openxmlformats.org/spreadsheetml/2006/main" count="205" uniqueCount="129">
  <si>
    <t xml:space="preserve">Tiempo inicio</t>
  </si>
  <si>
    <t xml:space="preserve">Tiempo fin</t>
  </si>
  <si>
    <t xml:space="preserve">Semáforo 1 B1</t>
  </si>
  <si>
    <t xml:space="preserve">Semáforo 1 B1 Buses</t>
  </si>
  <si>
    <t xml:space="preserve">Semáforo 2 A1</t>
  </si>
  <si>
    <t xml:space="preserve">Semáforo 2 A1 Buses</t>
  </si>
  <si>
    <t xml:space="preserve">Semáforo 2 A2</t>
  </si>
  <si>
    <t xml:space="preserve">Semáforo 2 A3</t>
  </si>
  <si>
    <t xml:space="preserve">Semáforo 3 C1</t>
  </si>
  <si>
    <t xml:space="preserve">Semáforo 3 C1 Buses</t>
  </si>
  <si>
    <t xml:space="preserve">Semáforo 3 C3</t>
  </si>
  <si>
    <t xml:space="preserve">Semáforo 3 C3 Buses</t>
  </si>
  <si>
    <t xml:space="preserve">Semáforo 4</t>
  </si>
  <si>
    <t xml:space="preserve">Semáforo 5</t>
  </si>
  <si>
    <t xml:space="preserve">Semáforo 5 Buses</t>
  </si>
  <si>
    <t xml:space="preserve">Semáforo 6 D3</t>
  </si>
  <si>
    <t xml:space="preserve">Semáforo 6 D3 Buses</t>
  </si>
  <si>
    <t xml:space="preserve">Semáforo 7 C1</t>
  </si>
  <si>
    <t xml:space="preserve">Semáforo 7 C3</t>
  </si>
  <si>
    <t xml:space="preserve">Semáforo 8 B1</t>
  </si>
  <si>
    <t xml:space="preserve">Semáforo 8 B1 Buses</t>
  </si>
  <si>
    <t xml:space="preserve">Semáforo 8 B2</t>
  </si>
  <si>
    <t xml:space="preserve">Semáforo 8 B2 Buses</t>
  </si>
  <si>
    <t xml:space="preserve">Semáforo 9 A1</t>
  </si>
  <si>
    <t xml:space="preserve">Semáforo 9 A1 Buses</t>
  </si>
  <si>
    <t xml:space="preserve">Semáforo 9 A2</t>
  </si>
  <si>
    <t xml:space="preserve">Semáforo 9 A2 Buses</t>
  </si>
  <si>
    <t xml:space="preserve">Suma intersección 7 C3 – 8 B1 – 9 A1</t>
  </si>
  <si>
    <t xml:space="preserve">Suma intersección 3 C3 – 3 C1</t>
  </si>
  <si>
    <t xml:space="preserve">veh adicionades en 3 C3 – 3 C1</t>
  </si>
  <si>
    <t xml:space="preserve">Suma intersección 1 B1 -  2 A3</t>
  </si>
  <si>
    <t xml:space="preserve">Intersección Se 6 D3</t>
  </si>
  <si>
    <t xml:space="preserve">veh adicionales en D3</t>
  </si>
  <si>
    <t xml:space="preserve">Al 1 B1</t>
  </si>
  <si>
    <t xml:space="preserve">Al 2 A3</t>
  </si>
  <si>
    <t xml:space="preserve">1 B1</t>
  </si>
  <si>
    <t xml:space="preserve">2 A3</t>
  </si>
  <si>
    <t xml:space="preserve">aut Se 2 A2</t>
  </si>
  <si>
    <t xml:space="preserve">aut Se 2 A1</t>
  </si>
  <si>
    <t xml:space="preserve">aut Se 7 C1</t>
  </si>
  <si>
    <t xml:space="preserve">aut Se 8 B2</t>
  </si>
  <si>
    <t xml:space="preserve">aut Se 9 A2</t>
  </si>
  <si>
    <t xml:space="preserve">Aleatoreo 7 C3</t>
  </si>
  <si>
    <t xml:space="preserve">Al 8 B1</t>
  </si>
  <si>
    <t xml:space="preserve">Al 9 A1</t>
  </si>
  <si>
    <t xml:space="preserve">7 C3</t>
  </si>
  <si>
    <t xml:space="preserve">8 B1</t>
  </si>
  <si>
    <t xml:space="preserve">9 A1</t>
  </si>
  <si>
    <t xml:space="preserve">% Se 3 C1</t>
  </si>
  <si>
    <t xml:space="preserve">% Se 3 C3</t>
  </si>
  <si>
    <t xml:space="preserve">aut Se 7 C3 – Se 3 C1</t>
  </si>
  <si>
    <t xml:space="preserve">aut Se 7 C3 – Se 3 C3</t>
  </si>
  <si>
    <t xml:space="preserve">aut Se 8 B1 – Se 3 C1</t>
  </si>
  <si>
    <t xml:space="preserve">aut Se 8 B1 – Se 3 C3</t>
  </si>
  <si>
    <t xml:space="preserve">aut Se 9 A1 – Se 3 C1</t>
  </si>
  <si>
    <t xml:space="preserve">aut Se 9 A1 – Se 3 C3</t>
  </si>
  <si>
    <t xml:space="preserve">Calle 1 – 3 C1</t>
  </si>
  <si>
    <t xml:space="preserve">Calle 1 – 3 C3</t>
  </si>
  <si>
    <t xml:space="preserve">Bus1 Se 9 A1 – Se 3 C3</t>
  </si>
  <si>
    <t xml:space="preserve">Bus2 Se 9 A1 – Se 3 C1</t>
  </si>
  <si>
    <t xml:space="preserve">Bus3 Se 9 A2 – Se 6 D3</t>
  </si>
  <si>
    <t xml:space="preserve">Bus4 Se 8 B1 – Se 3 C1</t>
  </si>
  <si>
    <t xml:space="preserve">Bus5 Se 8 B2 – Se 6 D3</t>
  </si>
  <si>
    <t xml:space="preserve">Bus6 Se 1 B1 – Se 6 D3</t>
  </si>
  <si>
    <t xml:space="preserve">Bus7 Se 2 A1 – Se 3 C3</t>
  </si>
  <si>
    <t xml:space="preserve">Intersección 1</t>
  </si>
  <si>
    <t xml:space="preserve">Intersección 2</t>
  </si>
  <si>
    <t xml:space="preserve">Intersección 3</t>
  </si>
  <si>
    <t xml:space="preserve">Línea 5 </t>
  </si>
  <si>
    <t xml:space="preserve">Línea 22 </t>
  </si>
  <si>
    <t xml:space="preserve">Turi</t>
  </si>
  <si>
    <t xml:space="preserve">7, 10, 2</t>
  </si>
  <si>
    <t xml:space="preserve">24, 15, 16, 27</t>
  </si>
  <si>
    <t xml:space="preserve">7, 12, 22, 5</t>
  </si>
  <si>
    <t xml:space="preserve">27, 18, 12</t>
  </si>
  <si>
    <t xml:space="preserve">Se 3 C3</t>
  </si>
  <si>
    <t xml:space="preserve">Se 3 C1</t>
  </si>
  <si>
    <t xml:space="preserve">Comparado con suma 9 A1, 8 B1</t>
  </si>
  <si>
    <t xml:space="preserve">Variabilidad</t>
  </si>
  <si>
    <t xml:space="preserve">Se 6 D3</t>
  </si>
  <si>
    <t xml:space="preserve">Se 1 B1</t>
  </si>
  <si>
    <t xml:space="preserve">Comparar</t>
  </si>
  <si>
    <t xml:space="preserve">Tres escenarios</t>
  </si>
  <si>
    <t xml:space="preserve">Normal</t>
  </si>
  <si>
    <t xml:space="preserve">Cambiando velocidades</t>
  </si>
  <si>
    <t xml:space="preserve">Cambiando ciclo semafórico</t>
  </si>
  <si>
    <t xml:space="preserve">Cantidad en cada intersección</t>
  </si>
  <si>
    <t xml:space="preserve">Tiempo de espera en los detectores</t>
  </si>
  <si>
    <t xml:space="preserve">Conteo de buses tripinfo</t>
  </si>
  <si>
    <t xml:space="preserve">Semáforo 1 Rojo</t>
  </si>
  <si>
    <t xml:space="preserve">Semáforo 1 Verde</t>
  </si>
  <si>
    <t xml:space="preserve">Semáforo 2 Rojo</t>
  </si>
  <si>
    <t xml:space="preserve">Semáforo 2 Verde</t>
  </si>
  <si>
    <t xml:space="preserve">Semáforo 3 Rojo</t>
  </si>
  <si>
    <t xml:space="preserve">Semáforo 3 Verde</t>
  </si>
  <si>
    <t xml:space="preserve">Semáforo 4 Rojo</t>
  </si>
  <si>
    <t xml:space="preserve">Semáforo 4 Verde</t>
  </si>
  <si>
    <t xml:space="preserve">Semáforo 4 pulsando boton rojo</t>
  </si>
  <si>
    <t xml:space="preserve">Semáforo 4 pulsando boton verde</t>
  </si>
  <si>
    <t xml:space="preserve">Semáforo 5 Rojo</t>
  </si>
  <si>
    <t xml:space="preserve">Semáforo 5 Verde</t>
  </si>
  <si>
    <t xml:space="preserve">Semáforo 5 pulsando boton rojo</t>
  </si>
  <si>
    <t xml:space="preserve">Semáforo 5 pulsando boton verde</t>
  </si>
  <si>
    <t xml:space="preserve">Semáforo 6 Rojo</t>
  </si>
  <si>
    <t xml:space="preserve">Semáforo 6 Verde</t>
  </si>
  <si>
    <t xml:space="preserve">Semáforo 7 Rojo</t>
  </si>
  <si>
    <t xml:space="preserve">Semáforo 7 Verde</t>
  </si>
  <si>
    <t xml:space="preserve">Semáforo 8 Rojo</t>
  </si>
  <si>
    <t xml:space="preserve">Semáforo 8 Verde</t>
  </si>
  <si>
    <t xml:space="preserve">Semáforo 9 Rojo</t>
  </si>
  <si>
    <t xml:space="preserve">Semáforo 9 Verde</t>
  </si>
  <si>
    <t xml:space="preserve">Semaforo 1</t>
  </si>
  <si>
    <t xml:space="preserve">Semaforo 2</t>
  </si>
  <si>
    <t xml:space="preserve">Semaforo 3</t>
  </si>
  <si>
    <t xml:space="preserve">Semaforo 4</t>
  </si>
  <si>
    <t xml:space="preserve">Semaforo 5</t>
  </si>
  <si>
    <t xml:space="preserve">Semaforo 6</t>
  </si>
  <si>
    <t xml:space="preserve">Semaforo 7</t>
  </si>
  <si>
    <t xml:space="preserve">Semaforo 8</t>
  </si>
  <si>
    <t xml:space="preserve">Semaforo 9</t>
  </si>
  <si>
    <t xml:space="preserve">Semaforo 1 %</t>
  </si>
  <si>
    <t xml:space="preserve">Semaforo 2 %</t>
  </si>
  <si>
    <t xml:space="preserve">Semaforo 3 %</t>
  </si>
  <si>
    <t xml:space="preserve">Semaforo 4 %</t>
  </si>
  <si>
    <t xml:space="preserve">Semaforo 5 %</t>
  </si>
  <si>
    <t xml:space="preserve">Semaforo 6 %</t>
  </si>
  <si>
    <t xml:space="preserve">Semaforo 7 %</t>
  </si>
  <si>
    <t xml:space="preserve">Semaforo 8 %</t>
  </si>
  <si>
    <t xml:space="preserve">Semaforo 9 %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</si>
</sst>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\:mm\:ss"/>
    <numFmt numFmtId="166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5983B0"/>
      </patternFill>
    </fill>
    <fill>
      <patternFill patternType="solid">
        <fgColor rgb="FFDDDDDD"/>
        <bgColor rgb="FFFFD8CE"/>
      </patternFill>
    </fill>
    <fill>
      <patternFill patternType="solid">
        <fgColor rgb="FFFFCCCC"/>
        <bgColor rgb="FFFFD8CE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4000"/>
        <bgColor rgb="FFB85C00"/>
      </patternFill>
    </fill>
    <fill>
      <patternFill patternType="solid">
        <fgColor rgb="FFFF8000"/>
        <bgColor rgb="FFFF6D6D"/>
      </patternFill>
    </fill>
    <fill>
      <patternFill patternType="solid">
        <fgColor rgb="FF81D41A"/>
        <bgColor rgb="FFBBE33D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808080"/>
      </patternFill>
    </fill>
    <fill>
      <patternFill patternType="solid">
        <fgColor rgb="FFFF6D6D"/>
        <bgColor rgb="FFFF8000"/>
      </patternFill>
    </fill>
    <fill>
      <patternFill patternType="solid">
        <fgColor rgb="FFFFB66C"/>
        <bgColor rgb="FFFFCCCC"/>
      </patternFill>
    </fill>
    <fill>
      <patternFill patternType="solid">
        <fgColor rgb="FFFFD8CE"/>
        <bgColor rgb="FFFFCCCC"/>
      </patternFill>
    </fill>
    <fill>
      <patternFill patternType="solid">
        <fgColor rgb="FFBBE33D"/>
        <bgColor rgb="FF81D41A"/>
      </patternFill>
    </fill>
    <fill>
      <patternFill patternType="solid">
        <fgColor rgb="FFBF819E"/>
        <bgColor rgb="FF808080"/>
      </patternFill>
    </fill>
    <fill>
      <patternFill patternType="solid">
        <fgColor rgb="FFB4C7DC"/>
        <bgColor rgb="FF99CCFF"/>
      </patternFill>
    </fill>
    <fill>
      <patternFill patternType="solid">
        <fgColor rgb="FFFFFF6D"/>
        <bgColor rgb="FFFFFFCC"/>
      </patternFill>
    </fill>
    <fill>
      <patternFill patternType="solid">
        <fgColor rgb="FFB85C00"/>
        <bgColor rgb="FF808000"/>
      </patternFill>
    </fill>
    <fill>
      <patternFill patternType="solid">
        <fgColor rgb="FF468A1A"/>
        <bgColor rgb="FF8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ote 16" xfId="32"/>
    <cellStyle name="Result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FFD8CE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B66C"/>
      <rgbColor rgb="FFCC99FF"/>
      <rgbColor rgb="FFFFCCCC"/>
      <rgbColor rgb="FF3366FF"/>
      <rgbColor rgb="FF33CCCC"/>
      <rgbColor rgb="FF81D41A"/>
      <rgbColor rgb="FFBBE33D"/>
      <rgbColor rgb="FFFF8000"/>
      <rgbColor rgb="FFFF4000"/>
      <rgbColor rgb="FF5983B0"/>
      <rgbColor rgb="FFBF819E"/>
      <rgbColor rgb="FF003366"/>
      <rgbColor rgb="FF468A1A"/>
      <rgbColor rgb="FF003300"/>
      <rgbColor rgb="FF333300"/>
      <rgbColor rgb="FFB85C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O1" activePane="topRight" state="frozen"/>
      <selection pane="topLeft" activeCell="A1" activeCellId="0" sqref="A1"/>
      <selection pane="topRight" activeCell="P24" activeCellId="0" sqref="P24"/>
    </sheetView>
  </sheetViews>
  <sheetFormatPr defaultColWidth="10.8671875" defaultRowHeight="12.75" zeroHeight="false" outlineLevelRow="0" outlineLevelCol="0"/>
  <cols>
    <col collapsed="false" customWidth="true" hidden="false" outlineLevel="0" max="2" min="1" style="0" width="11.89"/>
    <col collapsed="false" customWidth="true" hidden="false" outlineLevel="0" max="3" min="3" style="0" width="14.11"/>
    <col collapsed="false" customWidth="true" hidden="false" outlineLevel="0" max="4" min="4" style="0" width="18.89"/>
    <col collapsed="false" customWidth="true" hidden="false" outlineLevel="0" max="5" min="5" style="0" width="14.88"/>
    <col collapsed="false" customWidth="true" hidden="false" outlineLevel="0" max="6" min="6" style="0" width="20.3"/>
    <col collapsed="false" customWidth="true" hidden="false" outlineLevel="0" max="7" min="7" style="0" width="14.66"/>
    <col collapsed="false" customWidth="true" hidden="false" outlineLevel="0" max="8" min="8" style="0" width="13.43"/>
    <col collapsed="false" customWidth="true" hidden="false" outlineLevel="0" max="9" min="9" style="0" width="14.11"/>
    <col collapsed="false" customWidth="true" hidden="false" outlineLevel="0" max="10" min="10" style="0" width="19.17"/>
    <col collapsed="false" customWidth="true" hidden="false" outlineLevel="0" max="11" min="11" style="0" width="14.66"/>
    <col collapsed="false" customWidth="true" hidden="false" outlineLevel="0" max="12" min="12" style="0" width="20.83"/>
    <col collapsed="false" customWidth="true" hidden="false" outlineLevel="0" max="14" min="13" style="0" width="11.89"/>
    <col collapsed="false" customWidth="true" hidden="false" outlineLevel="0" max="15" min="15" style="0" width="17.52"/>
    <col collapsed="false" customWidth="true" hidden="false" outlineLevel="0" max="16" min="16" style="0" width="14.43"/>
    <col collapsed="false" customWidth="true" hidden="false" outlineLevel="0" max="17" min="17" style="0" width="19.17"/>
    <col collapsed="false" customWidth="true" hidden="false" outlineLevel="0" max="18" min="18" style="0" width="13.75"/>
    <col collapsed="false" customWidth="true" hidden="false" outlineLevel="0" max="19" min="19" style="0" width="13.63"/>
    <col collapsed="false" customWidth="true" hidden="false" outlineLevel="0" max="20" min="20" style="0" width="14.03"/>
    <col collapsed="false" customWidth="true" hidden="false" outlineLevel="0" max="21" min="21" style="0" width="19.04"/>
    <col collapsed="false" customWidth="true" hidden="false" outlineLevel="0" max="22" min="22" style="0" width="15.68"/>
    <col collapsed="false" customWidth="true" hidden="false" outlineLevel="0" max="23" min="23" style="0" width="19.58"/>
    <col collapsed="false" customWidth="true" hidden="false" outlineLevel="0" max="24" min="24" style="0" width="13.75"/>
    <col collapsed="false" customWidth="true" hidden="false" outlineLevel="0" max="25" min="25" style="0" width="20.14"/>
    <col collapsed="false" customWidth="true" hidden="false" outlineLevel="0" max="26" min="26" style="0" width="14.16"/>
    <col collapsed="false" customWidth="true" hidden="false" outlineLevel="0" max="27" min="27" style="0" width="18.6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0" t="s">
        <v>10</v>
      </c>
      <c r="L1" s="1" t="s">
        <v>11</v>
      </c>
      <c r="M1" s="0" t="s">
        <v>12</v>
      </c>
      <c r="N1" s="0" t="s">
        <v>13</v>
      </c>
      <c r="O1" s="1" t="s">
        <v>14</v>
      </c>
      <c r="P1" s="0" t="s">
        <v>15</v>
      </c>
      <c r="Q1" s="1" t="s">
        <v>16</v>
      </c>
      <c r="R1" s="0" t="s">
        <v>17</v>
      </c>
      <c r="S1" s="0" t="s">
        <v>18</v>
      </c>
      <c r="T1" s="0" t="s">
        <v>19</v>
      </c>
      <c r="U1" s="1" t="s">
        <v>20</v>
      </c>
      <c r="V1" s="1" t="s">
        <v>21</v>
      </c>
      <c r="W1" s="1" t="s">
        <v>22</v>
      </c>
      <c r="X1" s="0" t="s">
        <v>23</v>
      </c>
      <c r="Y1" s="1" t="s">
        <v>24</v>
      </c>
      <c r="Z1" s="1" t="s">
        <v>25</v>
      </c>
      <c r="AA1" s="1" t="s">
        <v>26</v>
      </c>
    </row>
    <row r="2" customFormat="false" ht="12.75" hidden="false" customHeight="false" outlineLevel="0" collapsed="false">
      <c r="A2" s="2" t="n">
        <v>0.25</v>
      </c>
      <c r="B2" s="2" t="n">
        <v>0.291666666666667</v>
      </c>
      <c r="C2" s="0" t="n">
        <v>447</v>
      </c>
      <c r="D2" s="0" t="n">
        <v>22</v>
      </c>
      <c r="E2" s="0" t="n">
        <f aca="false">591 -F2</f>
        <v>570</v>
      </c>
      <c r="F2" s="0" t="n">
        <v>21</v>
      </c>
      <c r="G2" s="0" t="n">
        <v>65</v>
      </c>
      <c r="H2" s="0" t="n">
        <v>87</v>
      </c>
      <c r="I2" s="0" t="n">
        <v>90</v>
      </c>
      <c r="J2" s="0" t="n">
        <v>20</v>
      </c>
      <c r="K2" s="3" t="n">
        <f aca="false">159 - L2</f>
        <v>154</v>
      </c>
      <c r="L2" s="0" t="n">
        <v>5</v>
      </c>
      <c r="O2" s="0" t="n">
        <f aca="false">U2 + Y2</f>
        <v>25</v>
      </c>
      <c r="P2" s="0" t="n">
        <v>145</v>
      </c>
      <c r="Q2" s="0" t="n">
        <v>27</v>
      </c>
      <c r="R2" s="0" t="n">
        <v>92</v>
      </c>
      <c r="S2" s="0" t="n">
        <v>15</v>
      </c>
      <c r="T2" s="0" t="n">
        <v>170</v>
      </c>
      <c r="U2" s="0" t="n">
        <v>10</v>
      </c>
      <c r="V2" s="0" t="n">
        <v>35</v>
      </c>
      <c r="W2" s="0" t="n">
        <v>16</v>
      </c>
      <c r="X2" s="0" t="n">
        <v>64</v>
      </c>
      <c r="Y2" s="0" t="n">
        <v>15</v>
      </c>
      <c r="Z2" s="0" t="n">
        <v>9</v>
      </c>
      <c r="AA2" s="0" t="n">
        <v>3</v>
      </c>
    </row>
    <row r="3" customFormat="false" ht="12.75" hidden="false" customHeight="false" outlineLevel="0" collapsed="false">
      <c r="A3" s="2" t="n">
        <v>0.291666666666667</v>
      </c>
      <c r="B3" s="2" t="n">
        <v>0.333333333333333</v>
      </c>
      <c r="C3" s="0" t="n">
        <f aca="false">785-44</f>
        <v>741</v>
      </c>
      <c r="D3" s="0" t="n">
        <v>44</v>
      </c>
      <c r="E3" s="0" t="n">
        <f aca="false">836 -F3</f>
        <v>815</v>
      </c>
      <c r="F3" s="0" t="n">
        <v>21</v>
      </c>
      <c r="G3" s="0" t="n">
        <v>110</v>
      </c>
      <c r="H3" s="0" t="n">
        <v>107</v>
      </c>
      <c r="I3" s="0" t="n">
        <v>502</v>
      </c>
      <c r="J3" s="0" t="n">
        <v>25</v>
      </c>
      <c r="K3" s="0" t="n">
        <v>168</v>
      </c>
      <c r="L3" s="0" t="n">
        <v>7</v>
      </c>
      <c r="O3" s="0" t="n">
        <f aca="false">U3 + Y3</f>
        <v>30</v>
      </c>
      <c r="P3" s="0" t="n">
        <v>365</v>
      </c>
      <c r="Q3" s="0" t="n">
        <v>30</v>
      </c>
      <c r="R3" s="0" t="n">
        <v>265</v>
      </c>
      <c r="S3" s="0" t="n">
        <v>44</v>
      </c>
      <c r="T3" s="0" t="n">
        <v>320</v>
      </c>
      <c r="U3" s="0" t="n">
        <v>13</v>
      </c>
      <c r="V3" s="0" t="n">
        <v>123</v>
      </c>
      <c r="W3" s="0" t="n">
        <v>22</v>
      </c>
      <c r="X3" s="0" t="n">
        <v>153</v>
      </c>
      <c r="Y3" s="0" t="n">
        <v>17</v>
      </c>
      <c r="Z3" s="0" t="n">
        <v>26</v>
      </c>
      <c r="AA3" s="0" t="n">
        <v>4</v>
      </c>
    </row>
    <row r="4" customFormat="false" ht="12.75" hidden="false" customHeight="false" outlineLevel="0" collapsed="false">
      <c r="A4" s="2" t="n">
        <v>0.333333333333333</v>
      </c>
      <c r="B4" s="2" t="n">
        <v>0.375</v>
      </c>
      <c r="C4" s="0" t="n">
        <f aca="false">873 - 44</f>
        <v>829</v>
      </c>
      <c r="D4" s="0" t="n">
        <v>44</v>
      </c>
      <c r="E4" s="0" t="n">
        <f aca="false">879 - F4</f>
        <v>861</v>
      </c>
      <c r="F4" s="0" t="n">
        <v>18</v>
      </c>
      <c r="G4" s="0" t="n">
        <v>98</v>
      </c>
      <c r="H4" s="0" t="n">
        <v>124</v>
      </c>
      <c r="I4" s="0" t="n">
        <f aca="false">756 -J4</f>
        <v>732</v>
      </c>
      <c r="J4" s="0" t="n">
        <v>24</v>
      </c>
      <c r="K4" s="0" t="n">
        <f aca="false">239 - L4</f>
        <v>230</v>
      </c>
      <c r="L4" s="0" t="n">
        <v>9</v>
      </c>
      <c r="O4" s="0" t="n">
        <f aca="false">U4 + Y4</f>
        <v>30</v>
      </c>
      <c r="P4" s="0" t="n">
        <v>519</v>
      </c>
      <c r="Q4" s="0" t="n">
        <v>34</v>
      </c>
      <c r="R4" s="0" t="n">
        <v>424</v>
      </c>
      <c r="S4" s="0" t="n">
        <v>70</v>
      </c>
      <c r="T4" s="0" t="n">
        <v>427</v>
      </c>
      <c r="U4" s="0" t="n">
        <v>15</v>
      </c>
      <c r="V4" s="0" t="n">
        <v>156</v>
      </c>
      <c r="W4" s="0" t="n">
        <v>23</v>
      </c>
      <c r="X4" s="0" t="n">
        <v>274</v>
      </c>
      <c r="Y4" s="0" t="n">
        <v>15</v>
      </c>
      <c r="Z4" s="0" t="n">
        <v>50</v>
      </c>
      <c r="AA4" s="0" t="n">
        <v>2</v>
      </c>
    </row>
    <row r="5" customFormat="false" ht="12.75" hidden="false" customHeight="false" outlineLevel="0" collapsed="false">
      <c r="A5" s="2" t="n">
        <v>0.375</v>
      </c>
      <c r="B5" s="2" t="n">
        <v>0.416666666666667</v>
      </c>
      <c r="C5" s="0" t="n">
        <f aca="false">756 - D5</f>
        <v>715</v>
      </c>
      <c r="D5" s="0" t="n">
        <v>41</v>
      </c>
      <c r="E5" s="0" t="n">
        <f aca="false">726 - F5</f>
        <v>706</v>
      </c>
      <c r="F5" s="0" t="n">
        <v>20</v>
      </c>
      <c r="G5" s="0" t="n">
        <v>106</v>
      </c>
      <c r="H5" s="0" t="n">
        <v>74</v>
      </c>
      <c r="I5" s="0" t="n">
        <f aca="false">680 - J5</f>
        <v>660</v>
      </c>
      <c r="J5" s="0" t="n">
        <v>20</v>
      </c>
      <c r="K5" s="0" t="n">
        <f aca="false">291 - L5</f>
        <v>285</v>
      </c>
      <c r="L5" s="0" t="n">
        <v>6</v>
      </c>
      <c r="O5" s="0" t="n">
        <f aca="false">U5 + Y5</f>
        <v>24</v>
      </c>
      <c r="P5" s="0" t="n">
        <v>511</v>
      </c>
      <c r="Q5" s="0" t="n">
        <v>31</v>
      </c>
      <c r="R5" s="0" t="n">
        <v>469</v>
      </c>
      <c r="S5" s="0" t="n">
        <v>49</v>
      </c>
      <c r="T5" s="0" t="n">
        <v>438</v>
      </c>
      <c r="U5" s="0" t="n">
        <v>11</v>
      </c>
      <c r="V5" s="0" t="n">
        <v>181</v>
      </c>
      <c r="W5" s="0" t="n">
        <v>21</v>
      </c>
      <c r="X5" s="0" t="n">
        <v>307</v>
      </c>
      <c r="Y5" s="0" t="n">
        <v>13</v>
      </c>
      <c r="Z5" s="0" t="n">
        <v>77</v>
      </c>
      <c r="AA5" s="0" t="n">
        <v>2</v>
      </c>
    </row>
    <row r="6" customFormat="false" ht="12.75" hidden="false" customHeight="false" outlineLevel="0" collapsed="false">
      <c r="A6" s="2" t="n">
        <v>0.416666666666667</v>
      </c>
      <c r="B6" s="2" t="n">
        <v>0.458333333333333</v>
      </c>
      <c r="C6" s="0" t="n">
        <f aca="false">752 - D6</f>
        <v>722</v>
      </c>
      <c r="D6" s="0" t="n">
        <v>30</v>
      </c>
      <c r="E6" s="0" t="n">
        <f aca="false">704 - F6</f>
        <v>684</v>
      </c>
      <c r="F6" s="0" t="n">
        <v>20</v>
      </c>
      <c r="G6" s="0" t="n">
        <v>91</v>
      </c>
      <c r="H6" s="0" t="n">
        <v>90</v>
      </c>
      <c r="I6" s="0" t="n">
        <f aca="false">640 - J6</f>
        <v>617</v>
      </c>
      <c r="J6" s="0" t="n">
        <v>23</v>
      </c>
      <c r="K6" s="0" t="n">
        <f aca="false">304 - L6</f>
        <v>296</v>
      </c>
      <c r="L6" s="0" t="n">
        <v>8</v>
      </c>
      <c r="O6" s="0" t="n">
        <f aca="false">U6 + Y6</f>
        <v>30</v>
      </c>
      <c r="P6" s="0" t="n">
        <v>536</v>
      </c>
      <c r="Q6" s="0" t="n">
        <v>29</v>
      </c>
      <c r="R6" s="0" t="n">
        <v>456</v>
      </c>
      <c r="S6" s="0" t="n">
        <v>50</v>
      </c>
      <c r="T6" s="0" t="n">
        <v>411</v>
      </c>
      <c r="U6" s="0" t="n">
        <v>15</v>
      </c>
      <c r="V6" s="0" t="n">
        <v>169</v>
      </c>
      <c r="W6" s="0" t="n">
        <v>21</v>
      </c>
      <c r="X6" s="0" t="n">
        <v>342</v>
      </c>
      <c r="Y6" s="0" t="n">
        <v>15</v>
      </c>
      <c r="Z6" s="0" t="n">
        <v>77</v>
      </c>
      <c r="AA6" s="0" t="n">
        <v>3</v>
      </c>
    </row>
    <row r="7" customFormat="false" ht="12.75" hidden="false" customHeight="false" outlineLevel="0" collapsed="false">
      <c r="A7" s="2" t="n">
        <v>0.458333333333333</v>
      </c>
      <c r="B7" s="2" t="n">
        <v>0.5</v>
      </c>
      <c r="C7" s="0" t="n">
        <f aca="false">692 - D7</f>
        <v>656</v>
      </c>
      <c r="D7" s="0" t="n">
        <v>36</v>
      </c>
      <c r="E7" s="0" t="n">
        <f aca="false">674 - F7</f>
        <v>653</v>
      </c>
      <c r="F7" s="0" t="n">
        <v>21</v>
      </c>
      <c r="G7" s="0" t="n">
        <v>85</v>
      </c>
      <c r="H7" s="0" t="n">
        <v>104</v>
      </c>
      <c r="I7" s="0" t="n">
        <v>503</v>
      </c>
      <c r="J7" s="0" t="n">
        <v>25</v>
      </c>
      <c r="K7" s="0" t="n">
        <v>300</v>
      </c>
      <c r="L7" s="0" t="n">
        <v>6</v>
      </c>
      <c r="O7" s="0" t="n">
        <f aca="false">U7 + Y7</f>
        <v>31</v>
      </c>
      <c r="P7" s="0" t="n">
        <v>511</v>
      </c>
      <c r="Q7" s="0" t="n">
        <v>33</v>
      </c>
      <c r="R7" s="0" t="n">
        <v>421</v>
      </c>
      <c r="S7" s="0" t="n">
        <v>54</v>
      </c>
      <c r="T7" s="0" t="n">
        <v>402</v>
      </c>
      <c r="U7" s="0" t="n">
        <v>16</v>
      </c>
      <c r="V7" s="0" t="n">
        <v>178</v>
      </c>
      <c r="W7" s="0" t="n">
        <v>19</v>
      </c>
      <c r="X7" s="0" t="n">
        <v>309</v>
      </c>
      <c r="Y7" s="0" t="n">
        <v>15</v>
      </c>
      <c r="Z7" s="0" t="n">
        <v>90</v>
      </c>
      <c r="AA7" s="0" t="n">
        <v>2</v>
      </c>
    </row>
    <row r="8" customFormat="false" ht="12.75" hidden="false" customHeight="false" outlineLevel="0" collapsed="false">
      <c r="A8" s="2" t="n">
        <v>0.5</v>
      </c>
      <c r="B8" s="2" t="n">
        <v>0.541666666666667</v>
      </c>
      <c r="C8" s="0" t="n">
        <f aca="false">752 - D8</f>
        <v>715</v>
      </c>
      <c r="D8" s="0" t="n">
        <v>37</v>
      </c>
      <c r="E8" s="0" t="n">
        <f aca="false">675 - F8</f>
        <v>657</v>
      </c>
      <c r="F8" s="0" t="n">
        <v>18</v>
      </c>
      <c r="G8" s="0" t="n">
        <v>127</v>
      </c>
      <c r="H8" s="0" t="n">
        <v>88</v>
      </c>
      <c r="I8" s="0" t="n">
        <f aca="false">816 - J8</f>
        <v>792</v>
      </c>
      <c r="J8" s="0" t="n">
        <v>24</v>
      </c>
      <c r="K8" s="0" t="n">
        <f aca="false">249 - L8</f>
        <v>241</v>
      </c>
      <c r="L8" s="0" t="n">
        <v>8</v>
      </c>
      <c r="O8" s="0" t="n">
        <f aca="false">U8 + Y8</f>
        <v>27</v>
      </c>
      <c r="P8" s="0" t="n">
        <v>486</v>
      </c>
      <c r="Q8" s="0" t="n">
        <v>33</v>
      </c>
      <c r="R8" s="0" t="n">
        <v>492</v>
      </c>
      <c r="S8" s="0" t="n">
        <v>75</v>
      </c>
      <c r="T8" s="0" t="n">
        <v>486</v>
      </c>
      <c r="U8" s="0" t="n">
        <v>13</v>
      </c>
      <c r="V8" s="0" t="n">
        <v>17</v>
      </c>
      <c r="W8" s="0" t="n">
        <v>24</v>
      </c>
      <c r="X8" s="0" t="n">
        <v>304</v>
      </c>
      <c r="Y8" s="0" t="n">
        <v>14</v>
      </c>
      <c r="Z8" s="0" t="n">
        <v>94</v>
      </c>
      <c r="AA8" s="0" t="n">
        <v>2</v>
      </c>
    </row>
    <row r="9" customFormat="false" ht="12.75" hidden="false" customHeight="false" outlineLevel="0" collapsed="false">
      <c r="A9" s="2" t="n">
        <v>0.541666666666667</v>
      </c>
      <c r="B9" s="2" t="n">
        <v>0.583333333333333</v>
      </c>
      <c r="C9" s="0" t="n">
        <f aca="false">737 - D9</f>
        <v>700</v>
      </c>
      <c r="D9" s="0" t="n">
        <v>37</v>
      </c>
      <c r="E9" s="0" t="n">
        <f aca="false">697 - F9</f>
        <v>678</v>
      </c>
      <c r="F9" s="0" t="n">
        <v>19</v>
      </c>
      <c r="G9" s="0" t="n">
        <v>136</v>
      </c>
      <c r="H9" s="0" t="n">
        <v>83</v>
      </c>
      <c r="I9" s="0" t="n">
        <v>646</v>
      </c>
      <c r="J9" s="0" t="n">
        <v>20</v>
      </c>
      <c r="K9" s="0" t="n">
        <v>245</v>
      </c>
      <c r="L9" s="0" t="n">
        <v>7</v>
      </c>
      <c r="O9" s="0" t="n">
        <f aca="false">U9 + Y9</f>
        <v>27</v>
      </c>
      <c r="P9" s="0" t="n">
        <v>391</v>
      </c>
      <c r="Q9" s="0" t="n">
        <v>31</v>
      </c>
      <c r="R9" s="0" t="n">
        <v>441</v>
      </c>
      <c r="S9" s="0" t="n">
        <v>68</v>
      </c>
      <c r="T9" s="0" t="n">
        <v>420</v>
      </c>
      <c r="U9" s="0" t="n">
        <v>13</v>
      </c>
      <c r="V9" s="0" t="n">
        <v>105</v>
      </c>
      <c r="W9" s="0" t="n">
        <v>29</v>
      </c>
      <c r="X9" s="0" t="n">
        <v>294</v>
      </c>
      <c r="Y9" s="0" t="n">
        <v>14</v>
      </c>
      <c r="Z9" s="0" t="n">
        <v>83</v>
      </c>
      <c r="AA9" s="0" t="n">
        <v>3</v>
      </c>
    </row>
    <row r="10" customFormat="false" ht="12.75" hidden="false" customHeight="false" outlineLevel="0" collapsed="false">
      <c r="A10" s="2" t="n">
        <v>0.583333333333333</v>
      </c>
      <c r="B10" s="2" t="n">
        <v>0.625</v>
      </c>
      <c r="C10" s="0" t="n">
        <f aca="false">749 - D10</f>
        <v>713</v>
      </c>
      <c r="D10" s="0" t="n">
        <v>36</v>
      </c>
      <c r="E10" s="0" t="n">
        <f aca="false">692 - F10</f>
        <v>673</v>
      </c>
      <c r="F10" s="0" t="n">
        <v>19</v>
      </c>
      <c r="G10" s="0" t="n">
        <v>100</v>
      </c>
      <c r="H10" s="0" t="n">
        <v>82</v>
      </c>
      <c r="I10" s="0" t="n">
        <f aca="false">690 - J10</f>
        <v>667</v>
      </c>
      <c r="J10" s="0" t="n">
        <v>23</v>
      </c>
      <c r="K10" s="0" t="n">
        <f aca="false">290 - L10</f>
        <v>281</v>
      </c>
      <c r="L10" s="0" t="n">
        <v>9</v>
      </c>
      <c r="O10" s="0" t="n">
        <f aca="false">U10 + Y10</f>
        <v>27</v>
      </c>
      <c r="P10" s="0" t="n">
        <v>425</v>
      </c>
      <c r="Q10" s="0" t="n">
        <v>32</v>
      </c>
      <c r="R10" s="0" t="n">
        <v>396</v>
      </c>
      <c r="S10" s="0" t="n">
        <v>62</v>
      </c>
      <c r="T10" s="0" t="n">
        <v>466</v>
      </c>
      <c r="U10" s="0" t="n">
        <v>14</v>
      </c>
      <c r="V10" s="0" t="n">
        <v>125</v>
      </c>
      <c r="W10" s="0" t="n">
        <v>22</v>
      </c>
      <c r="X10" s="0" t="n">
        <v>245</v>
      </c>
      <c r="Y10" s="0" t="n">
        <v>13</v>
      </c>
      <c r="Z10" s="0" t="n">
        <v>72</v>
      </c>
      <c r="AA10" s="0" t="n">
        <v>2</v>
      </c>
    </row>
    <row r="11" customFormat="false" ht="12.75" hidden="false" customHeight="false" outlineLevel="0" collapsed="false">
      <c r="A11" s="2" t="n">
        <v>0.625</v>
      </c>
      <c r="B11" s="2" t="n">
        <v>0.666666666666667</v>
      </c>
      <c r="C11" s="0" t="n">
        <f aca="false">866 - D11</f>
        <v>826</v>
      </c>
      <c r="D11" s="0" t="n">
        <v>40</v>
      </c>
      <c r="E11" s="0" t="n">
        <f aca="false">702 - F11</f>
        <v>686</v>
      </c>
      <c r="F11" s="0" t="n">
        <v>16</v>
      </c>
      <c r="G11" s="0" t="n">
        <v>99</v>
      </c>
      <c r="H11" s="0" t="n">
        <v>93</v>
      </c>
      <c r="I11" s="0" t="n">
        <f aca="false">709 - J11</f>
        <v>684</v>
      </c>
      <c r="J11" s="0" t="n">
        <v>25</v>
      </c>
      <c r="K11" s="0" t="n">
        <f aca="false">267 - L11</f>
        <v>260</v>
      </c>
      <c r="L11" s="0" t="n">
        <v>7</v>
      </c>
      <c r="O11" s="0" t="n">
        <f aca="false">U11 + Y11</f>
        <v>28</v>
      </c>
      <c r="P11" s="0" t="n">
        <v>509</v>
      </c>
      <c r="Q11" s="0" t="n">
        <v>30</v>
      </c>
      <c r="R11" s="0" t="n">
        <v>400</v>
      </c>
      <c r="S11" s="0" t="n">
        <v>66</v>
      </c>
      <c r="T11" s="0" t="n">
        <v>537</v>
      </c>
      <c r="U11" s="0" t="n">
        <v>13</v>
      </c>
      <c r="V11" s="0" t="n">
        <v>143</v>
      </c>
      <c r="W11" s="0" t="n">
        <v>22</v>
      </c>
      <c r="X11" s="0" t="n">
        <v>261</v>
      </c>
      <c r="Y11" s="0" t="n">
        <v>15</v>
      </c>
      <c r="Z11" s="0" t="n">
        <v>86</v>
      </c>
      <c r="AA11" s="0" t="n">
        <v>2</v>
      </c>
    </row>
    <row r="12" customFormat="false" ht="12.75" hidden="false" customHeight="false" outlineLevel="0" collapsed="false">
      <c r="A12" s="2" t="n">
        <v>0.666666666666667</v>
      </c>
      <c r="B12" s="2" t="n">
        <v>0.708333333333333</v>
      </c>
      <c r="C12" s="0" t="n">
        <f aca="false">874 - 33</f>
        <v>841</v>
      </c>
      <c r="D12" s="0" t="n">
        <v>33</v>
      </c>
      <c r="E12" s="0" t="n">
        <f aca="false">728 - F12</f>
        <v>706</v>
      </c>
      <c r="F12" s="0" t="n">
        <v>22</v>
      </c>
      <c r="G12" s="0" t="n">
        <v>125</v>
      </c>
      <c r="H12" s="0" t="n">
        <v>81</v>
      </c>
      <c r="I12" s="0" t="n">
        <f aca="false">708 - J12</f>
        <v>687</v>
      </c>
      <c r="J12" s="0" t="n">
        <v>21</v>
      </c>
      <c r="K12" s="0" t="n">
        <f aca="false">330 - L12</f>
        <v>324</v>
      </c>
      <c r="L12" s="0" t="n">
        <v>6</v>
      </c>
      <c r="O12" s="0" t="n">
        <f aca="false">U12 + Y12</f>
        <v>31</v>
      </c>
      <c r="P12" s="0" t="n">
        <v>519</v>
      </c>
      <c r="Q12" s="0" t="n">
        <v>30</v>
      </c>
      <c r="R12" s="0" t="n">
        <v>440</v>
      </c>
      <c r="S12" s="0" t="n">
        <v>54</v>
      </c>
      <c r="T12" s="0" t="n">
        <v>496</v>
      </c>
      <c r="U12" s="0" t="n">
        <v>17</v>
      </c>
      <c r="V12" s="0" t="n">
        <v>163</v>
      </c>
      <c r="W12" s="0" t="n">
        <v>27</v>
      </c>
      <c r="X12" s="0" t="n">
        <v>293</v>
      </c>
      <c r="Y12" s="0" t="n">
        <v>14</v>
      </c>
      <c r="Z12" s="0" t="n">
        <v>69</v>
      </c>
      <c r="AA12" s="0" t="n">
        <v>3</v>
      </c>
    </row>
    <row r="13" customFormat="false" ht="12.75" hidden="false" customHeight="false" outlineLevel="0" collapsed="false">
      <c r="A13" s="2" t="n">
        <v>0.708333333333333</v>
      </c>
      <c r="B13" s="2" t="n">
        <v>0.75</v>
      </c>
      <c r="C13" s="0" t="n">
        <f aca="false">878 - D13</f>
        <v>839</v>
      </c>
      <c r="D13" s="0" t="n">
        <v>39</v>
      </c>
      <c r="E13" s="0" t="n">
        <f aca="false">669 - F13</f>
        <v>644</v>
      </c>
      <c r="F13" s="0" t="n">
        <v>25</v>
      </c>
      <c r="G13" s="0" t="n">
        <v>154</v>
      </c>
      <c r="H13" s="0" t="n">
        <v>128</v>
      </c>
      <c r="I13" s="0" t="n">
        <f aca="false">777 - J13</f>
        <v>755</v>
      </c>
      <c r="J13" s="0" t="n">
        <v>22</v>
      </c>
      <c r="K13" s="0" t="n">
        <f aca="false">265 - L13</f>
        <v>258</v>
      </c>
      <c r="L13" s="0" t="n">
        <v>7</v>
      </c>
      <c r="O13" s="0" t="n">
        <f aca="false">U13 + Y13</f>
        <v>25</v>
      </c>
      <c r="P13" s="0" t="n">
        <v>541</v>
      </c>
      <c r="Q13" s="0" t="n">
        <v>31</v>
      </c>
      <c r="R13" s="0" t="n">
        <v>485</v>
      </c>
      <c r="S13" s="0" t="n">
        <v>48</v>
      </c>
      <c r="T13" s="0" t="n">
        <v>487</v>
      </c>
      <c r="U13" s="0" t="n">
        <v>12</v>
      </c>
      <c r="V13" s="0" t="n">
        <v>170</v>
      </c>
      <c r="W13" s="0" t="n">
        <v>25</v>
      </c>
      <c r="X13" s="0" t="n">
        <v>283</v>
      </c>
      <c r="Y13" s="0" t="n">
        <v>13</v>
      </c>
      <c r="Z13" s="0" t="n">
        <v>31</v>
      </c>
      <c r="AA13" s="0" t="n">
        <v>2</v>
      </c>
    </row>
    <row r="14" customFormat="false" ht="12.75" hidden="false" customHeight="false" outlineLevel="0" collapsed="false">
      <c r="A14" s="2" t="n">
        <v>0.75</v>
      </c>
      <c r="B14" s="2" t="n">
        <v>0.791666666666667</v>
      </c>
      <c r="C14" s="0" t="n">
        <f aca="false">817 - D14</f>
        <v>777</v>
      </c>
      <c r="D14" s="0" t="n">
        <v>40</v>
      </c>
      <c r="E14" s="1" t="n">
        <f aca="false">642 -F14</f>
        <v>619</v>
      </c>
      <c r="F14" s="1" t="n">
        <v>23</v>
      </c>
      <c r="G14" s="0" t="n">
        <v>163</v>
      </c>
      <c r="H14" s="0" t="n">
        <v>114</v>
      </c>
      <c r="I14" s="0" t="n">
        <f aca="false">819 - J14</f>
        <v>798</v>
      </c>
      <c r="J14" s="0" t="n">
        <v>21</v>
      </c>
      <c r="K14" s="0" t="n">
        <f aca="false">208 - L14</f>
        <v>199</v>
      </c>
      <c r="L14" s="0" t="n">
        <v>9</v>
      </c>
      <c r="O14" s="0" t="n">
        <f aca="false">U14 + Y14</f>
        <v>28</v>
      </c>
      <c r="P14" s="0" t="n">
        <v>516</v>
      </c>
      <c r="Q14" s="0" t="n">
        <v>34</v>
      </c>
      <c r="R14" s="0" t="n">
        <v>437</v>
      </c>
      <c r="S14" s="0" t="n">
        <v>75</v>
      </c>
      <c r="T14" s="0" t="n">
        <v>517</v>
      </c>
      <c r="U14" s="0" t="n">
        <v>12</v>
      </c>
      <c r="V14" s="0" t="n">
        <v>129</v>
      </c>
      <c r="W14" s="0" t="n">
        <v>22</v>
      </c>
      <c r="X14" s="0" t="n">
        <v>305</v>
      </c>
      <c r="Y14" s="0" t="n">
        <v>16</v>
      </c>
      <c r="Z14" s="0" t="n">
        <v>47</v>
      </c>
      <c r="AA14" s="0" t="n">
        <v>2</v>
      </c>
    </row>
    <row r="15" customFormat="false" ht="12.75" hidden="false" customHeight="false" outlineLevel="0" collapsed="false">
      <c r="A15" s="2" t="n">
        <v>0.791666666666667</v>
      </c>
      <c r="B15" s="2" t="n">
        <v>0.833333333333333</v>
      </c>
      <c r="C15" s="0" t="n">
        <f aca="false">693 - D15</f>
        <v>660</v>
      </c>
      <c r="D15" s="0" t="n">
        <v>33</v>
      </c>
      <c r="E15" s="0" t="n">
        <f aca="false">548 - F15</f>
        <v>534</v>
      </c>
      <c r="F15" s="0" t="n">
        <v>14</v>
      </c>
      <c r="G15" s="0" t="n">
        <v>125</v>
      </c>
      <c r="H15" s="0" t="n">
        <v>114</v>
      </c>
      <c r="I15" s="0" t="n">
        <f aca="false">701 - J15</f>
        <v>686</v>
      </c>
      <c r="J15" s="0" t="n">
        <v>15</v>
      </c>
      <c r="K15" s="0" t="n">
        <f aca="false">239 - L15</f>
        <v>230</v>
      </c>
      <c r="L15" s="0" t="n">
        <v>9</v>
      </c>
      <c r="O15" s="0" t="n">
        <f aca="false">U15 + Y15</f>
        <v>24</v>
      </c>
      <c r="P15" s="0" t="n">
        <v>403</v>
      </c>
      <c r="Q15" s="0" t="n">
        <v>33</v>
      </c>
      <c r="R15" s="0" t="n">
        <v>364</v>
      </c>
      <c r="S15" s="0" t="n">
        <v>48</v>
      </c>
      <c r="T15" s="0" t="n">
        <v>451</v>
      </c>
      <c r="U15" s="0" t="n">
        <v>9</v>
      </c>
      <c r="V15" s="0" t="n">
        <v>113</v>
      </c>
      <c r="W15" s="0" t="n">
        <v>18</v>
      </c>
      <c r="X15" s="0" t="n">
        <v>336</v>
      </c>
      <c r="Y15" s="0" t="n">
        <v>15</v>
      </c>
      <c r="Z15" s="0" t="n">
        <v>34</v>
      </c>
      <c r="AA15" s="0" t="n">
        <v>1</v>
      </c>
    </row>
    <row r="16" customFormat="false" ht="12.75" hidden="false" customHeight="false" outlineLevel="0" collapsed="false">
      <c r="A16" s="2"/>
      <c r="N16" s="0" t="s">
        <v>0</v>
      </c>
      <c r="O16" s="0" t="s">
        <v>1</v>
      </c>
    </row>
    <row r="17" customFormat="false" ht="12.75" hidden="false" customHeight="false" outlineLevel="0" collapsed="false">
      <c r="A17" s="2"/>
      <c r="N17" s="2" t="n">
        <v>0.25</v>
      </c>
      <c r="O17" s="2" t="n">
        <v>0.291666666666667</v>
      </c>
      <c r="P17" s="0" t="n">
        <v>454</v>
      </c>
      <c r="Q17" s="0" t="n">
        <v>30</v>
      </c>
      <c r="R17" s="0" t="n">
        <v>102</v>
      </c>
      <c r="S17" s="0" t="n">
        <v>16</v>
      </c>
      <c r="T17" s="0" t="n">
        <v>188</v>
      </c>
      <c r="U17" s="0" t="n">
        <v>12</v>
      </c>
      <c r="V17" s="0" t="n">
        <v>38</v>
      </c>
      <c r="W17" s="0" t="n">
        <v>18</v>
      </c>
      <c r="X17" s="0" t="n">
        <v>72</v>
      </c>
      <c r="Y17" s="0" t="n">
        <v>16</v>
      </c>
      <c r="Z17" s="0" t="n">
        <v>10</v>
      </c>
      <c r="AA17" s="0" t="n">
        <v>4</v>
      </c>
    </row>
    <row r="18" customFormat="false" ht="12.75" hidden="false" customHeight="false" outlineLevel="0" collapsed="false">
      <c r="A18" s="2"/>
      <c r="N18" s="2" t="n">
        <v>0.291666666666667</v>
      </c>
      <c r="O18" s="2" t="n">
        <v>0.333333333333333</v>
      </c>
      <c r="P18" s="0" t="n">
        <v>838</v>
      </c>
      <c r="Q18" s="0" t="n">
        <v>34</v>
      </c>
      <c r="R18" s="0" t="n">
        <v>294</v>
      </c>
      <c r="S18" s="0" t="n">
        <v>48</v>
      </c>
      <c r="T18" s="0" t="n">
        <v>356</v>
      </c>
      <c r="U18" s="0" t="n">
        <v>14</v>
      </c>
      <c r="V18" s="0" t="n">
        <v>136</v>
      </c>
      <c r="W18" s="0" t="n">
        <v>24</v>
      </c>
      <c r="X18" s="0" t="n">
        <v>170</v>
      </c>
      <c r="Y18" s="0" t="n">
        <v>18</v>
      </c>
      <c r="Z18" s="0" t="n">
        <v>28</v>
      </c>
      <c r="AA18" s="0" t="n">
        <v>4</v>
      </c>
    </row>
    <row r="19" customFormat="false" ht="12.75" hidden="false" customHeight="false" outlineLevel="0" collapsed="false">
      <c r="A19" s="2"/>
      <c r="N19" s="2" t="n">
        <v>0.333333333333333</v>
      </c>
      <c r="O19" s="2" t="n">
        <v>0.375</v>
      </c>
      <c r="P19" s="0" t="n">
        <v>908</v>
      </c>
      <c r="Q19" s="0" t="n">
        <v>38</v>
      </c>
      <c r="R19" s="0" t="n">
        <v>470</v>
      </c>
      <c r="S19" s="0" t="n">
        <v>78</v>
      </c>
      <c r="T19" s="0" t="n">
        <v>474</v>
      </c>
      <c r="U19" s="0" t="n">
        <v>16</v>
      </c>
      <c r="V19" s="0" t="n">
        <v>174</v>
      </c>
      <c r="W19" s="0" t="n">
        <v>26</v>
      </c>
      <c r="X19" s="0" t="n">
        <v>304</v>
      </c>
      <c r="Y19" s="0" t="n">
        <v>16</v>
      </c>
      <c r="Z19" s="0" t="n">
        <v>56</v>
      </c>
      <c r="AA19" s="0" t="n">
        <v>2</v>
      </c>
    </row>
    <row r="20" customFormat="false" ht="12.75" hidden="false" customHeight="false" outlineLevel="0" collapsed="false">
      <c r="A20" s="2"/>
      <c r="N20" s="2" t="n">
        <v>0.375</v>
      </c>
      <c r="O20" s="2" t="n">
        <v>0.416666666666667</v>
      </c>
      <c r="P20" s="0" t="n">
        <v>894</v>
      </c>
      <c r="Q20" s="0" t="n">
        <v>34</v>
      </c>
      <c r="R20" s="0" t="n">
        <v>520</v>
      </c>
      <c r="S20" s="0" t="n">
        <v>54</v>
      </c>
      <c r="T20" s="0" t="n">
        <v>486</v>
      </c>
      <c r="U20" s="0" t="n">
        <v>12</v>
      </c>
      <c r="V20" s="0" t="n">
        <v>200</v>
      </c>
      <c r="W20" s="0" t="n">
        <v>24</v>
      </c>
      <c r="X20" s="0" t="n">
        <v>340</v>
      </c>
      <c r="Y20" s="0" t="n">
        <v>14</v>
      </c>
      <c r="Z20" s="0" t="n">
        <v>86</v>
      </c>
      <c r="AA20" s="0" t="n">
        <v>2</v>
      </c>
    </row>
    <row r="21" customFormat="false" ht="12.75" hidden="false" customHeight="false" outlineLevel="0" collapsed="false">
      <c r="N21" s="2" t="n">
        <v>0.416666666666667</v>
      </c>
      <c r="O21" s="2" t="n">
        <v>0.458333333333333</v>
      </c>
      <c r="P21" s="0" t="n">
        <v>818</v>
      </c>
      <c r="Q21" s="0" t="n">
        <v>32</v>
      </c>
      <c r="R21" s="0" t="n">
        <v>506</v>
      </c>
      <c r="S21" s="0" t="n">
        <v>56</v>
      </c>
      <c r="T21" s="0" t="n">
        <v>456</v>
      </c>
      <c r="U21" s="0" t="n">
        <v>16</v>
      </c>
      <c r="V21" s="0" t="n">
        <v>188</v>
      </c>
      <c r="W21" s="0" t="n">
        <v>24</v>
      </c>
      <c r="X21" s="0" t="n">
        <v>380</v>
      </c>
      <c r="Y21" s="0" t="n">
        <v>16</v>
      </c>
      <c r="Z21" s="0" t="n">
        <v>86</v>
      </c>
      <c r="AA21" s="0" t="n">
        <v>4</v>
      </c>
    </row>
    <row r="22" customFormat="false" ht="12.75" hidden="false" customHeight="false" outlineLevel="0" collapsed="false">
      <c r="N22" s="2" t="n">
        <v>0.458333333333333</v>
      </c>
      <c r="O22" s="2" t="n">
        <v>0.5</v>
      </c>
      <c r="P22" s="0" t="n">
        <v>805</v>
      </c>
      <c r="Q22" s="0" t="n">
        <v>36</v>
      </c>
      <c r="R22" s="0" t="n">
        <v>468</v>
      </c>
      <c r="S22" s="0" t="n">
        <v>60</v>
      </c>
      <c r="T22" s="0" t="n">
        <v>446</v>
      </c>
      <c r="U22" s="0" t="n">
        <v>18</v>
      </c>
      <c r="V22" s="0" t="n">
        <v>198</v>
      </c>
      <c r="W22" s="0" t="n">
        <v>22</v>
      </c>
      <c r="X22" s="0" t="n">
        <v>342</v>
      </c>
      <c r="Y22" s="0" t="n">
        <v>16</v>
      </c>
      <c r="Z22" s="0" t="n">
        <v>100</v>
      </c>
      <c r="AA22" s="0" t="n">
        <v>2</v>
      </c>
    </row>
    <row r="23" customFormat="false" ht="12.75" hidden="false" customHeight="false" outlineLevel="0" collapsed="false">
      <c r="N23" s="2" t="n">
        <v>0.5</v>
      </c>
      <c r="O23" s="2" t="n">
        <v>0.541666666666667</v>
      </c>
      <c r="P23" s="0" t="n">
        <v>850</v>
      </c>
      <c r="Q23" s="0" t="n">
        <v>36</v>
      </c>
      <c r="R23" s="0" t="n">
        <v>546</v>
      </c>
      <c r="S23" s="0" t="n">
        <v>84</v>
      </c>
      <c r="T23" s="0" t="n">
        <v>540</v>
      </c>
      <c r="U23" s="0" t="n">
        <v>14</v>
      </c>
      <c r="V23" s="0" t="n">
        <v>18</v>
      </c>
      <c r="W23" s="0" t="n">
        <v>26</v>
      </c>
      <c r="X23" s="0" t="n">
        <v>338</v>
      </c>
      <c r="Y23" s="0" t="n">
        <v>16</v>
      </c>
      <c r="Z23" s="0" t="n">
        <v>104</v>
      </c>
      <c r="AA23" s="0" t="n">
        <v>2</v>
      </c>
    </row>
    <row r="24" customFormat="false" ht="12.75" hidden="false" customHeight="false" outlineLevel="0" collapsed="false">
      <c r="N24" s="2" t="n">
        <v>0.541666666666667</v>
      </c>
      <c r="O24" s="2" t="n">
        <v>0.583333333333333</v>
      </c>
      <c r="P24" s="0" t="n">
        <v>684</v>
      </c>
      <c r="Q24" s="0" t="n">
        <v>34</v>
      </c>
      <c r="R24" s="0" t="n">
        <v>490</v>
      </c>
      <c r="S24" s="0" t="n">
        <v>76</v>
      </c>
      <c r="T24" s="0" t="n">
        <v>466</v>
      </c>
      <c r="U24" s="0" t="n">
        <v>14</v>
      </c>
      <c r="V24" s="0" t="n">
        <v>116</v>
      </c>
      <c r="W24" s="0" t="n">
        <v>32</v>
      </c>
      <c r="X24" s="0" t="n">
        <v>326</v>
      </c>
      <c r="Y24" s="0" t="n">
        <v>16</v>
      </c>
      <c r="Z24" s="0" t="n">
        <v>92</v>
      </c>
      <c r="AA24" s="0" t="n">
        <v>4</v>
      </c>
    </row>
    <row r="25" customFormat="false" ht="12.75" hidden="false" customHeight="false" outlineLevel="0" collapsed="false">
      <c r="N25" s="2" t="n">
        <v>0.583333333333333</v>
      </c>
      <c r="O25" s="2" t="n">
        <v>0.625</v>
      </c>
      <c r="P25" s="0" t="n">
        <v>744</v>
      </c>
      <c r="Q25" s="0" t="n">
        <v>36</v>
      </c>
      <c r="R25" s="0" t="n">
        <v>440</v>
      </c>
      <c r="S25" s="0" t="n">
        <v>68</v>
      </c>
      <c r="T25" s="0" t="n">
        <v>518</v>
      </c>
      <c r="U25" s="0" t="n">
        <v>16</v>
      </c>
      <c r="V25" s="0" t="n">
        <v>138</v>
      </c>
      <c r="W25" s="0" t="n">
        <v>24</v>
      </c>
      <c r="X25" s="0" t="n">
        <v>272</v>
      </c>
      <c r="Y25" s="0" t="n">
        <v>14</v>
      </c>
      <c r="Z25" s="0" t="n">
        <v>80</v>
      </c>
      <c r="AA25" s="0" t="n">
        <v>2</v>
      </c>
    </row>
    <row r="26" customFormat="false" ht="12.75" hidden="false" customHeight="false" outlineLevel="0" collapsed="false">
      <c r="N26" s="2" t="n">
        <v>0.625</v>
      </c>
      <c r="O26" s="2" t="n">
        <v>0.666666666666667</v>
      </c>
      <c r="P26" s="0" t="n">
        <v>890</v>
      </c>
      <c r="Q26" s="0" t="n">
        <v>34</v>
      </c>
      <c r="R26" s="0" t="n">
        <v>444</v>
      </c>
      <c r="S26" s="0" t="n">
        <v>74</v>
      </c>
      <c r="T26" s="0" t="n">
        <v>596</v>
      </c>
      <c r="U26" s="0" t="n">
        <v>14</v>
      </c>
      <c r="V26" s="0" t="n">
        <v>158</v>
      </c>
      <c r="W26" s="0" t="n">
        <v>24</v>
      </c>
      <c r="X26" s="0" t="n">
        <v>290</v>
      </c>
      <c r="Y26" s="0" t="n">
        <v>16</v>
      </c>
      <c r="Z26" s="0" t="n">
        <v>96</v>
      </c>
      <c r="AA26" s="0" t="n">
        <v>2</v>
      </c>
    </row>
    <row r="27" customFormat="false" ht="12.75" hidden="false" customHeight="false" outlineLevel="0" collapsed="false">
      <c r="N27" s="2" t="n">
        <v>0.666666666666667</v>
      </c>
      <c r="O27" s="2" t="n">
        <v>0.708333333333333</v>
      </c>
      <c r="P27" s="0" t="n">
        <v>908</v>
      </c>
      <c r="Q27" s="0" t="n">
        <v>34</v>
      </c>
      <c r="R27" s="0" t="n">
        <v>488</v>
      </c>
      <c r="S27" s="0" t="n">
        <v>60</v>
      </c>
      <c r="T27" s="0" t="n">
        <v>550</v>
      </c>
      <c r="U27" s="0" t="n">
        <v>18</v>
      </c>
      <c r="V27" s="0" t="n">
        <v>180</v>
      </c>
      <c r="W27" s="0" t="n">
        <v>30</v>
      </c>
      <c r="X27" s="0" t="n">
        <v>326</v>
      </c>
      <c r="Y27" s="0" t="n">
        <v>16</v>
      </c>
      <c r="Z27" s="0" t="n">
        <v>76</v>
      </c>
      <c r="AA27" s="0" t="n">
        <v>4</v>
      </c>
    </row>
    <row r="28" customFormat="false" ht="12.75" hidden="false" customHeight="false" outlineLevel="0" collapsed="false">
      <c r="N28" s="2" t="n">
        <v>0.708333333333333</v>
      </c>
      <c r="O28" s="2" t="n">
        <v>0.75</v>
      </c>
      <c r="P28" s="0" t="n">
        <v>946</v>
      </c>
      <c r="Q28" s="0" t="n">
        <v>34</v>
      </c>
      <c r="R28" s="0" t="n">
        <v>538</v>
      </c>
      <c r="S28" s="0" t="n">
        <v>54</v>
      </c>
      <c r="T28" s="0" t="n">
        <v>540</v>
      </c>
      <c r="U28" s="0" t="n">
        <v>14</v>
      </c>
      <c r="V28" s="0" t="n">
        <v>188</v>
      </c>
      <c r="W28" s="0" t="n">
        <v>28</v>
      </c>
      <c r="X28" s="0" t="n">
        <v>314</v>
      </c>
      <c r="Y28" s="0" t="n">
        <v>14</v>
      </c>
      <c r="Z28" s="0" t="n">
        <v>34</v>
      </c>
      <c r="AA28" s="0" t="n">
        <v>2</v>
      </c>
    </row>
    <row r="29" customFormat="false" ht="12.75" hidden="false" customHeight="false" outlineLevel="0" collapsed="false">
      <c r="D29" s="1"/>
      <c r="N29" s="2" t="n">
        <v>0.75</v>
      </c>
      <c r="O29" s="2" t="n">
        <v>0.791666666666667</v>
      </c>
      <c r="P29" s="0" t="n">
        <v>902</v>
      </c>
      <c r="Q29" s="0" t="n">
        <v>38</v>
      </c>
      <c r="R29" s="0" t="n">
        <v>486</v>
      </c>
      <c r="S29" s="0" t="n">
        <v>84</v>
      </c>
      <c r="T29" s="0" t="n">
        <v>574</v>
      </c>
      <c r="U29" s="0" t="n">
        <v>14</v>
      </c>
      <c r="V29" s="0" t="n">
        <v>144</v>
      </c>
      <c r="W29" s="0" t="n">
        <v>24</v>
      </c>
      <c r="X29" s="0" t="n">
        <v>338</v>
      </c>
      <c r="Y29" s="0" t="n">
        <v>18</v>
      </c>
      <c r="Z29" s="0" t="n">
        <v>52</v>
      </c>
      <c r="AA29" s="0" t="n">
        <v>2</v>
      </c>
    </row>
    <row r="30" customFormat="false" ht="12.75" hidden="false" customHeight="false" outlineLevel="0" collapsed="false">
      <c r="N30" s="2" t="n">
        <v>0.791666666666667</v>
      </c>
      <c r="O30" s="2" t="n">
        <v>0.833333333333333</v>
      </c>
      <c r="P30" s="0" t="n">
        <v>706</v>
      </c>
      <c r="Q30" s="0" t="n">
        <v>36</v>
      </c>
      <c r="R30" s="0" t="n">
        <v>404</v>
      </c>
      <c r="S30" s="0" t="n">
        <v>54</v>
      </c>
      <c r="T30" s="0" t="n">
        <v>500</v>
      </c>
      <c r="U30" s="0" t="n">
        <v>10</v>
      </c>
      <c r="V30" s="0" t="n">
        <v>126</v>
      </c>
      <c r="W30" s="0" t="n">
        <v>20</v>
      </c>
      <c r="X30" s="0" t="n">
        <v>372</v>
      </c>
      <c r="Y30" s="0" t="n">
        <v>16</v>
      </c>
      <c r="Z30" s="0" t="n">
        <v>38</v>
      </c>
      <c r="AA30" s="0" t="n">
        <v>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0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pane xSplit="2" ySplit="0" topLeftCell="L1" activePane="topRight" state="frozen"/>
      <selection pane="topLeft" activeCell="A1" activeCellId="0" sqref="A1"/>
      <selection pane="topRight" activeCell="O14" activeCellId="0" sqref="O14"/>
    </sheetView>
  </sheetViews>
  <sheetFormatPr defaultColWidth="11.66796875" defaultRowHeight="12.8" zeroHeight="false" outlineLevelRow="0" outlineLevelCol="0"/>
  <cols>
    <col collapsed="false" customWidth="true" hidden="false" outlineLevel="0" max="3" min="3" style="0" width="32.34"/>
    <col collapsed="false" customWidth="true" hidden="false" outlineLevel="0" max="4" min="4" style="0" width="26.26"/>
    <col collapsed="false" customWidth="true" hidden="false" outlineLevel="0" max="5" min="5" style="0" width="26.37"/>
    <col collapsed="false" customWidth="true" hidden="false" outlineLevel="0" max="6" min="6" style="0" width="13.17"/>
    <col collapsed="false" customWidth="true" hidden="false" outlineLevel="0" max="7" min="7" style="0" width="25.86"/>
    <col collapsed="false" customWidth="true" hidden="false" outlineLevel="0" max="8" min="8" style="0" width="21.29"/>
    <col collapsed="false" customWidth="true" hidden="false" outlineLevel="0" max="9" min="9" style="0" width="21.17"/>
    <col collapsed="false" customWidth="true" hidden="false" outlineLevel="0" max="10" min="10" style="0" width="21.7"/>
    <col collapsed="false" customWidth="true" hidden="false" outlineLevel="0" max="11" min="11" style="0" width="21.1"/>
    <col collapsed="false" customWidth="true" hidden="false" outlineLevel="0" max="15" min="15" style="0" width="21.5"/>
    <col collapsed="false" customWidth="true" hidden="false" outlineLevel="0" max="16" min="16" style="0" width="21.1"/>
    <col collapsed="false" customWidth="true" hidden="false" outlineLevel="0" max="17" min="17" style="0" width="19.46"/>
    <col collapsed="false" customWidth="true" hidden="false" outlineLevel="0" max="18" min="18" style="0" width="19.16"/>
    <col collapsed="false" customWidth="true" hidden="false" outlineLevel="0" max="19" min="19" style="0" width="18.66"/>
    <col collapsed="false" customWidth="true" hidden="false" outlineLevel="0" max="21" min="20" style="0" width="19.1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27</v>
      </c>
      <c r="D1" s="0" t="s">
        <v>28</v>
      </c>
      <c r="E1" s="0" t="s">
        <v>29</v>
      </c>
      <c r="G1" s="0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0" t="s">
        <v>35</v>
      </c>
      <c r="M1" s="0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</row>
    <row r="2" customFormat="false" ht="12.8" hidden="false" customHeight="false" outlineLevel="0" collapsed="false">
      <c r="A2" s="2" t="n">
        <v>0.25</v>
      </c>
      <c r="B2" s="2" t="n">
        <v>0.291666666666667</v>
      </c>
      <c r="C2" s="0" t="n">
        <f aca="false">SUM(Vehiculos!S2, Vehiculos!T2, Vehiculos!X2)</f>
        <v>249</v>
      </c>
      <c r="D2" s="0" t="n">
        <f aca="false">SUM(Vehiculos!K2, Vehiculos!I2)</f>
        <v>244</v>
      </c>
      <c r="E2" s="0" t="n">
        <f aca="false">D2 - C2</f>
        <v>-5</v>
      </c>
      <c r="G2" s="0" t="n">
        <f aca="false">Vehiculos!C2 + Vehiculos!H2</f>
        <v>534</v>
      </c>
      <c r="H2" s="0" t="n">
        <f aca="false">Vehiculos!P17</f>
        <v>454</v>
      </c>
      <c r="I2" s="0" t="n">
        <f aca="false">H2-G2</f>
        <v>-80</v>
      </c>
      <c r="J2" s="4" t="n">
        <v>-57</v>
      </c>
      <c r="K2" s="4" t="n">
        <v>-23</v>
      </c>
      <c r="L2" s="5" t="n">
        <f aca="false">J2+Vehiculos!C2</f>
        <v>390</v>
      </c>
      <c r="M2" s="5" t="n">
        <f aca="false">K2+Vehiculos!H2</f>
        <v>64</v>
      </c>
      <c r="U2" s="5" t="n">
        <f aca="false">Vehiculos!G2</f>
        <v>65</v>
      </c>
      <c r="V2" s="0" t="n">
        <f aca="false">Vehiculos!E2</f>
        <v>570</v>
      </c>
      <c r="W2" s="5" t="n">
        <f aca="false">Vehiculos!R17</f>
        <v>102</v>
      </c>
      <c r="X2" s="5" t="n">
        <f aca="false">Vehiculos!V17</f>
        <v>38</v>
      </c>
      <c r="Y2" s="5" t="n">
        <f aca="false">Vehiculos!Z17</f>
        <v>10</v>
      </c>
    </row>
    <row r="3" customFormat="false" ht="12.8" hidden="false" customHeight="false" outlineLevel="0" collapsed="false">
      <c r="A3" s="2" t="n">
        <v>0.291666666666667</v>
      </c>
      <c r="B3" s="2" t="n">
        <v>0.333333333333333</v>
      </c>
      <c r="C3" s="0" t="n">
        <f aca="false">SUM(Vehiculos!S3, Vehiculos!T3, Vehiculos!X3)</f>
        <v>517</v>
      </c>
      <c r="D3" s="0" t="n">
        <f aca="false">SUM(Vehiculos!K3, Vehiculos!I3)</f>
        <v>670</v>
      </c>
      <c r="E3" s="0" t="n">
        <f aca="false">D3 - C3</f>
        <v>153</v>
      </c>
      <c r="G3" s="0" t="n">
        <f aca="false">Vehiculos!C3 + Vehiculos!H3</f>
        <v>848</v>
      </c>
      <c r="H3" s="0" t="n">
        <f aca="false">Vehiculos!P18</f>
        <v>838</v>
      </c>
      <c r="I3" s="0" t="n">
        <f aca="false">H3-G3</f>
        <v>-10</v>
      </c>
      <c r="J3" s="6" t="n">
        <v>-8</v>
      </c>
      <c r="K3" s="6" t="n">
        <v>-2</v>
      </c>
      <c r="L3" s="6" t="n">
        <f aca="false">J3+Vehiculos!C3</f>
        <v>733</v>
      </c>
      <c r="M3" s="6" t="n">
        <f aca="false">K3+Vehiculos!H3</f>
        <v>105</v>
      </c>
      <c r="U3" s="6" t="n">
        <f aca="false">Vehiculos!G3</f>
        <v>110</v>
      </c>
      <c r="V3" s="6" t="n">
        <f aca="false">Vehiculos!E3</f>
        <v>815</v>
      </c>
      <c r="W3" s="6" t="n">
        <f aca="false">Vehiculos!R18</f>
        <v>294</v>
      </c>
      <c r="X3" s="6" t="n">
        <f aca="false">Vehiculos!V18</f>
        <v>136</v>
      </c>
      <c r="Y3" s="6" t="n">
        <f aca="false">Vehiculos!Z18</f>
        <v>28</v>
      </c>
    </row>
    <row r="4" customFormat="false" ht="12.8" hidden="false" customHeight="false" outlineLevel="0" collapsed="false">
      <c r="A4" s="2" t="n">
        <v>0.333333333333333</v>
      </c>
      <c r="B4" s="2" t="n">
        <v>0.375</v>
      </c>
      <c r="C4" s="0" t="n">
        <f aca="false">SUM(Vehiculos!S4, Vehiculos!T4, Vehiculos!X4)</f>
        <v>771</v>
      </c>
      <c r="D4" s="0" t="n">
        <f aca="false">SUM(Vehiculos!K4, Vehiculos!I4)</f>
        <v>962</v>
      </c>
      <c r="E4" s="0" t="n">
        <f aca="false">D4 - C4</f>
        <v>191</v>
      </c>
      <c r="G4" s="0" t="n">
        <f aca="false">Vehiculos!C4 + Vehiculos!H4</f>
        <v>953</v>
      </c>
      <c r="H4" s="0" t="n">
        <f aca="false">Vehiculos!P19</f>
        <v>908</v>
      </c>
      <c r="I4" s="0" t="n">
        <f aca="false">H4-G4</f>
        <v>-45</v>
      </c>
      <c r="J4" s="7" t="n">
        <v>-9</v>
      </c>
      <c r="K4" s="7" t="n">
        <v>-36</v>
      </c>
      <c r="L4" s="7" t="n">
        <f aca="false">J4+Vehiculos!C4</f>
        <v>820</v>
      </c>
      <c r="M4" s="7" t="n">
        <f aca="false">K4+Vehiculos!H4</f>
        <v>88</v>
      </c>
      <c r="U4" s="7" t="n">
        <f aca="false">Vehiculos!G4</f>
        <v>98</v>
      </c>
      <c r="V4" s="7" t="n">
        <f aca="false">Vehiculos!E4</f>
        <v>861</v>
      </c>
      <c r="W4" s="7" t="n">
        <f aca="false">Vehiculos!R19</f>
        <v>470</v>
      </c>
      <c r="X4" s="7" t="n">
        <f aca="false">Vehiculos!V19</f>
        <v>174</v>
      </c>
      <c r="Y4" s="0" t="n">
        <f aca="false">Vehiculos!Z19</f>
        <v>56</v>
      </c>
    </row>
    <row r="5" customFormat="false" ht="12.8" hidden="false" customHeight="false" outlineLevel="0" collapsed="false">
      <c r="A5" s="2" t="n">
        <v>0.375</v>
      </c>
      <c r="B5" s="2" t="n">
        <v>0.416666666666667</v>
      </c>
      <c r="C5" s="0" t="n">
        <f aca="false">SUM(Vehiculos!S5, Vehiculos!T5, Vehiculos!X5)</f>
        <v>794</v>
      </c>
      <c r="D5" s="0" t="n">
        <f aca="false">SUM(Vehiculos!K5, Vehiculos!I5)</f>
        <v>945</v>
      </c>
      <c r="E5" s="0" t="n">
        <f aca="false">D5 - C5</f>
        <v>151</v>
      </c>
      <c r="G5" s="0" t="n">
        <f aca="false">Vehiculos!C5 + Vehiculos!H5</f>
        <v>789</v>
      </c>
      <c r="H5" s="0" t="n">
        <f aca="false">Vehiculos!P20</f>
        <v>894</v>
      </c>
      <c r="I5" s="0" t="n">
        <f aca="false">H5-G5</f>
        <v>105</v>
      </c>
      <c r="J5" s="8"/>
      <c r="K5" s="8"/>
      <c r="L5" s="8" t="n">
        <f aca="false">J5+Vehiculos!C5</f>
        <v>715</v>
      </c>
      <c r="M5" s="8" t="n">
        <f aca="false">K5+Vehiculos!H5</f>
        <v>74</v>
      </c>
      <c r="U5" s="8" t="n">
        <f aca="false">Vehiculos!G5</f>
        <v>106</v>
      </c>
      <c r="V5" s="8" t="n">
        <f aca="false">Vehiculos!E5</f>
        <v>706</v>
      </c>
      <c r="W5" s="8" t="n">
        <f aca="false">Vehiculos!R20</f>
        <v>520</v>
      </c>
      <c r="X5" s="8" t="n">
        <f aca="false">Vehiculos!V20</f>
        <v>200</v>
      </c>
      <c r="Y5" s="8" t="n">
        <f aca="false">Vehiculos!Z20</f>
        <v>86</v>
      </c>
    </row>
    <row r="6" customFormat="false" ht="12.8" hidden="false" customHeight="false" outlineLevel="0" collapsed="false">
      <c r="A6" s="2" t="n">
        <v>0.416666666666667</v>
      </c>
      <c r="B6" s="2" t="n">
        <v>0.458333333333333</v>
      </c>
      <c r="C6" s="0" t="n">
        <f aca="false">SUM(Vehiculos!S6, Vehiculos!T6, Vehiculos!X6)</f>
        <v>803</v>
      </c>
      <c r="D6" s="0" t="n">
        <f aca="false">SUM(Vehiculos!K6, Vehiculos!I6)</f>
        <v>913</v>
      </c>
      <c r="E6" s="0" t="n">
        <f aca="false">D6 - C6</f>
        <v>110</v>
      </c>
      <c r="G6" s="0" t="n">
        <f aca="false">Vehiculos!C6 + Vehiculos!H6</f>
        <v>812</v>
      </c>
      <c r="H6" s="0" t="n">
        <f aca="false">Vehiculos!P21</f>
        <v>818</v>
      </c>
      <c r="I6" s="0" t="n">
        <f aca="false">H6-G6</f>
        <v>6</v>
      </c>
      <c r="L6" s="9" t="n">
        <f aca="false">J6+Vehiculos!C6</f>
        <v>722</v>
      </c>
      <c r="M6" s="9" t="n">
        <f aca="false">K6+Vehiculos!H6</f>
        <v>90</v>
      </c>
      <c r="U6" s="9" t="n">
        <f aca="false">Vehiculos!G6</f>
        <v>91</v>
      </c>
      <c r="V6" s="9" t="n">
        <f aca="false">Vehiculos!E6</f>
        <v>684</v>
      </c>
      <c r="W6" s="9" t="n">
        <f aca="false">Vehiculos!R21</f>
        <v>506</v>
      </c>
      <c r="X6" s="9" t="n">
        <f aca="false">Vehiculos!V21</f>
        <v>188</v>
      </c>
      <c r="Y6" s="9" t="n">
        <f aca="false">Vehiculos!Z21</f>
        <v>86</v>
      </c>
    </row>
    <row r="7" customFormat="false" ht="12.8" hidden="false" customHeight="false" outlineLevel="0" collapsed="false">
      <c r="A7" s="2" t="n">
        <v>0.458333333333333</v>
      </c>
      <c r="B7" s="2" t="n">
        <v>0.5</v>
      </c>
      <c r="C7" s="0" t="n">
        <f aca="false">SUM(Vehiculos!S7, Vehiculos!T7, Vehiculos!X7)</f>
        <v>765</v>
      </c>
      <c r="D7" s="0" t="n">
        <f aca="false">SUM(Vehiculos!K7, Vehiculos!I7)</f>
        <v>803</v>
      </c>
      <c r="E7" s="0" t="n">
        <f aca="false">D7 - C7</f>
        <v>38</v>
      </c>
      <c r="G7" s="0" t="n">
        <f aca="false">Vehiculos!C7 + Vehiculos!H7</f>
        <v>760</v>
      </c>
      <c r="H7" s="0" t="n">
        <f aca="false">Vehiculos!P22</f>
        <v>805</v>
      </c>
      <c r="I7" s="0" t="n">
        <f aca="false">H7-G7</f>
        <v>45</v>
      </c>
      <c r="L7" s="10" t="n">
        <f aca="false">J7+Vehiculos!C7</f>
        <v>656</v>
      </c>
      <c r="M7" s="10" t="n">
        <f aca="false">K7+Vehiculos!H7</f>
        <v>104</v>
      </c>
      <c r="U7" s="10" t="n">
        <f aca="false">Vehiculos!G7</f>
        <v>85</v>
      </c>
      <c r="V7" s="10" t="n">
        <f aca="false">Vehiculos!E7</f>
        <v>653</v>
      </c>
      <c r="W7" s="10" t="n">
        <f aca="false">Vehiculos!R22</f>
        <v>468</v>
      </c>
      <c r="X7" s="10" t="n">
        <f aca="false">Vehiculos!V22</f>
        <v>198</v>
      </c>
      <c r="Y7" s="10" t="n">
        <f aca="false">Vehiculos!Z22</f>
        <v>100</v>
      </c>
    </row>
    <row r="8" customFormat="false" ht="12.8" hidden="false" customHeight="false" outlineLevel="0" collapsed="false">
      <c r="A8" s="2" t="n">
        <v>0.5</v>
      </c>
      <c r="B8" s="2" t="n">
        <v>0.541666666666667</v>
      </c>
      <c r="C8" s="0" t="n">
        <f aca="false">SUM(Vehiculos!S8, Vehiculos!T8, Vehiculos!X8)</f>
        <v>865</v>
      </c>
      <c r="D8" s="0" t="n">
        <f aca="false">SUM(Vehiculos!K8, Vehiculos!I8)</f>
        <v>1033</v>
      </c>
      <c r="E8" s="0" t="n">
        <f aca="false">D8 - C8</f>
        <v>168</v>
      </c>
      <c r="G8" s="0" t="n">
        <f aca="false">Vehiculos!C8 + Vehiculos!H8</f>
        <v>803</v>
      </c>
      <c r="H8" s="0" t="n">
        <f aca="false">Vehiculos!P23</f>
        <v>850</v>
      </c>
      <c r="I8" s="0" t="n">
        <f aca="false">H8-G8</f>
        <v>47</v>
      </c>
      <c r="L8" s="11" t="n">
        <f aca="false">J8+Vehiculos!C8</f>
        <v>715</v>
      </c>
      <c r="M8" s="11" t="n">
        <f aca="false">K8+Vehiculos!H8</f>
        <v>88</v>
      </c>
      <c r="U8" s="11" t="n">
        <f aca="false">Vehiculos!G8</f>
        <v>127</v>
      </c>
      <c r="V8" s="11" t="n">
        <f aca="false">Vehiculos!E8</f>
        <v>657</v>
      </c>
      <c r="W8" s="11" t="n">
        <f aca="false">Vehiculos!R23</f>
        <v>546</v>
      </c>
      <c r="X8" s="11" t="n">
        <f aca="false">Vehiculos!V23</f>
        <v>18</v>
      </c>
      <c r="Y8" s="11" t="n">
        <f aca="false">Vehiculos!Z23</f>
        <v>104</v>
      </c>
    </row>
    <row r="9" customFormat="false" ht="12.8" hidden="false" customHeight="false" outlineLevel="0" collapsed="false">
      <c r="A9" s="2" t="n">
        <v>0.541666666666667</v>
      </c>
      <c r="B9" s="2" t="n">
        <v>0.583333333333333</v>
      </c>
      <c r="C9" s="0" t="n">
        <f aca="false">SUM(Vehiculos!S9, Vehiculos!T9, Vehiculos!X9)</f>
        <v>782</v>
      </c>
      <c r="D9" s="0" t="n">
        <f aca="false">SUM(Vehiculos!K9, Vehiculos!I9)</f>
        <v>891</v>
      </c>
      <c r="E9" s="0" t="n">
        <f aca="false">D9 - C9</f>
        <v>109</v>
      </c>
      <c r="G9" s="0" t="n">
        <f aca="false">Vehiculos!C9 + Vehiculos!H9</f>
        <v>783</v>
      </c>
      <c r="H9" s="0" t="n">
        <f aca="false">Vehiculos!P24</f>
        <v>684</v>
      </c>
      <c r="I9" s="0" t="n">
        <f aca="false">H9-G9</f>
        <v>-99</v>
      </c>
      <c r="J9" s="12" t="n">
        <v>-60</v>
      </c>
      <c r="K9" s="12" t="n">
        <v>-39</v>
      </c>
      <c r="L9" s="12" t="n">
        <f aca="false">J9+Vehiculos!C9</f>
        <v>640</v>
      </c>
      <c r="M9" s="12" t="n">
        <f aca="false">K9+Vehiculos!H9</f>
        <v>44</v>
      </c>
      <c r="U9" s="12" t="n">
        <f aca="false">Vehiculos!G9</f>
        <v>136</v>
      </c>
      <c r="V9" s="12" t="n">
        <f aca="false">Vehiculos!E9</f>
        <v>678</v>
      </c>
      <c r="W9" s="12" t="n">
        <f aca="false">Vehiculos!R24</f>
        <v>490</v>
      </c>
      <c r="X9" s="12" t="n">
        <f aca="false">Vehiculos!V24</f>
        <v>116</v>
      </c>
      <c r="Y9" s="12" t="n">
        <f aca="false">Vehiculos!Z24</f>
        <v>92</v>
      </c>
    </row>
    <row r="10" customFormat="false" ht="12.8" hidden="false" customHeight="false" outlineLevel="0" collapsed="false">
      <c r="A10" s="2" t="n">
        <v>0.583333333333333</v>
      </c>
      <c r="B10" s="2" t="n">
        <v>0.625</v>
      </c>
      <c r="C10" s="0" t="n">
        <f aca="false">SUM(Vehiculos!S10, Vehiculos!T10, Vehiculos!X10)</f>
        <v>773</v>
      </c>
      <c r="D10" s="0" t="n">
        <f aca="false">SUM(Vehiculos!K10, Vehiculos!I10)</f>
        <v>948</v>
      </c>
      <c r="E10" s="0" t="n">
        <f aca="false">D10 - C10</f>
        <v>175</v>
      </c>
      <c r="G10" s="0" t="n">
        <f aca="false">Vehiculos!C10 + Vehiculos!H10</f>
        <v>795</v>
      </c>
      <c r="H10" s="0" t="n">
        <f aca="false">Vehiculos!P25</f>
        <v>744</v>
      </c>
      <c r="I10" s="0" t="n">
        <f aca="false">H10-G10</f>
        <v>-51</v>
      </c>
      <c r="J10" s="13" t="n">
        <v>0</v>
      </c>
      <c r="K10" s="13" t="n">
        <v>-51</v>
      </c>
      <c r="L10" s="13" t="n">
        <f aca="false">J10+Vehiculos!C10</f>
        <v>713</v>
      </c>
      <c r="M10" s="13" t="n">
        <f aca="false">K10+Vehiculos!H10</f>
        <v>31</v>
      </c>
      <c r="U10" s="13" t="n">
        <f aca="false">Vehiculos!G10</f>
        <v>100</v>
      </c>
      <c r="V10" s="13" t="n">
        <f aca="false">Vehiculos!E10</f>
        <v>673</v>
      </c>
      <c r="W10" s="13" t="n">
        <f aca="false">Vehiculos!R25</f>
        <v>440</v>
      </c>
      <c r="X10" s="13" t="n">
        <f aca="false">Vehiculos!V25</f>
        <v>138</v>
      </c>
      <c r="Y10" s="13" t="n">
        <f aca="false">Vehiculos!Z25</f>
        <v>80</v>
      </c>
    </row>
    <row r="11" customFormat="false" ht="12.8" hidden="false" customHeight="false" outlineLevel="0" collapsed="false">
      <c r="A11" s="2" t="n">
        <v>0.625</v>
      </c>
      <c r="B11" s="2" t="n">
        <v>0.666666666666667</v>
      </c>
      <c r="C11" s="0" t="n">
        <f aca="false">SUM(Vehiculos!S11, Vehiculos!T11, Vehiculos!X11)</f>
        <v>864</v>
      </c>
      <c r="D11" s="0" t="n">
        <f aca="false">SUM(Vehiculos!K11, Vehiculos!I11)</f>
        <v>944</v>
      </c>
      <c r="E11" s="0" t="n">
        <f aca="false">D11 - C11</f>
        <v>80</v>
      </c>
      <c r="G11" s="0" t="n">
        <f aca="false">Vehiculos!C11 + Vehiculos!H11</f>
        <v>919</v>
      </c>
      <c r="H11" s="0" t="n">
        <f aca="false">Vehiculos!P26</f>
        <v>890</v>
      </c>
      <c r="I11" s="0" t="n">
        <f aca="false">H11-G11</f>
        <v>-29</v>
      </c>
      <c r="J11" s="14" t="n">
        <v>-12</v>
      </c>
      <c r="K11" s="14" t="n">
        <v>-17</v>
      </c>
      <c r="L11" s="14" t="n">
        <f aca="false">J11+Vehiculos!C11</f>
        <v>814</v>
      </c>
      <c r="M11" s="14" t="n">
        <f aca="false">K11+Vehiculos!H11</f>
        <v>76</v>
      </c>
      <c r="U11" s="14" t="n">
        <f aca="false">Vehiculos!G11</f>
        <v>99</v>
      </c>
      <c r="V11" s="14" t="n">
        <f aca="false">Vehiculos!E11</f>
        <v>686</v>
      </c>
      <c r="W11" s="14" t="n">
        <f aca="false">Vehiculos!R26</f>
        <v>444</v>
      </c>
      <c r="X11" s="14" t="n">
        <f aca="false">Vehiculos!V26</f>
        <v>158</v>
      </c>
      <c r="Y11" s="14" t="n">
        <f aca="false">Vehiculos!Z26</f>
        <v>96</v>
      </c>
    </row>
    <row r="12" customFormat="false" ht="12.8" hidden="false" customHeight="false" outlineLevel="0" collapsed="false">
      <c r="A12" s="2" t="n">
        <v>0.666666666666667</v>
      </c>
      <c r="B12" s="2" t="n">
        <v>0.708333333333333</v>
      </c>
      <c r="C12" s="0" t="n">
        <f aca="false">SUM(Vehiculos!S12, Vehiculos!T12, Vehiculos!X12)</f>
        <v>843</v>
      </c>
      <c r="D12" s="0" t="n">
        <f aca="false">SUM(Vehiculos!K12, Vehiculos!I12)</f>
        <v>1011</v>
      </c>
      <c r="E12" s="0" t="n">
        <f aca="false">D12 - C12</f>
        <v>168</v>
      </c>
      <c r="G12" s="0" t="n">
        <f aca="false">Vehiculos!C12 + Vehiculos!H12</f>
        <v>922</v>
      </c>
      <c r="H12" s="0" t="n">
        <f aca="false">Vehiculos!P27</f>
        <v>908</v>
      </c>
      <c r="I12" s="0" t="n">
        <f aca="false">H12-G12</f>
        <v>-14</v>
      </c>
      <c r="J12" s="15" t="n">
        <v>-4</v>
      </c>
      <c r="K12" s="15" t="n">
        <v>-10</v>
      </c>
      <c r="L12" s="15" t="n">
        <f aca="false">J12+Vehiculos!C12</f>
        <v>837</v>
      </c>
      <c r="M12" s="15" t="n">
        <f aca="false">K12+Vehiculos!H12</f>
        <v>71</v>
      </c>
      <c r="U12" s="15" t="n">
        <f aca="false">Vehiculos!G12</f>
        <v>125</v>
      </c>
      <c r="V12" s="15" t="n">
        <f aca="false">Vehiculos!E12</f>
        <v>706</v>
      </c>
      <c r="W12" s="15" t="n">
        <f aca="false">Vehiculos!R27</f>
        <v>488</v>
      </c>
      <c r="X12" s="15" t="n">
        <f aca="false">Vehiculos!V27</f>
        <v>180</v>
      </c>
      <c r="Y12" s="0" t="n">
        <f aca="false">Vehiculos!Z27</f>
        <v>76</v>
      </c>
    </row>
    <row r="13" customFormat="false" ht="12.8" hidden="false" customHeight="false" outlineLevel="0" collapsed="false">
      <c r="A13" s="2" t="n">
        <v>0.708333333333333</v>
      </c>
      <c r="B13" s="2" t="n">
        <v>0.75</v>
      </c>
      <c r="C13" s="0" t="n">
        <f aca="false">SUM(Vehiculos!S13, Vehiculos!T13, Vehiculos!X13)</f>
        <v>818</v>
      </c>
      <c r="D13" s="0" t="n">
        <f aca="false">SUM(Vehiculos!K13, Vehiculos!I13)</f>
        <v>1013</v>
      </c>
      <c r="E13" s="0" t="n">
        <f aca="false">D13 - C13</f>
        <v>195</v>
      </c>
      <c r="G13" s="0" t="n">
        <f aca="false">Vehiculos!C13 + Vehiculos!H13</f>
        <v>967</v>
      </c>
      <c r="H13" s="0" t="n">
        <f aca="false">Vehiculos!P28</f>
        <v>946</v>
      </c>
      <c r="I13" s="0" t="n">
        <f aca="false">H13-G13</f>
        <v>-21</v>
      </c>
      <c r="J13" s="16" t="n">
        <v>-18</v>
      </c>
      <c r="K13" s="16" t="n">
        <v>-3</v>
      </c>
      <c r="L13" s="16" t="n">
        <f aca="false">J13+Vehiculos!C13</f>
        <v>821</v>
      </c>
      <c r="M13" s="16" t="n">
        <f aca="false">K13+Vehiculos!H13</f>
        <v>125</v>
      </c>
      <c r="U13" s="16" t="n">
        <f aca="false">Vehiculos!G13</f>
        <v>154</v>
      </c>
      <c r="V13" s="16" t="n">
        <f aca="false">Vehiculos!E13</f>
        <v>644</v>
      </c>
      <c r="W13" s="16" t="n">
        <f aca="false">Vehiculos!R28</f>
        <v>538</v>
      </c>
      <c r="X13" s="16" t="n">
        <f aca="false">Vehiculos!V28</f>
        <v>188</v>
      </c>
      <c r="Y13" s="16" t="n">
        <f aca="false">Vehiculos!Z28</f>
        <v>34</v>
      </c>
    </row>
    <row r="14" customFormat="false" ht="12.8" hidden="false" customHeight="false" outlineLevel="0" collapsed="false">
      <c r="A14" s="2" t="n">
        <v>0.75</v>
      </c>
      <c r="B14" s="2" t="n">
        <v>0.791666666666667</v>
      </c>
      <c r="C14" s="0" t="n">
        <f aca="false">SUM(Vehiculos!S14, Vehiculos!T14, Vehiculos!X14)</f>
        <v>897</v>
      </c>
      <c r="D14" s="0" t="n">
        <f aca="false">SUM(Vehiculos!K14, Vehiculos!I14)</f>
        <v>997</v>
      </c>
      <c r="E14" s="0" t="n">
        <f aca="false">D14 - C14</f>
        <v>100</v>
      </c>
      <c r="G14" s="0" t="n">
        <f aca="false">Vehiculos!C14 + Vehiculos!H14</f>
        <v>891</v>
      </c>
      <c r="H14" s="0" t="n">
        <f aca="false">Vehiculos!P29</f>
        <v>902</v>
      </c>
      <c r="I14" s="0" t="n">
        <f aca="false">H14-G14</f>
        <v>11</v>
      </c>
      <c r="L14" s="17" t="n">
        <f aca="false">J14+Vehiculos!C14</f>
        <v>777</v>
      </c>
      <c r="M14" s="17" t="n">
        <f aca="false">K14+Vehiculos!H14</f>
        <v>114</v>
      </c>
      <c r="U14" s="17" t="n">
        <f aca="false">Vehiculos!G14</f>
        <v>163</v>
      </c>
      <c r="V14" s="17" t="n">
        <f aca="false">Vehiculos!E14</f>
        <v>619</v>
      </c>
      <c r="W14" s="17" t="n">
        <f aca="false">Vehiculos!R29</f>
        <v>486</v>
      </c>
      <c r="X14" s="17" t="n">
        <f aca="false">Vehiculos!V29</f>
        <v>144</v>
      </c>
      <c r="Y14" s="0" t="n">
        <f aca="false">Vehiculos!Z29</f>
        <v>52</v>
      </c>
    </row>
    <row r="15" customFormat="false" ht="12.8" hidden="false" customHeight="false" outlineLevel="0" collapsed="false">
      <c r="A15" s="2" t="n">
        <v>0.791666666666667</v>
      </c>
      <c r="B15" s="2" t="n">
        <v>0.833333333333333</v>
      </c>
      <c r="C15" s="0" t="n">
        <f aca="false">SUM(Vehiculos!S15, Vehiculos!T15, Vehiculos!X15)</f>
        <v>835</v>
      </c>
      <c r="D15" s="0" t="n">
        <f aca="false">SUM(Vehiculos!K15, Vehiculos!I15)</f>
        <v>916</v>
      </c>
      <c r="E15" s="0" t="n">
        <f aca="false">D15 - C15</f>
        <v>81</v>
      </c>
      <c r="G15" s="0" t="n">
        <f aca="false">Vehiculos!C15 + Vehiculos!H15</f>
        <v>774</v>
      </c>
      <c r="H15" s="0" t="n">
        <f aca="false">Vehiculos!P30</f>
        <v>706</v>
      </c>
      <c r="I15" s="0" t="n">
        <f aca="false">H15-G15</f>
        <v>-68</v>
      </c>
      <c r="J15" s="18" t="n">
        <v>-52</v>
      </c>
      <c r="K15" s="18" t="n">
        <v>-16</v>
      </c>
      <c r="L15" s="18" t="n">
        <f aca="false">J15+Vehiculos!C15</f>
        <v>608</v>
      </c>
      <c r="M15" s="18" t="n">
        <f aca="false">K15+Vehiculos!H15</f>
        <v>98</v>
      </c>
      <c r="U15" s="18" t="n">
        <f aca="false">Vehiculos!G15</f>
        <v>125</v>
      </c>
      <c r="V15" s="18" t="n">
        <f aca="false">Vehiculos!E15</f>
        <v>534</v>
      </c>
      <c r="W15" s="18" t="n">
        <f aca="false">Vehiculos!R30</f>
        <v>404</v>
      </c>
      <c r="X15" s="18" t="n">
        <f aca="false">Vehiculos!V30</f>
        <v>126</v>
      </c>
      <c r="Y15" s="18" t="n">
        <f aca="false">Vehiculos!Z30</f>
        <v>38</v>
      </c>
    </row>
    <row r="16" customFormat="false" ht="12.8" hidden="false" customHeight="false" outlineLevel="0" collapsed="false">
      <c r="F16" s="0" t="s">
        <v>42</v>
      </c>
      <c r="G16" s="0" t="s">
        <v>43</v>
      </c>
      <c r="H16" s="0" t="s">
        <v>44</v>
      </c>
      <c r="I16" s="0" t="s">
        <v>45</v>
      </c>
      <c r="J16" s="0" t="s">
        <v>46</v>
      </c>
      <c r="K16" s="0" t="s">
        <v>47</v>
      </c>
      <c r="M16" s="0" t="s">
        <v>48</v>
      </c>
      <c r="N16" s="0" t="s">
        <v>49</v>
      </c>
      <c r="O16" s="0" t="s">
        <v>50</v>
      </c>
      <c r="P16" s="0" t="s">
        <v>51</v>
      </c>
      <c r="Q16" s="0" t="s">
        <v>52</v>
      </c>
      <c r="R16" s="0" t="s">
        <v>53</v>
      </c>
      <c r="S16" s="0" t="s">
        <v>54</v>
      </c>
      <c r="T16" s="0" t="s">
        <v>55</v>
      </c>
      <c r="U16" s="0" t="s">
        <v>56</v>
      </c>
      <c r="V16" s="0" t="s">
        <v>57</v>
      </c>
    </row>
    <row r="17" customFormat="false" ht="12.8" hidden="false" customHeight="false" outlineLevel="0" collapsed="false">
      <c r="A17" s="2" t="n">
        <v>0.25</v>
      </c>
      <c r="B17" s="2" t="n">
        <v>0.291666666666667</v>
      </c>
      <c r="C17" s="0" t="n">
        <f aca="false">SUM(Vehiculos!S17, Vehiculos!T17, Vehiculos!X17)</f>
        <v>276</v>
      </c>
      <c r="E17" s="0" t="n">
        <f aca="false">D2-C17</f>
        <v>-32</v>
      </c>
      <c r="F17" s="4" t="n">
        <v>0</v>
      </c>
      <c r="G17" s="4" t="n">
        <v>-4</v>
      </c>
      <c r="H17" s="4" t="n">
        <v>-28</v>
      </c>
      <c r="I17" s="0" t="n">
        <f aca="false">Vehiculos!S17+F17</f>
        <v>16</v>
      </c>
      <c r="J17" s="0" t="n">
        <f aca="false">G17+Vehiculos!T17</f>
        <v>184</v>
      </c>
      <c r="K17" s="0" t="n">
        <f aca="false">H17+Vehiculos!X17</f>
        <v>44</v>
      </c>
      <c r="M17" s="0" t="n">
        <f aca="false">(Vehiculos!I2*100)/$D2</f>
        <v>36.8852459016393</v>
      </c>
      <c r="N17" s="0" t="n">
        <f aca="false">(Vehiculos!K2*100)/D2</f>
        <v>63.1147540983607</v>
      </c>
      <c r="O17" s="4" t="n">
        <f aca="false">IF(((M17*$I17)/100)-INT(((M17*$I17)/100))&gt;0.5,ROUNDUP(((M17*$I17)/100),0),ROUND(((M17*$I17)/100),0))</f>
        <v>6</v>
      </c>
      <c r="P17" s="4" t="n">
        <f aca="false">IF(((N17*$I17)/100)-INT(((N17*$I17)/100))&gt;0.5,ROUNDUP(((N17*$I17)/100),0),ROUND(((N17*$I17)/100),0))</f>
        <v>10</v>
      </c>
      <c r="Q17" s="4" t="n">
        <f aca="false">IF(((M17*$J17)/100)-INT(((M17*$J17)/100))&gt;0.5,ROUNDUP(((M17*$J17)/100),0),ROUND(((M17*$J17)/100),0))</f>
        <v>68</v>
      </c>
      <c r="R17" s="4" t="n">
        <f aca="false">IF(((N17*$J17)/100)-INT(((N17*$J17)/100))&gt;0.5,ROUNDUP(((N17*$J17)/100),0),ROUND(((N17*$J17)/100),0))</f>
        <v>116</v>
      </c>
      <c r="S17" s="4" t="n">
        <f aca="false">IF(((M17*$K17)/100)-INT(((M17*$K17)/100))&gt;0.5,ROUNDUP(((M17*$K17)/100),0),ROUND(((M17*$K17)/100),0))</f>
        <v>16</v>
      </c>
      <c r="T17" s="4" t="n">
        <f aca="false">IF(((N17*$K17)/100)-INT(((N17*$K17)/100))&gt;0.5,ROUNDUP(((N17*$K17)/100),0),ROUND(((N17*$K17)/100),0))</f>
        <v>28</v>
      </c>
    </row>
    <row r="18" customFormat="false" ht="12.8" hidden="false" customHeight="false" outlineLevel="0" collapsed="false">
      <c r="A18" s="2" t="n">
        <v>0.291666666666667</v>
      </c>
      <c r="B18" s="2" t="n">
        <v>0.333333333333333</v>
      </c>
      <c r="C18" s="0" t="n">
        <f aca="false">SUM(Vehiculos!S18, Vehiculos!T18, Vehiculos!X18)</f>
        <v>574</v>
      </c>
      <c r="E18" s="0" t="n">
        <f aca="false">D3-C18</f>
        <v>96</v>
      </c>
      <c r="G18" s="6"/>
      <c r="H18" s="6"/>
      <c r="I18" s="0" t="n">
        <f aca="false">Vehiculos!S18+F18</f>
        <v>48</v>
      </c>
      <c r="J18" s="0" t="n">
        <f aca="false">G18+Vehiculos!T18</f>
        <v>356</v>
      </c>
      <c r="K18" s="0" t="n">
        <f aca="false">H18+Vehiculos!X18</f>
        <v>170</v>
      </c>
      <c r="M18" s="0" t="n">
        <f aca="false">(Vehiculos!I3*100)/$D3</f>
        <v>74.9253731343284</v>
      </c>
      <c r="N18" s="0" t="n">
        <f aca="false">(Vehiculos!K3*100)/D3</f>
        <v>25.0746268656716</v>
      </c>
      <c r="O18" s="6" t="n">
        <f aca="false">IF(((M18*$I18)/100)-INT(((M18*$I18)/100))&gt;0.5,ROUNDUP(((M18*$I18)/100),0),ROUND(((M18*$I18)/100),0))</f>
        <v>36</v>
      </c>
      <c r="P18" s="6" t="n">
        <f aca="false">IF(((N18*$I18)/100)-INT(((N18*$I18)/100))&gt;0.5,ROUNDUP(((N18*$I18)/100),0),ROUND(((N18*$I18)/100),0))</f>
        <v>12</v>
      </c>
      <c r="Q18" s="6" t="n">
        <f aca="false">IF(((M18*$J18)/100)-INT(((M18*$J18)/100))&gt;0.5,ROUNDUP(((M18*$J18)/100),0),ROUND(((M18*$J18)/100),0))</f>
        <v>267</v>
      </c>
      <c r="R18" s="6" t="n">
        <f aca="false">IF(((N18*$J18)/100)-INT(((N18*$J18)/100))&gt;0.5,ROUNDUP(((N18*$J18)/100),0),ROUND(((N18*$J18)/100),0))</f>
        <v>89</v>
      </c>
      <c r="S18" s="6" t="n">
        <f aca="false">IF(((M18*$K18)/100)-INT(((M18*$K18)/100))&gt;0.5,ROUNDUP(((M18*$K18)/100),0),ROUND(((M18*$K18)/100),0))</f>
        <v>127</v>
      </c>
      <c r="T18" s="6" t="n">
        <f aca="false">IF(((N18*$K18)/100)-INT(((N18*$K18)/100))&gt;0.5,ROUNDUP(((N18*$K18)/100),0),ROUND(((N18*$K18)/100),0))</f>
        <v>43</v>
      </c>
      <c r="U18" s="6" t="n">
        <f aca="false">IF(((M18*$E18)/100)-INT(((M18*$E18)/100))&gt;0.5,ROUNDUP(((M18*$E18)/100),0),ROUND(((M18*$E18)/100),0))</f>
        <v>72</v>
      </c>
      <c r="V18" s="19" t="n">
        <f aca="false">IF(((N18*$E18)/100)-INT(((N18*$E18)/100))&gt;0.5,ROUNDUP(((N18*$E18)/100),0),ROUND(((N18*$E18)/100),0))</f>
        <v>24</v>
      </c>
    </row>
    <row r="19" customFormat="false" ht="12.8" hidden="false" customHeight="false" outlineLevel="0" collapsed="false">
      <c r="A19" s="2" t="n">
        <v>0.333333333333333</v>
      </c>
      <c r="B19" s="2" t="n">
        <v>0.375</v>
      </c>
      <c r="C19" s="0" t="n">
        <f aca="false">SUM(Vehiculos!S19, Vehiculos!T19, Vehiculos!X19)</f>
        <v>856</v>
      </c>
      <c r="E19" s="0" t="n">
        <f aca="false">D4-C19</f>
        <v>106</v>
      </c>
      <c r="G19" s="7"/>
      <c r="I19" s="0" t="n">
        <f aca="false">Vehiculos!S19+F19</f>
        <v>78</v>
      </c>
      <c r="J19" s="0" t="n">
        <f aca="false">G19+Vehiculos!T19</f>
        <v>474</v>
      </c>
      <c r="K19" s="0" t="n">
        <f aca="false">H19+Vehiculos!X19</f>
        <v>304</v>
      </c>
      <c r="M19" s="0" t="n">
        <f aca="false">(Vehiculos!I4*100)/$D4</f>
        <v>76.0914760914761</v>
      </c>
      <c r="N19" s="0" t="n">
        <f aca="false">(Vehiculos!K4*100)/D4</f>
        <v>23.9085239085239</v>
      </c>
      <c r="O19" s="7" t="n">
        <f aca="false">IF(((M19*$I19)/100)-INT(((M19*$I19)/100))&gt;0.5,ROUNDUP(((M19*$I19)/100),0),ROUND(((M19*$I19)/100),0))</f>
        <v>59</v>
      </c>
      <c r="P19" s="7" t="n">
        <f aca="false">IF(((N19*$I19)/100)-INT(((N19*$I19)/100))&gt;0.5,ROUNDUP(((N19*$I19)/100),0),ROUND(((N19*$I19)/100),0))</f>
        <v>19</v>
      </c>
      <c r="Q19" s="7" t="n">
        <f aca="false">IF(((M19*$J19)/100)-INT(((M19*$J19)/100))&gt;0.5,ROUNDUP(((M19*$J19)/100),0),ROUND(((M19*$J19)/100),0))</f>
        <v>361</v>
      </c>
      <c r="R19" s="7" t="n">
        <f aca="false">IF(((N19*$J19)/100)-INT(((N19*$J19)/100))&gt;0.5,ROUNDUP(((N19*$J19)/100),0),ROUND(((N19*$J19)/100),0))</f>
        <v>113</v>
      </c>
      <c r="S19" s="7" t="n">
        <f aca="false">IF(((M19*$K19)/100)-INT(((M19*$K19)/100))&gt;0.5,ROUNDUP(((M19*$K19)/100),0),ROUND(((M19*$K19)/100),0))</f>
        <v>231</v>
      </c>
      <c r="T19" s="7" t="n">
        <f aca="false">IF(((N19*$K19)/100)-INT(((N19*$K19)/100))&gt;0.5,ROUNDUP(((N19*$K19)/100),0),ROUND(((N19*$K19)/100),0))</f>
        <v>73</v>
      </c>
      <c r="U19" s="7" t="n">
        <f aca="false">IF(((M19*$E19)/100)-INT(((M19*$E19)/100))&gt;0.5,ROUNDUP(((M19*$E19)/100),0),ROUND(((M19*$E19)/100),0))</f>
        <v>81</v>
      </c>
      <c r="V19" s="20" t="n">
        <f aca="false">IF(((N19*$E19)/100)-INT(((N19*$E19)/100))&gt;0.5,ROUNDUP(((N19*$E19)/100),0),ROUND(((N19*$E19)/100),0))</f>
        <v>25</v>
      </c>
    </row>
    <row r="20" customFormat="false" ht="12.8" hidden="false" customHeight="false" outlineLevel="0" collapsed="false">
      <c r="A20" s="2" t="n">
        <v>0.375</v>
      </c>
      <c r="B20" s="2" t="n">
        <v>0.416666666666667</v>
      </c>
      <c r="C20" s="0" t="n">
        <f aca="false">SUM(Vehiculos!S20, Vehiculos!T20, Vehiculos!X20)</f>
        <v>880</v>
      </c>
      <c r="E20" s="0" t="n">
        <f aca="false">D5-C20</f>
        <v>65</v>
      </c>
      <c r="I20" s="0" t="n">
        <f aca="false">Vehiculos!S20+F20</f>
        <v>54</v>
      </c>
      <c r="J20" s="0" t="n">
        <f aca="false">G20+Vehiculos!T20</f>
        <v>486</v>
      </c>
      <c r="K20" s="0" t="n">
        <f aca="false">H20+Vehiculos!X20</f>
        <v>340</v>
      </c>
      <c r="M20" s="0" t="n">
        <f aca="false">(Vehiculos!I5*100)/$D5</f>
        <v>69.8412698412698</v>
      </c>
      <c r="N20" s="0" t="n">
        <f aca="false">(Vehiculos!K5*100)/D5</f>
        <v>30.1587301587302</v>
      </c>
      <c r="O20" s="8" t="n">
        <f aca="false">IF(((M20*$I20)/100)-INT(((M20*$I20)/100))&gt;0.5,ROUNDUP(((M20*$I20)/100),0),ROUND(((M20*$I20)/100),0))</f>
        <v>38</v>
      </c>
      <c r="P20" s="8" t="n">
        <f aca="false">IF(((N20*$I20)/100)-INT(((N20*$I20)/100))&gt;0.5,ROUNDUP(((N20*$I20)/100),0),ROUND(((N20*$I20)/100),0))</f>
        <v>16</v>
      </c>
      <c r="Q20" s="8" t="n">
        <f aca="false">IF(((M20*$J20)/100)-INT(((M20*$J20)/100))&gt;0.5,ROUNDUP(((M20*$J20)/100),0),ROUND(((M20*$J20)/100),0))</f>
        <v>339</v>
      </c>
      <c r="R20" s="8" t="n">
        <f aca="false">IF(((N20*$J20)/100)-INT(((N20*$J20)/100))&gt;0.5,ROUNDUP(((N20*$J20)/100),0),ROUND(((N20*$J20)/100),0))</f>
        <v>147</v>
      </c>
      <c r="S20" s="8" t="n">
        <f aca="false">IF(((M20*$K20)/100)-INT(((M20*$K20)/100))&gt;0.5,ROUNDUP(((M20*$K20)/100),0),ROUND(((M20*$K20)/100),0))</f>
        <v>237</v>
      </c>
      <c r="T20" s="8" t="n">
        <f aca="false">IF(((N20*$K20)/100)-INT(((N20*$K20)/100))&gt;0.5,ROUNDUP(((N20*$K20)/100),0),ROUND(((N20*$K20)/100),0))</f>
        <v>103</v>
      </c>
      <c r="U20" s="8" t="n">
        <f aca="false">IF(((M20*$E20)/100)-INT(((M20*$E20)/100))&gt;0.5,ROUNDUP(((M20*$E20)/100),0),ROUND(((M20*$E20)/100),0))</f>
        <v>45</v>
      </c>
      <c r="V20" s="8" t="n">
        <f aca="false">IF(((N20*$E20)/100)-INT(((N20*$E20)/100))&gt;0.5,ROUNDUP(((N20*$E20)/100),0),ROUND(((N20*$E20)/100),0))</f>
        <v>20</v>
      </c>
    </row>
    <row r="21" customFormat="false" ht="12.8" hidden="false" customHeight="false" outlineLevel="0" collapsed="false">
      <c r="A21" s="2" t="n">
        <v>0.416666666666667</v>
      </c>
      <c r="B21" s="2" t="n">
        <v>0.458333333333333</v>
      </c>
      <c r="C21" s="0" t="n">
        <f aca="false">SUM(Vehiculos!S21, Vehiculos!T21, Vehiculos!X21)</f>
        <v>892</v>
      </c>
      <c r="E21" s="0" t="n">
        <f aca="false">D6-C21</f>
        <v>21</v>
      </c>
      <c r="I21" s="0" t="n">
        <f aca="false">Vehiculos!S21+F21</f>
        <v>56</v>
      </c>
      <c r="J21" s="0" t="n">
        <f aca="false">G21+Vehiculos!T21</f>
        <v>456</v>
      </c>
      <c r="K21" s="0" t="n">
        <f aca="false">H21+Vehiculos!X21</f>
        <v>380</v>
      </c>
      <c r="M21" s="0" t="n">
        <f aca="false">(Vehiculos!I6*100)/$D6</f>
        <v>67.579408543264</v>
      </c>
      <c r="N21" s="0" t="n">
        <f aca="false">(Vehiculos!K6*100)/D6</f>
        <v>32.420591456736</v>
      </c>
      <c r="O21" s="9" t="n">
        <f aca="false">IF(((M21*$I21)/100)-INT(((M21*$I21)/100))&gt;0.5,ROUNDUP(((M21*$I21)/100),0),ROUND(((M21*$I21)/100),0))</f>
        <v>38</v>
      </c>
      <c r="P21" s="9" t="n">
        <f aca="false">IF(((N21*$I21)/100)-INT(((N21*$I21)/100))&gt;0.5,ROUNDUP(((N21*$I21)/100),0),ROUND(((N21*$I21)/100),0))</f>
        <v>18</v>
      </c>
      <c r="Q21" s="9" t="n">
        <f aca="false">IF(((M21*$J21)/100)-INT(((M21*$J21)/100))&gt;0.5,ROUNDUP(((M21*$J21)/100),0),ROUND(((M21*$J21)/100),0))</f>
        <v>308</v>
      </c>
      <c r="R21" s="9" t="n">
        <f aca="false">IF(((N21*$J21)/100)-INT(((N21*$J21)/100))&gt;0.5,ROUNDUP(((N21*$J21)/100),0),ROUND(((N21*$J21)/100),0))</f>
        <v>148</v>
      </c>
      <c r="S21" s="9" t="n">
        <f aca="false">IF(((M21*$K21)/100)-INT(((M21*$K21)/100))&gt;0.5,ROUNDUP(((M21*$K21)/100),0),ROUND(((M21*$K21)/100),0))</f>
        <v>257</v>
      </c>
      <c r="T21" s="9" t="n">
        <f aca="false">IF(((N21*$K21)/100)-INT(((N21*$K21)/100))&gt;0.5,ROUNDUP(((N21*$K21)/100),0),ROUND(((N21*$K21)/100),0))</f>
        <v>123</v>
      </c>
      <c r="U21" s="9" t="n">
        <f aca="false">IF(((M21*$E21)/100)-INT(((M21*$E21)/100))&gt;0.5,ROUNDUP(((M21*$E21)/100),0),ROUND(((M21*$E21)/100),0))</f>
        <v>14</v>
      </c>
      <c r="V21" s="9" t="n">
        <f aca="false">IF(((N21*$E21)/100)-INT(((N21*$E21)/100))&gt;0.5,ROUNDUP(((N21*$E21)/100),0),ROUND(((N21*$E21)/100),0))</f>
        <v>7</v>
      </c>
    </row>
    <row r="22" customFormat="false" ht="12.8" hidden="false" customHeight="false" outlineLevel="0" collapsed="false">
      <c r="A22" s="2" t="n">
        <v>0.458333333333333</v>
      </c>
      <c r="B22" s="2" t="n">
        <v>0.5</v>
      </c>
      <c r="C22" s="0" t="n">
        <f aca="false">SUM(Vehiculos!S22, Vehiculos!T22, Vehiculos!X22)</f>
        <v>848</v>
      </c>
      <c r="E22" s="0" t="n">
        <f aca="false">D7-C22</f>
        <v>-45</v>
      </c>
      <c r="F22" s="10" t="n">
        <v>-13</v>
      </c>
      <c r="G22" s="10" t="n">
        <v>-9</v>
      </c>
      <c r="H22" s="10" t="n">
        <v>-23</v>
      </c>
      <c r="I22" s="0" t="n">
        <f aca="false">Vehiculos!S22+F22</f>
        <v>47</v>
      </c>
      <c r="J22" s="0" t="n">
        <f aca="false">G22+Vehiculos!T22</f>
        <v>437</v>
      </c>
      <c r="K22" s="0" t="n">
        <f aca="false">H22+Vehiculos!X22</f>
        <v>319</v>
      </c>
      <c r="M22" s="0" t="n">
        <f aca="false">(Vehiculos!I7*100)/$D7</f>
        <v>62.640099626401</v>
      </c>
      <c r="N22" s="0" t="n">
        <f aca="false">(Vehiculos!K7*100)/D7</f>
        <v>37.359900373599</v>
      </c>
      <c r="O22" s="10" t="n">
        <f aca="false">IF(((M22*$I22)/100)-INT(((M22*$I22)/100))&gt;0.5,ROUNDUP(((M22*$I22)/100),0),ROUND(((M22*$I22)/100),0))</f>
        <v>29</v>
      </c>
      <c r="P22" s="10" t="n">
        <f aca="false">IF(((N22*$I22)/100)-INT(((N22*$I22)/100))&gt;0.5,ROUNDUP(((N22*$I22)/100),0),ROUND(((N22*$I22)/100),0))</f>
        <v>18</v>
      </c>
      <c r="Q22" s="10" t="n">
        <f aca="false">IF(((M22*$J22)/100)-INT(((M22*$J22)/100))&gt;0.5,ROUNDUP(((M22*$J22)/100),0),ROUND(((M22*$J22)/100),0))</f>
        <v>274</v>
      </c>
      <c r="R22" s="10" t="n">
        <f aca="false">IF(((N22*$J22)/100)-INT(((N22*$J22)/100))&gt;0.5,ROUNDUP(((N22*$J22)/100),0),ROUND(((N22*$J22)/100),0))</f>
        <v>163</v>
      </c>
      <c r="S22" s="10" t="n">
        <f aca="false">IF(((M22*$K22)/100)-INT(((M22*$K22)/100))&gt;0.5,ROUNDUP(((M22*$K22)/100),0),ROUND(((M22*$K22)/100),0))</f>
        <v>200</v>
      </c>
      <c r="T22" s="10" t="n">
        <f aca="false">IF(((N22*$K22)/100)-INT(((N22*$K22)/100))&gt;0.5,ROUNDUP(((N22*$K22)/100),0),ROUND(((N22*$K22)/100),0))</f>
        <v>119</v>
      </c>
    </row>
    <row r="23" customFormat="false" ht="12.8" hidden="false" customHeight="false" outlineLevel="0" collapsed="false">
      <c r="A23" s="2" t="n">
        <v>0.5</v>
      </c>
      <c r="B23" s="2" t="n">
        <v>0.541666666666667</v>
      </c>
      <c r="C23" s="0" t="n">
        <f aca="false">SUM(Vehiculos!S23, Vehiculos!T23, Vehiculos!X23)</f>
        <v>962</v>
      </c>
      <c r="E23" s="0" t="n">
        <f aca="false">D8-C23</f>
        <v>71</v>
      </c>
      <c r="I23" s="0" t="n">
        <f aca="false">Vehiculos!S23+F23</f>
        <v>84</v>
      </c>
      <c r="J23" s="0" t="n">
        <f aca="false">G23+Vehiculos!T23</f>
        <v>540</v>
      </c>
      <c r="K23" s="0" t="n">
        <f aca="false">H23+Vehiculos!X23</f>
        <v>338</v>
      </c>
      <c r="M23" s="0" t="n">
        <f aca="false">(Vehiculos!I8*100)/$D8</f>
        <v>76.6698935140368</v>
      </c>
      <c r="N23" s="0" t="n">
        <f aca="false">(Vehiculos!K8*100)/D8</f>
        <v>23.3301064859632</v>
      </c>
      <c r="O23" s="11" t="n">
        <f aca="false">IF(((M23*$I23)/100)-INT(((M23*$I23)/100))&gt;0.5,ROUNDUP(((M23*$I23)/100),0),ROUND(((M23*$I23)/100),0))</f>
        <v>64</v>
      </c>
      <c r="P23" s="11" t="n">
        <f aca="false">IF(((N23*$I23)/100)-INT(((N23*$I23)/100))&gt;0.5,ROUNDUP(((N23*$I23)/100),0),ROUND(((N23*$I23)/100),0))</f>
        <v>20</v>
      </c>
      <c r="Q23" s="11" t="n">
        <f aca="false">IF(((M23*$J23)/100)-INT(((M23*$J23)/100))&gt;0.5,ROUNDUP(((M23*$J23)/100),0),ROUND(((M23*$J23)/100),0))</f>
        <v>414</v>
      </c>
      <c r="R23" s="11" t="n">
        <f aca="false">IF(((N23*$J23)/100)-INT(((N23*$J23)/100))&gt;0.5,ROUNDUP(((N23*$J23)/100),0),ROUND(((N23*$J23)/100),0))</f>
        <v>126</v>
      </c>
      <c r="S23" s="11" t="n">
        <f aca="false">IF(((M23*$K23)/100)-INT(((M23*$K23)/100))&gt;0.5,ROUNDUP(((M23*$K23)/100),0),ROUND(((M23*$K23)/100),0))</f>
        <v>259</v>
      </c>
      <c r="T23" s="11" t="n">
        <f aca="false">IF(((N23*$K23)/100)-INT(((N23*$K23)/100))&gt;0.5,ROUNDUP(((N23*$K23)/100),0),ROUND(((N23*$K23)/100),0))</f>
        <v>79</v>
      </c>
      <c r="U23" s="11" t="n">
        <f aca="false">IF(((M23*$E23)/100)-INT(((M23*$E23)/100))&gt;0.5,ROUNDUP(((M23*$E23)/100),0),ROUND(((M23*$E23)/100),0))</f>
        <v>54</v>
      </c>
      <c r="V23" s="11" t="n">
        <f aca="false">IF(((N23*$E23)/100)-INT(((N23*$E23)/100))&gt;0.5,ROUNDUP(((N23*$E23)/100),0),ROUND(((N23*$E23)/100),0))</f>
        <v>17</v>
      </c>
    </row>
    <row r="24" customFormat="false" ht="12.8" hidden="false" customHeight="false" outlineLevel="0" collapsed="false">
      <c r="A24" s="2" t="n">
        <v>0.541666666666667</v>
      </c>
      <c r="B24" s="2" t="n">
        <v>0.583333333333333</v>
      </c>
      <c r="C24" s="0" t="n">
        <f aca="false">SUM(Vehiculos!S24, Vehiculos!T24, Vehiculos!X24)</f>
        <v>868</v>
      </c>
      <c r="E24" s="0" t="n">
        <f aca="false">D9-C24</f>
        <v>23</v>
      </c>
      <c r="I24" s="0" t="n">
        <f aca="false">Vehiculos!S24+F24</f>
        <v>76</v>
      </c>
      <c r="J24" s="0" t="n">
        <f aca="false">G24+Vehiculos!T24</f>
        <v>466</v>
      </c>
      <c r="K24" s="0" t="n">
        <f aca="false">H24+Vehiculos!X24</f>
        <v>326</v>
      </c>
      <c r="M24" s="0" t="n">
        <f aca="false">(Vehiculos!I9*100)/$D9</f>
        <v>72.5028058361392</v>
      </c>
      <c r="N24" s="0" t="n">
        <f aca="false">(Vehiculos!K9*100)/D9</f>
        <v>27.4971941638608</v>
      </c>
      <c r="O24" s="12" t="n">
        <f aca="false">IF(((M24*$I24)/100)-INT(((M24*$I24)/100))&gt;0.5,ROUNDUP(((M24*$I24)/100),0),ROUND(((M24*$I24)/100),0))</f>
        <v>55</v>
      </c>
      <c r="P24" s="12" t="n">
        <f aca="false">IF(((N24*$I24)/100)-INT(((N24*$I24)/100))&gt;0.5,ROUNDUP(((N24*$I24)/100),0),ROUND(((N24*$I24)/100),0))</f>
        <v>21</v>
      </c>
      <c r="Q24" s="12" t="n">
        <f aca="false">IF(((M24*$J24)/100)-INT(((M24*$J24)/100))&gt;0.5,ROUNDUP(((M24*$J24)/100),0),ROUND(((M24*$J24)/100),0))</f>
        <v>338</v>
      </c>
      <c r="R24" s="12" t="n">
        <f aca="false">IF(((N24*$J24)/100)-INT(((N24*$J24)/100))&gt;0.5,ROUNDUP(((N24*$J24)/100),0),ROUND(((N24*$J24)/100),0))</f>
        <v>128</v>
      </c>
      <c r="S24" s="12" t="n">
        <f aca="false">IF(((M24*$K24)/100)-INT(((M24*$K24)/100))&gt;0.5,ROUNDUP(((M24*$K24)/100),0),ROUND(((M24*$K24)/100),0))</f>
        <v>236</v>
      </c>
      <c r="T24" s="12" t="n">
        <f aca="false">IF(((N24*$K24)/100)-INT(((N24*$K24)/100))&gt;0.5,ROUNDUP(((N24*$K24)/100),0),ROUND(((N24*$K24)/100),0))</f>
        <v>90</v>
      </c>
      <c r="U24" s="12" t="n">
        <f aca="false">IF(((M24*$E24)/100)-INT(((M24*$E24)/100))&gt;0.5,ROUNDUP(((M24*$E24)/100),0),ROUND(((M24*$E24)/100),0))</f>
        <v>17</v>
      </c>
      <c r="V24" s="12" t="n">
        <f aca="false">IF(((N24*$E24)/100)-INT(((N24*$E24)/100))&gt;0.5,ROUNDUP(((N24*$E24)/100),0),ROUND(((N24*$E24)/100),0))</f>
        <v>6</v>
      </c>
    </row>
    <row r="25" customFormat="false" ht="12.8" hidden="false" customHeight="false" outlineLevel="0" collapsed="false">
      <c r="A25" s="2" t="n">
        <v>0.583333333333333</v>
      </c>
      <c r="B25" s="2" t="n">
        <v>0.625</v>
      </c>
      <c r="C25" s="0" t="n">
        <f aca="false">SUM(Vehiculos!S25, Vehiculos!T25, Vehiculos!X25)</f>
        <v>858</v>
      </c>
      <c r="E25" s="0" t="n">
        <f aca="false">D10-C25</f>
        <v>90</v>
      </c>
      <c r="I25" s="0" t="n">
        <f aca="false">Vehiculos!S25+F25</f>
        <v>68</v>
      </c>
      <c r="J25" s="0" t="n">
        <f aca="false">G25+Vehiculos!T25</f>
        <v>518</v>
      </c>
      <c r="K25" s="0" t="n">
        <f aca="false">H25+Vehiculos!X25</f>
        <v>272</v>
      </c>
      <c r="M25" s="0" t="n">
        <f aca="false">(Vehiculos!I10*100)/$D10</f>
        <v>70.3586497890295</v>
      </c>
      <c r="N25" s="0" t="n">
        <f aca="false">(Vehiculos!K10*100)/D10</f>
        <v>29.6413502109705</v>
      </c>
      <c r="O25" s="13" t="n">
        <f aca="false">IF(((M25*$I25)/100)-INT(((M25*$I25)/100))&gt;0.5,ROUNDUP(((M25*$I25)/100),0),ROUND(((M25*$I25)/100),0))</f>
        <v>48</v>
      </c>
      <c r="P25" s="13" t="n">
        <f aca="false">IF(((N25*$I25)/100)-INT(((N25*$I25)/100))&gt;0.5,ROUNDUP(((N25*$I25)/100),0),ROUND(((N25*$I25)/100),0))</f>
        <v>20</v>
      </c>
      <c r="Q25" s="13" t="n">
        <f aca="false">IF(((M25*$J25)/100)-INT(((M25*$J25)/100))&gt;0.5,ROUNDUP(((M25*$J25)/100),0),ROUND(((M25*$J25)/100),0))</f>
        <v>364</v>
      </c>
      <c r="R25" s="13" t="n">
        <f aca="false">IF(((N25*$J25)/100)-INT(((N25*$J25)/100))&gt;0.5,ROUNDUP(((N25*$J25)/100),0),ROUND(((N25*$J25)/100),0))</f>
        <v>154</v>
      </c>
      <c r="S25" s="13" t="n">
        <f aca="false">IF(((M25*$K25)/100)-INT(((M25*$K25)/100))&gt;0.5,ROUNDUP(((M25*$K25)/100),0),ROUND(((M25*$K25)/100),0))</f>
        <v>191</v>
      </c>
      <c r="T25" s="13" t="n">
        <f aca="false">IF(((N25*$K25)/100)-INT(((N25*$K25)/100))&gt;0.5,ROUNDUP(((N25*$K25)/100),0),ROUND(((N25*$K25)/100),0))</f>
        <v>81</v>
      </c>
      <c r="U25" s="13" t="n">
        <f aca="false">IF(((M25*$E25)/100)-INT(((M25*$E25)/100))&gt;0.5,ROUNDUP(((M25*$E25)/100),0),ROUND(((M25*$E25)/100),0))</f>
        <v>63</v>
      </c>
      <c r="V25" s="13" t="n">
        <f aca="false">IF(((N25*$E25)/100)-INT(((N25*$E25)/100))&gt;0.5,ROUNDUP(((N25*$E25)/100),0),ROUND(((N25*$E25)/100),0))</f>
        <v>27</v>
      </c>
    </row>
    <row r="26" customFormat="false" ht="12.8" hidden="false" customHeight="false" outlineLevel="0" collapsed="false">
      <c r="A26" s="2" t="n">
        <v>0.625</v>
      </c>
      <c r="B26" s="2" t="n">
        <v>0.666666666666667</v>
      </c>
      <c r="C26" s="0" t="n">
        <f aca="false">SUM(Vehiculos!S26, Vehiculos!T26, Vehiculos!X26)</f>
        <v>960</v>
      </c>
      <c r="E26" s="0" t="n">
        <f aca="false">D11-C26</f>
        <v>-16</v>
      </c>
      <c r="F26" s="14" t="n">
        <v>-3</v>
      </c>
      <c r="G26" s="14" t="n">
        <v>-10</v>
      </c>
      <c r="H26" s="14" t="n">
        <v>-3</v>
      </c>
      <c r="I26" s="0" t="n">
        <f aca="false">Vehiculos!S26+F26</f>
        <v>71</v>
      </c>
      <c r="J26" s="0" t="n">
        <f aca="false">G26+Vehiculos!T26</f>
        <v>586</v>
      </c>
      <c r="K26" s="0" t="n">
        <f aca="false">H26+Vehiculos!X26</f>
        <v>287</v>
      </c>
      <c r="M26" s="0" t="n">
        <f aca="false">(Vehiculos!I11*100)/$D11</f>
        <v>72.4576271186441</v>
      </c>
      <c r="N26" s="0" t="n">
        <f aca="false">(Vehiculos!K11*100)/D11</f>
        <v>27.5423728813559</v>
      </c>
      <c r="O26" s="14" t="n">
        <f aca="false">IF(((M26*$I26)/100)-INT(((M26*$I26)/100))&gt;0.5,ROUNDUP(((M26*$I26)/100),0),ROUND(((M26*$I26)/100),0))</f>
        <v>51</v>
      </c>
      <c r="P26" s="14" t="n">
        <f aca="false">IF(((N26*$I26)/100)-INT(((N26*$I26)/100))&gt;0.5,ROUNDUP(((N26*$I26)/100),0),ROUND(((N26*$I26)/100),0))</f>
        <v>20</v>
      </c>
      <c r="Q26" s="14" t="n">
        <f aca="false">IF(((M26*$J26)/100)-INT(((M26*$J26)/100))&gt;0.5,ROUNDUP(((M26*$J26)/100),0),ROUND(((M26*$J26)/100),0))</f>
        <v>425</v>
      </c>
      <c r="R26" s="14" t="n">
        <f aca="false">IF(((N26*$J26)/100)-INT(((N26*$J26)/100))&gt;0.5,ROUNDUP(((N26*$J26)/100),0),ROUND(((N26*$J26)/100),0))</f>
        <v>161</v>
      </c>
      <c r="S26" s="14" t="n">
        <f aca="false">IF(((M26*$K26)/100)-INT(((M26*$K26)/100))&gt;0.5,ROUNDUP(((M26*$K26)/100),0),ROUND(((M26*$K26)/100),0))</f>
        <v>208</v>
      </c>
      <c r="T26" s="14" t="n">
        <f aca="false">IF(((N26*$K26)/100)-INT(((N26*$K26)/100))&gt;0.5,ROUNDUP(((N26*$K26)/100),0),ROUND(((N26*$K26)/100),0))</f>
        <v>79</v>
      </c>
    </row>
    <row r="27" customFormat="false" ht="12.8" hidden="false" customHeight="false" outlineLevel="0" collapsed="false">
      <c r="A27" s="2" t="n">
        <v>0.666666666666667</v>
      </c>
      <c r="B27" s="2" t="n">
        <v>0.708333333333333</v>
      </c>
      <c r="C27" s="0" t="n">
        <f aca="false">SUM(Vehiculos!S27, Vehiculos!T27, Vehiculos!X27)</f>
        <v>936</v>
      </c>
      <c r="E27" s="0" t="n">
        <f aca="false">D12-C27</f>
        <v>75</v>
      </c>
      <c r="I27" s="0" t="n">
        <f aca="false">Vehiculos!S27+F27</f>
        <v>60</v>
      </c>
      <c r="J27" s="0" t="n">
        <f aca="false">G27+Vehiculos!T27</f>
        <v>550</v>
      </c>
      <c r="K27" s="0" t="n">
        <f aca="false">H27+Vehiculos!X27</f>
        <v>326</v>
      </c>
      <c r="M27" s="0" t="n">
        <f aca="false">(Vehiculos!I12*100)/$D12</f>
        <v>67.9525222551929</v>
      </c>
      <c r="N27" s="0" t="n">
        <f aca="false">(Vehiculos!K12*100)/D12</f>
        <v>32.0474777448071</v>
      </c>
      <c r="O27" s="15" t="n">
        <f aca="false">IF(((M27*$I27)/100)-INT(((M27*$I27)/100))&gt;0.5,ROUNDUP(((M27*$I27)/100),0),ROUND(((M27*$I27)/100),0))</f>
        <v>41</v>
      </c>
      <c r="P27" s="15" t="n">
        <f aca="false">IF(((N27*$I27)/100)-INT(((N27*$I27)/100))&gt;0.5,ROUNDUP(((N27*$I27)/100),0),ROUND(((N27*$I27)/100),0))</f>
        <v>19</v>
      </c>
      <c r="Q27" s="15" t="n">
        <f aca="false">IF(((M27*$J27)/100)-INT(((M27*$J27)/100))&gt;0.5,ROUNDUP(((M27*$J27)/100),0),ROUND(((M27*$J27)/100),0))</f>
        <v>374</v>
      </c>
      <c r="R27" s="15" t="n">
        <f aca="false">IF(((N27*$J27)/100)-INT(((N27*$J27)/100))&gt;0.5,ROUNDUP(((N27*$J27)/100),0),ROUND(((N27*$J27)/100),0))</f>
        <v>176</v>
      </c>
      <c r="S27" s="15" t="n">
        <f aca="false">IF(((M27*$K27)/100)-INT(((M27*$K27)/100))&gt;0.5,ROUNDUP(((M27*$K27)/100),0),ROUND(((M27*$K27)/100),0))</f>
        <v>222</v>
      </c>
      <c r="T27" s="15" t="n">
        <f aca="false">IF(((N27*$K27)/100)-INT(((N27*$K27)/100))&gt;0.5,ROUNDUP(((N27*$K27)/100),0),ROUND(((N27*$K27)/100),0))</f>
        <v>104</v>
      </c>
      <c r="U27" s="15" t="n">
        <f aca="false">IF(((M27*$E27)/100)-INT(((M27*$E27)/100))&gt;0.5,ROUNDUP(((M27*$E27)/100),0),ROUND(((M27*$E27)/100),0))</f>
        <v>51</v>
      </c>
      <c r="V27" s="15" t="n">
        <f aca="false">IF(((N27*$E27)/100)-INT(((N27*$E27)/100))&gt;0.5,ROUNDUP(((N27*$E27)/100),0),ROUND(((N27*$E27)/100),0))</f>
        <v>24</v>
      </c>
    </row>
    <row r="28" customFormat="false" ht="12.8" hidden="false" customHeight="false" outlineLevel="0" collapsed="false">
      <c r="A28" s="2" t="n">
        <v>0.708333333333333</v>
      </c>
      <c r="B28" s="2" t="n">
        <v>0.75</v>
      </c>
      <c r="C28" s="0" t="n">
        <f aca="false">SUM(Vehiculos!S28, Vehiculos!T28, Vehiculos!X28)</f>
        <v>908</v>
      </c>
      <c r="E28" s="0" t="n">
        <f aca="false">D13-C28</f>
        <v>105</v>
      </c>
      <c r="I28" s="0" t="n">
        <f aca="false">Vehiculos!S28+F28</f>
        <v>54</v>
      </c>
      <c r="J28" s="0" t="n">
        <f aca="false">G28+Vehiculos!T28</f>
        <v>540</v>
      </c>
      <c r="K28" s="0" t="n">
        <f aca="false">H28+Vehiculos!X28</f>
        <v>314</v>
      </c>
      <c r="M28" s="0" t="n">
        <f aca="false">(Vehiculos!I13*100)/$D13</f>
        <v>74.5310957551826</v>
      </c>
      <c r="N28" s="0" t="n">
        <f aca="false">(Vehiculos!K13*100)/D13</f>
        <v>25.4689042448174</v>
      </c>
      <c r="O28" s="16" t="n">
        <f aca="false">IF(((M28*$I28)/100)-INT(((M28*$I28)/100))&gt;0.5,ROUNDUP(((M28*$I28)/100),0),ROUND(((M28*$I28)/100),0))</f>
        <v>40</v>
      </c>
      <c r="P28" s="16" t="n">
        <f aca="false">IF(((N28*$I28)/100)-INT(((N28*$I28)/100))&gt;0.5,ROUNDUP(((N28*$I28)/100),0),ROUND(((N28*$I28)/100),0))</f>
        <v>14</v>
      </c>
      <c r="Q28" s="16" t="n">
        <f aca="false">IF(((M28*$J28)/100)-INT(((M28*$J28)/100))&gt;0.5,ROUNDUP(((M28*$J28)/100),0),ROUND(((M28*$J28)/100),0))</f>
        <v>402</v>
      </c>
      <c r="R28" s="16" t="n">
        <f aca="false">IF(((N28*$J28)/100)-INT(((N28*$J28)/100))&gt;0.5,ROUNDUP(((N28*$J28)/100),0),ROUND(((N28*$J28)/100),0))</f>
        <v>138</v>
      </c>
      <c r="S28" s="16" t="n">
        <f aca="false">IF(((M28*$K28)/100)-INT(((M28*$K28)/100))&gt;0.5,ROUNDUP(((M28*$K28)/100),0),ROUND(((M28*$K28)/100),0))</f>
        <v>234</v>
      </c>
      <c r="T28" s="16" t="n">
        <f aca="false">IF(((N28*$K28)/100)-INT(((N28*$K28)/100))&gt;0.5,ROUNDUP(((N28*$K28)/100),0),ROUND(((N28*$K28)/100),0))</f>
        <v>80</v>
      </c>
      <c r="U28" s="16" t="n">
        <f aca="false">IF(((M28*$E28)/100)-INT(((M28*$E28)/100))&gt;0.5,ROUNDUP(((M28*$E28)/100),0),ROUND(((M28*$E28)/100),0))</f>
        <v>78</v>
      </c>
      <c r="V28" s="16" t="n">
        <f aca="false">IF(((N28*$E28)/100)-INT(((N28*$E28)/100))&gt;0.5,ROUNDUP(((N28*$E28)/100),0),ROUND(((N28*$E28)/100),0))</f>
        <v>27</v>
      </c>
    </row>
    <row r="29" customFormat="false" ht="12.8" hidden="false" customHeight="false" outlineLevel="0" collapsed="false">
      <c r="A29" s="2" t="n">
        <v>0.75</v>
      </c>
      <c r="B29" s="2" t="n">
        <v>0.791666666666667</v>
      </c>
      <c r="C29" s="0" t="n">
        <f aca="false">SUM(Vehiculos!S29, Vehiculos!T29, Vehiculos!X29)</f>
        <v>996</v>
      </c>
      <c r="E29" s="0" t="n">
        <f aca="false">D14-C29</f>
        <v>1</v>
      </c>
      <c r="I29" s="0" t="n">
        <f aca="false">Vehiculos!S29+F29</f>
        <v>84</v>
      </c>
      <c r="J29" s="0" t="n">
        <f aca="false">G29+Vehiculos!T29</f>
        <v>574</v>
      </c>
      <c r="K29" s="0" t="n">
        <f aca="false">H29+Vehiculos!X29</f>
        <v>338</v>
      </c>
      <c r="M29" s="0" t="n">
        <f aca="false">(Vehiculos!I14*100)/$D14</f>
        <v>80.0401203610833</v>
      </c>
      <c r="N29" s="0" t="n">
        <f aca="false">(Vehiculos!K14*100)/D14</f>
        <v>19.9598796389167</v>
      </c>
      <c r="O29" s="17" t="n">
        <f aca="false">IF(((M29*$I29)/100)-INT(((M29*$I29)/100))&gt;0.5,ROUNDUP(((M29*$I29)/100),0),ROUND(((M29*$I29)/100),0))</f>
        <v>67</v>
      </c>
      <c r="P29" s="17" t="n">
        <f aca="false">IF(((N29*$I29)/100)-INT(((N29*$I29)/100))&gt;0.5,ROUNDUP(((N29*$I29)/100),0),ROUND(((N29*$I29)/100),0))</f>
        <v>17</v>
      </c>
      <c r="Q29" s="17" t="n">
        <f aca="false">IF(((M29*$J29)/100)-INT(((M29*$J29)/100))&gt;0.5,ROUNDUP(((M29*$J29)/100),0),ROUND(((M29*$J29)/100),0))</f>
        <v>459</v>
      </c>
      <c r="R29" s="17" t="n">
        <f aca="false">IF(((N29*$J29)/100)-INT(((N29*$J29)/100))&gt;0.5,ROUNDUP(((N29*$J29)/100),0),ROUND(((N29*$J29)/100),0))</f>
        <v>115</v>
      </c>
      <c r="S29" s="17" t="n">
        <f aca="false">IF(((M29*$K29)/100)-INT(((M29*$K29)/100))&gt;0.5,ROUNDUP(((M29*$K29)/100),0),ROUND(((M29*$K29)/100),0))</f>
        <v>271</v>
      </c>
      <c r="T29" s="17" t="n">
        <f aca="false">IF(((N29*$K29)/100)-INT(((N29*$K29)/100))&gt;0.5,ROUNDUP(((N29*$K29)/100),0),ROUND(((N29*$K29)/100),0))</f>
        <v>67</v>
      </c>
      <c r="U29" s="17" t="n">
        <f aca="false">IF(((M29*$E29)/100)-INT(((M29*$E29)/100))&gt;0.5,ROUNDUP(((M29*$E29)/100),0),ROUND(((M29*$E29)/100),0))</f>
        <v>1</v>
      </c>
      <c r="V29" s="17" t="n">
        <f aca="false">IF(((N29*$E29)/100)-INT(((N29*$E29)/100))&gt;0.5,ROUNDUP(((N29*$E29)/100),0),ROUND(((N29*$E29)/100),0))</f>
        <v>0</v>
      </c>
    </row>
    <row r="30" customFormat="false" ht="12.8" hidden="false" customHeight="false" outlineLevel="0" collapsed="false">
      <c r="A30" s="2" t="n">
        <v>0.791666666666667</v>
      </c>
      <c r="B30" s="2" t="n">
        <v>0.833333333333333</v>
      </c>
      <c r="C30" s="0" t="n">
        <f aca="false">SUM(Vehiculos!S30, Vehiculos!T30, Vehiculos!X30)</f>
        <v>926</v>
      </c>
      <c r="E30" s="0" t="n">
        <f aca="false">D15-C30</f>
        <v>-10</v>
      </c>
      <c r="F30" s="18" t="n">
        <v>-3</v>
      </c>
      <c r="G30" s="18" t="n">
        <v>-3</v>
      </c>
      <c r="H30" s="18" t="n">
        <v>-4</v>
      </c>
      <c r="I30" s="0" t="n">
        <f aca="false">Vehiculos!S30+F30</f>
        <v>51</v>
      </c>
      <c r="J30" s="0" t="n">
        <f aca="false">G30+Vehiculos!T30</f>
        <v>497</v>
      </c>
      <c r="K30" s="0" t="n">
        <f aca="false">H30+Vehiculos!X30</f>
        <v>368</v>
      </c>
      <c r="M30" s="0" t="n">
        <f aca="false">(Vehiculos!I15*100)/$D15</f>
        <v>74.8908296943231</v>
      </c>
      <c r="N30" s="0" t="n">
        <f aca="false">(Vehiculos!K15*100)/D15</f>
        <v>25.1091703056769</v>
      </c>
      <c r="O30" s="18" t="n">
        <f aca="false">IF(((M30*$I30)/100)-INT(((M30*$I30)/100))&gt;0.5,ROUNDUP(((M30*$I30)/100),0),ROUND(((M30*$I30)/100),0))</f>
        <v>38</v>
      </c>
      <c r="P30" s="18" t="n">
        <f aca="false">IF(((N30*$I30)/100)-INT(((N30*$I30)/100))&gt;0.5,ROUNDUP(((N30*$I30)/100),0),ROUND(((N30*$I30)/100),0))</f>
        <v>13</v>
      </c>
      <c r="Q30" s="18" t="n">
        <f aca="false">IF(((M30*$J30)/100)-INT(((M30*$J30)/100))&gt;0.5,ROUNDUP(((M30*$J30)/100),0),ROUND(((M30*$J30)/100),0))</f>
        <v>372</v>
      </c>
      <c r="R30" s="18" t="n">
        <f aca="false">IF(((N30*$J30)/100)-INT(((N30*$J30)/100))&gt;0.5,ROUNDUP(((N30*$J30)/100),0),ROUND(((N30*$J30)/100),0))</f>
        <v>125</v>
      </c>
      <c r="S30" s="18" t="n">
        <f aca="false">IF(((M30*$K30)/100)-INT(((M30*$K30)/100))&gt;0.5,ROUNDUP(((M30*$K30)/100),0),ROUND(((M30*$K30)/100),0))</f>
        <v>276</v>
      </c>
      <c r="T30" s="18" t="n">
        <f aca="false">IF(((N30*$K30)/100)-INT(((N30*$K30)/100))&gt;0.5,ROUNDUP(((N30*$K30)/100),0),ROUND(((N30*$K30)/100),0))</f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B1" colorId="64" zoomScale="137" zoomScaleNormal="137" zoomScalePageLayoutView="100" workbookViewId="0">
      <selection pane="topLeft" activeCell="B15" activeCellId="0" sqref="B1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2.07"/>
    <col collapsed="false" customWidth="true" hidden="false" outlineLevel="0" max="2" min="2" style="0" width="9.2"/>
    <col collapsed="false" customWidth="true" hidden="false" outlineLevel="0" max="3" min="3" style="0" width="21.6"/>
    <col collapsed="false" customWidth="true" hidden="false" outlineLevel="0" max="4" min="4" style="0" width="21.7"/>
    <col collapsed="false" customWidth="true" hidden="false" outlineLevel="0" max="5" min="5" style="0" width="28.11"/>
    <col collapsed="false" customWidth="true" hidden="false" outlineLevel="0" max="6" min="6" style="0" width="20.98"/>
    <col collapsed="false" customWidth="true" hidden="false" outlineLevel="0" max="7" min="7" style="0" width="21.17"/>
    <col collapsed="false" customWidth="true" hidden="false" outlineLevel="0" max="8" min="8" style="0" width="20.18"/>
    <col collapsed="false" customWidth="true" hidden="false" outlineLevel="0" max="9" min="9" style="0" width="20.89"/>
    <col collapsed="false" customWidth="true" hidden="false" outlineLevel="0" max="11" min="11" style="0" width="12.47"/>
    <col collapsed="false" customWidth="true" hidden="false" outlineLevel="0" max="12" min="12" style="0" width="13.2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58</v>
      </c>
      <c r="D1" s="0" t="s">
        <v>59</v>
      </c>
      <c r="E1" s="0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K1" s="0" t="s">
        <v>65</v>
      </c>
      <c r="L1" s="0" t="s">
        <v>66</v>
      </c>
      <c r="M1" s="0" t="s">
        <v>67</v>
      </c>
    </row>
    <row r="2" customFormat="false" ht="12.8" hidden="false" customHeight="false" outlineLevel="0" collapsed="false">
      <c r="A2" s="2" t="n">
        <v>0.25</v>
      </c>
      <c r="B2" s="2" t="n">
        <v>0.291666666666667</v>
      </c>
      <c r="C2" s="4" t="n">
        <f aca="false">Vehiculos!L2</f>
        <v>5</v>
      </c>
      <c r="D2" s="4" t="n">
        <f aca="false">Vehiculos!Y17 - C2 - E2</f>
        <v>7</v>
      </c>
      <c r="E2" s="4" t="n">
        <f aca="false">Vehiculos!AA17</f>
        <v>4</v>
      </c>
      <c r="F2" s="4" t="n">
        <f aca="false">Vehiculos!U17</f>
        <v>12</v>
      </c>
      <c r="G2" s="4" t="n">
        <f aca="false">Vehiculos!W17</f>
        <v>18</v>
      </c>
      <c r="H2" s="4" t="n">
        <f aca="false">Vehiculos!D2</f>
        <v>22</v>
      </c>
      <c r="I2" s="4" t="n">
        <f aca="false">Vehiculos!F2</f>
        <v>21</v>
      </c>
      <c r="K2" s="0" t="n">
        <f aca="false">H2+'Rutas aut'!G2</f>
        <v>556</v>
      </c>
      <c r="L2" s="0" t="n">
        <f aca="false">Vehiculos!P17+H2</f>
        <v>476</v>
      </c>
      <c r="M2" s="0" t="n">
        <f aca="false">'Rutas aut'!C17+F2+D2+C2</f>
        <v>300</v>
      </c>
    </row>
    <row r="3" customFormat="false" ht="12.8" hidden="false" customHeight="false" outlineLevel="0" collapsed="false">
      <c r="A3" s="2" t="n">
        <v>0.291666666666667</v>
      </c>
      <c r="B3" s="2" t="n">
        <v>0.333333333333333</v>
      </c>
      <c r="C3" s="6" t="n">
        <f aca="false">Vehiculos!L3</f>
        <v>7</v>
      </c>
      <c r="D3" s="6" t="n">
        <f aca="false">Vehiculos!Y18 - C3 - E3</f>
        <v>7</v>
      </c>
      <c r="E3" s="6" t="n">
        <f aca="false">Vehiculos!AA18</f>
        <v>4</v>
      </c>
      <c r="F3" s="6" t="n">
        <f aca="false">Vehiculos!U3</f>
        <v>13</v>
      </c>
      <c r="G3" s="6" t="n">
        <f aca="false">Vehiculos!W3</f>
        <v>22</v>
      </c>
      <c r="H3" s="6" t="n">
        <f aca="false">Vehiculos!D3</f>
        <v>44</v>
      </c>
      <c r="I3" s="6" t="n">
        <f aca="false">Vehiculos!F3</f>
        <v>21</v>
      </c>
      <c r="K3" s="0" t="n">
        <f aca="false">H3+'Rutas aut'!G3</f>
        <v>892</v>
      </c>
      <c r="L3" s="0" t="n">
        <f aca="false">Vehiculos!P18+H3</f>
        <v>882</v>
      </c>
      <c r="M3" s="0" t="n">
        <f aca="false">'Rutas aut'!C18+F3+D3+C3</f>
        <v>601</v>
      </c>
    </row>
    <row r="4" customFormat="false" ht="12.8" hidden="false" customHeight="false" outlineLevel="0" collapsed="false">
      <c r="A4" s="2" t="n">
        <v>0.333333333333333</v>
      </c>
      <c r="B4" s="2" t="n">
        <v>0.375</v>
      </c>
      <c r="C4" s="7" t="n">
        <f aca="false">Vehiculos!L4</f>
        <v>9</v>
      </c>
      <c r="D4" s="7" t="n">
        <f aca="false">Vehiculos!Y19 - C4 - E4</f>
        <v>5</v>
      </c>
      <c r="E4" s="7" t="n">
        <f aca="false">Vehiculos!AA19</f>
        <v>2</v>
      </c>
      <c r="F4" s="7" t="n">
        <f aca="false">Vehiculos!U4</f>
        <v>15</v>
      </c>
      <c r="G4" s="7" t="n">
        <f aca="false">Vehiculos!W4</f>
        <v>23</v>
      </c>
      <c r="H4" s="7" t="n">
        <f aca="false">Vehiculos!D4</f>
        <v>44</v>
      </c>
      <c r="I4" s="7" t="n">
        <f aca="false">Vehiculos!F4</f>
        <v>18</v>
      </c>
      <c r="K4" s="0" t="n">
        <f aca="false">H4+'Rutas aut'!G4</f>
        <v>997</v>
      </c>
      <c r="L4" s="0" t="n">
        <f aca="false">Vehiculos!P19+H4</f>
        <v>952</v>
      </c>
      <c r="M4" s="0" t="n">
        <f aca="false">'Rutas aut'!C19+F4+D4+C4</f>
        <v>885</v>
      </c>
    </row>
    <row r="5" customFormat="false" ht="12.8" hidden="false" customHeight="false" outlineLevel="0" collapsed="false">
      <c r="A5" s="2" t="n">
        <v>0.375</v>
      </c>
      <c r="B5" s="2" t="n">
        <v>0.416666666666667</v>
      </c>
      <c r="C5" s="8" t="n">
        <f aca="false">Vehiculos!L5</f>
        <v>6</v>
      </c>
      <c r="D5" s="8" t="n">
        <f aca="false">Vehiculos!Y20 - C5 - E5</f>
        <v>6</v>
      </c>
      <c r="E5" s="8" t="n">
        <f aca="false">Vehiculos!AA20</f>
        <v>2</v>
      </c>
      <c r="F5" s="8" t="n">
        <f aca="false">Vehiculos!U5</f>
        <v>11</v>
      </c>
      <c r="G5" s="8" t="n">
        <f aca="false">Vehiculos!W5</f>
        <v>21</v>
      </c>
      <c r="H5" s="8" t="n">
        <f aca="false">Vehiculos!D5</f>
        <v>41</v>
      </c>
      <c r="I5" s="8" t="n">
        <f aca="false">Vehiculos!F5</f>
        <v>20</v>
      </c>
      <c r="K5" s="0" t="n">
        <f aca="false">H5+'Rutas aut'!G5</f>
        <v>830</v>
      </c>
      <c r="L5" s="0" t="n">
        <f aca="false">Vehiculos!P20+H5</f>
        <v>935</v>
      </c>
      <c r="M5" s="0" t="n">
        <f aca="false">'Rutas aut'!C20+F5+D5+C5</f>
        <v>903</v>
      </c>
    </row>
    <row r="6" customFormat="false" ht="12.8" hidden="false" customHeight="false" outlineLevel="0" collapsed="false">
      <c r="A6" s="2" t="n">
        <v>0.416666666666667</v>
      </c>
      <c r="B6" s="2" t="n">
        <v>0.458333333333333</v>
      </c>
      <c r="C6" s="9" t="n">
        <f aca="false">Vehiculos!L6</f>
        <v>8</v>
      </c>
      <c r="D6" s="9" t="n">
        <f aca="false">Vehiculos!Y21 - C6 - E6</f>
        <v>4</v>
      </c>
      <c r="E6" s="9" t="n">
        <f aca="false">Vehiculos!AA21</f>
        <v>4</v>
      </c>
      <c r="F6" s="9" t="n">
        <f aca="false">Vehiculos!U6</f>
        <v>15</v>
      </c>
      <c r="G6" s="9" t="n">
        <f aca="false">Vehiculos!W6</f>
        <v>21</v>
      </c>
      <c r="H6" s="9" t="n">
        <f aca="false">Vehiculos!D6</f>
        <v>30</v>
      </c>
      <c r="I6" s="9" t="n">
        <f aca="false">Vehiculos!F6</f>
        <v>20</v>
      </c>
      <c r="K6" s="0" t="n">
        <f aca="false">H6+'Rutas aut'!G6</f>
        <v>842</v>
      </c>
      <c r="L6" s="0" t="n">
        <f aca="false">Vehiculos!P21+H6</f>
        <v>848</v>
      </c>
      <c r="M6" s="0" t="n">
        <f aca="false">'Rutas aut'!C21+F6+D6+C6</f>
        <v>919</v>
      </c>
    </row>
    <row r="7" customFormat="false" ht="12.8" hidden="false" customHeight="false" outlineLevel="0" collapsed="false">
      <c r="A7" s="2" t="n">
        <v>0.458333333333333</v>
      </c>
      <c r="B7" s="2" t="n">
        <v>0.5</v>
      </c>
      <c r="C7" s="10" t="n">
        <f aca="false">Vehiculos!L7</f>
        <v>6</v>
      </c>
      <c r="D7" s="10" t="n">
        <f aca="false">Vehiculos!Y22 - C7 - E7</f>
        <v>8</v>
      </c>
      <c r="E7" s="10" t="n">
        <f aca="false">Vehiculos!AA22</f>
        <v>2</v>
      </c>
      <c r="F7" s="10" t="n">
        <f aca="false">Vehiculos!U7</f>
        <v>16</v>
      </c>
      <c r="G7" s="10" t="n">
        <f aca="false">Vehiculos!W7</f>
        <v>19</v>
      </c>
      <c r="H7" s="10" t="n">
        <f aca="false">Vehiculos!D7</f>
        <v>36</v>
      </c>
      <c r="I7" s="10" t="n">
        <f aca="false">Vehiculos!F7</f>
        <v>21</v>
      </c>
      <c r="K7" s="0" t="n">
        <f aca="false">H7+'Rutas aut'!G7</f>
        <v>796</v>
      </c>
      <c r="L7" s="0" t="n">
        <f aca="false">Vehiculos!P22+H7</f>
        <v>841</v>
      </c>
      <c r="M7" s="0" t="n">
        <f aca="false">'Rutas aut'!C22+F7+D7+C7</f>
        <v>878</v>
      </c>
    </row>
    <row r="8" customFormat="false" ht="12.8" hidden="false" customHeight="false" outlineLevel="0" collapsed="false">
      <c r="A8" s="2" t="n">
        <v>0.5</v>
      </c>
      <c r="B8" s="2" t="n">
        <v>0.541666666666667</v>
      </c>
      <c r="C8" s="11" t="n">
        <f aca="false">Vehiculos!L8</f>
        <v>8</v>
      </c>
      <c r="D8" s="11" t="n">
        <f aca="false">Vehiculos!Y23 - C8 - E8</f>
        <v>6</v>
      </c>
      <c r="E8" s="11" t="n">
        <f aca="false">Vehiculos!AA23</f>
        <v>2</v>
      </c>
      <c r="F8" s="11" t="n">
        <f aca="false">Vehiculos!U8</f>
        <v>13</v>
      </c>
      <c r="G8" s="11" t="n">
        <f aca="false">Vehiculos!W8</f>
        <v>24</v>
      </c>
      <c r="H8" s="11" t="n">
        <f aca="false">Vehiculos!D8</f>
        <v>37</v>
      </c>
      <c r="I8" s="11" t="n">
        <f aca="false">Vehiculos!F8</f>
        <v>18</v>
      </c>
      <c r="K8" s="0" t="n">
        <f aca="false">H8+'Rutas aut'!G8</f>
        <v>840</v>
      </c>
      <c r="L8" s="0" t="n">
        <f aca="false">Vehiculos!P23+H8</f>
        <v>887</v>
      </c>
      <c r="M8" s="0" t="n">
        <f aca="false">'Rutas aut'!C23+F8+D8+C8</f>
        <v>989</v>
      </c>
    </row>
    <row r="9" customFormat="false" ht="12.8" hidden="false" customHeight="false" outlineLevel="0" collapsed="false">
      <c r="A9" s="2" t="n">
        <v>0.541666666666667</v>
      </c>
      <c r="B9" s="2" t="n">
        <v>0.583333333333333</v>
      </c>
      <c r="C9" s="12" t="n">
        <f aca="false">Vehiculos!L9</f>
        <v>7</v>
      </c>
      <c r="D9" s="12" t="n">
        <f aca="false">Vehiculos!Y24 - C9 - E9</f>
        <v>5</v>
      </c>
      <c r="E9" s="12" t="n">
        <f aca="false">Vehiculos!AA24</f>
        <v>4</v>
      </c>
      <c r="F9" s="12" t="n">
        <f aca="false">Vehiculos!U9</f>
        <v>13</v>
      </c>
      <c r="G9" s="12" t="n">
        <f aca="false">Vehiculos!W9</f>
        <v>29</v>
      </c>
      <c r="H9" s="12" t="n">
        <f aca="false">Vehiculos!D9</f>
        <v>37</v>
      </c>
      <c r="I9" s="12" t="n">
        <f aca="false">Vehiculos!F9</f>
        <v>19</v>
      </c>
      <c r="K9" s="0" t="n">
        <f aca="false">H9+'Rutas aut'!G9</f>
        <v>820</v>
      </c>
      <c r="L9" s="0" t="n">
        <f aca="false">Vehiculos!P24+H9</f>
        <v>721</v>
      </c>
      <c r="M9" s="0" t="n">
        <f aca="false">'Rutas aut'!C24+F9+D9+C9</f>
        <v>893</v>
      </c>
    </row>
    <row r="10" customFormat="false" ht="12.8" hidden="false" customHeight="false" outlineLevel="0" collapsed="false">
      <c r="A10" s="2" t="n">
        <v>0.583333333333333</v>
      </c>
      <c r="B10" s="2" t="n">
        <v>0.625</v>
      </c>
      <c r="C10" s="13" t="n">
        <f aca="false">Vehiculos!L10</f>
        <v>9</v>
      </c>
      <c r="D10" s="13" t="n">
        <f aca="false">Vehiculos!Y25 - C10 - E10</f>
        <v>3</v>
      </c>
      <c r="E10" s="13" t="n">
        <f aca="false">Vehiculos!AA25</f>
        <v>2</v>
      </c>
      <c r="F10" s="13" t="n">
        <f aca="false">Vehiculos!U10</f>
        <v>14</v>
      </c>
      <c r="G10" s="13" t="n">
        <f aca="false">Vehiculos!W10</f>
        <v>22</v>
      </c>
      <c r="H10" s="13" t="n">
        <f aca="false">Vehiculos!D10</f>
        <v>36</v>
      </c>
      <c r="I10" s="13" t="n">
        <f aca="false">Vehiculos!F10</f>
        <v>19</v>
      </c>
      <c r="K10" s="0" t="n">
        <f aca="false">H10+'Rutas aut'!G10</f>
        <v>831</v>
      </c>
      <c r="L10" s="0" t="n">
        <f aca="false">Vehiculos!P25+H10</f>
        <v>780</v>
      </c>
      <c r="M10" s="0" t="n">
        <f aca="false">'Rutas aut'!C25+F10+D10+C10</f>
        <v>884</v>
      </c>
    </row>
    <row r="11" customFormat="false" ht="12.8" hidden="false" customHeight="false" outlineLevel="0" collapsed="false">
      <c r="A11" s="2" t="n">
        <v>0.625</v>
      </c>
      <c r="B11" s="2" t="n">
        <v>0.666666666666667</v>
      </c>
      <c r="C11" s="14" t="n">
        <f aca="false">Vehiculos!L11</f>
        <v>7</v>
      </c>
      <c r="D11" s="14" t="n">
        <f aca="false">Vehiculos!Y26 - C11 - E11</f>
        <v>7</v>
      </c>
      <c r="E11" s="14" t="n">
        <f aca="false">Vehiculos!AA26</f>
        <v>2</v>
      </c>
      <c r="F11" s="14" t="n">
        <f aca="false">Vehiculos!U11</f>
        <v>13</v>
      </c>
      <c r="G11" s="14" t="n">
        <f aca="false">Vehiculos!W11</f>
        <v>22</v>
      </c>
      <c r="H11" s="14" t="n">
        <f aca="false">Vehiculos!D11</f>
        <v>40</v>
      </c>
      <c r="I11" s="14" t="n">
        <f aca="false">Vehiculos!F11</f>
        <v>16</v>
      </c>
      <c r="K11" s="0" t="n">
        <f aca="false">H11+'Rutas aut'!G11</f>
        <v>959</v>
      </c>
      <c r="L11" s="0" t="n">
        <f aca="false">Vehiculos!P26+H11</f>
        <v>930</v>
      </c>
      <c r="M11" s="0" t="n">
        <f aca="false">'Rutas aut'!C26+F11+D11+C11</f>
        <v>987</v>
      </c>
    </row>
    <row r="12" customFormat="false" ht="12.8" hidden="false" customHeight="false" outlineLevel="0" collapsed="false">
      <c r="A12" s="2" t="n">
        <v>0.666666666666667</v>
      </c>
      <c r="B12" s="2" t="n">
        <v>0.708333333333333</v>
      </c>
      <c r="C12" s="15" t="n">
        <f aca="false">Vehiculos!L12</f>
        <v>6</v>
      </c>
      <c r="D12" s="15" t="n">
        <f aca="false">Vehiculos!Y27 - C12 - E12</f>
        <v>6</v>
      </c>
      <c r="E12" s="15" t="n">
        <f aca="false">Vehiculos!AA27</f>
        <v>4</v>
      </c>
      <c r="F12" s="15" t="n">
        <f aca="false">Vehiculos!U12</f>
        <v>17</v>
      </c>
      <c r="G12" s="15" t="n">
        <f aca="false">Vehiculos!W12</f>
        <v>27</v>
      </c>
      <c r="H12" s="15" t="n">
        <f aca="false">Vehiculos!D12</f>
        <v>33</v>
      </c>
      <c r="I12" s="15" t="n">
        <f aca="false">Vehiculos!F12</f>
        <v>22</v>
      </c>
      <c r="K12" s="0" t="n">
        <f aca="false">H12+'Rutas aut'!G12</f>
        <v>955</v>
      </c>
      <c r="L12" s="0" t="n">
        <f aca="false">Vehiculos!P27+H12</f>
        <v>941</v>
      </c>
      <c r="M12" s="0" t="n">
        <f aca="false">'Rutas aut'!C27+F12+D12+C12</f>
        <v>965</v>
      </c>
    </row>
    <row r="13" customFormat="false" ht="12.8" hidden="false" customHeight="false" outlineLevel="0" collapsed="false">
      <c r="A13" s="2" t="n">
        <v>0.708333333333333</v>
      </c>
      <c r="B13" s="2" t="n">
        <v>0.75</v>
      </c>
      <c r="C13" s="16" t="n">
        <f aca="false">Vehiculos!L13</f>
        <v>7</v>
      </c>
      <c r="D13" s="16" t="n">
        <f aca="false">Vehiculos!Y28 - C13 - E13</f>
        <v>5</v>
      </c>
      <c r="E13" s="16" t="n">
        <f aca="false">Vehiculos!AA28</f>
        <v>2</v>
      </c>
      <c r="F13" s="16" t="n">
        <f aca="false">Vehiculos!U13</f>
        <v>12</v>
      </c>
      <c r="G13" s="16" t="n">
        <f aca="false">Vehiculos!W13</f>
        <v>25</v>
      </c>
      <c r="H13" s="16" t="n">
        <f aca="false">Vehiculos!D13</f>
        <v>39</v>
      </c>
      <c r="I13" s="16" t="n">
        <f aca="false">Vehiculos!F13</f>
        <v>25</v>
      </c>
      <c r="K13" s="0" t="n">
        <f aca="false">H13+'Rutas aut'!G13</f>
        <v>1006</v>
      </c>
      <c r="L13" s="0" t="n">
        <f aca="false">Vehiculos!P28+H13</f>
        <v>985</v>
      </c>
      <c r="M13" s="0" t="n">
        <f aca="false">'Rutas aut'!C28+F13+D13+C13</f>
        <v>932</v>
      </c>
    </row>
    <row r="14" customFormat="false" ht="12.8" hidden="false" customHeight="false" outlineLevel="0" collapsed="false">
      <c r="A14" s="2" t="n">
        <v>0.75</v>
      </c>
      <c r="B14" s="2" t="n">
        <v>0.791666666666667</v>
      </c>
      <c r="C14" s="17" t="n">
        <f aca="false">Vehiculos!L14</f>
        <v>9</v>
      </c>
      <c r="D14" s="17" t="n">
        <f aca="false">Vehiculos!Y29 - C14 - E14</f>
        <v>7</v>
      </c>
      <c r="E14" s="17" t="n">
        <f aca="false">Vehiculos!AA29</f>
        <v>2</v>
      </c>
      <c r="F14" s="17" t="n">
        <f aca="false">Vehiculos!U14</f>
        <v>12</v>
      </c>
      <c r="G14" s="17" t="n">
        <f aca="false">Vehiculos!W14</f>
        <v>22</v>
      </c>
      <c r="H14" s="17" t="n">
        <f aca="false">Vehiculos!D14</f>
        <v>40</v>
      </c>
      <c r="I14" s="17" t="n">
        <f aca="false">Vehiculos!F14</f>
        <v>23</v>
      </c>
      <c r="K14" s="0" t="n">
        <f aca="false">H14+'Rutas aut'!G14</f>
        <v>931</v>
      </c>
      <c r="L14" s="0" t="n">
        <f aca="false">Vehiculos!P29+H14</f>
        <v>942</v>
      </c>
      <c r="M14" s="0" t="n">
        <f aca="false">'Rutas aut'!C29+F14+D14+C14</f>
        <v>1024</v>
      </c>
    </row>
    <row r="15" customFormat="false" ht="12.8" hidden="false" customHeight="false" outlineLevel="0" collapsed="false">
      <c r="A15" s="2" t="n">
        <v>0.791666666666667</v>
      </c>
      <c r="B15" s="2" t="n">
        <v>0.833333333333333</v>
      </c>
      <c r="C15" s="18" t="n">
        <f aca="false">Vehiculos!L15</f>
        <v>9</v>
      </c>
      <c r="D15" s="18" t="n">
        <f aca="false">Vehiculos!Y30 - C15 - E15</f>
        <v>5</v>
      </c>
      <c r="E15" s="18" t="n">
        <f aca="false">Vehiculos!AA30</f>
        <v>2</v>
      </c>
      <c r="F15" s="18" t="n">
        <f aca="false">Vehiculos!U15</f>
        <v>9</v>
      </c>
      <c r="G15" s="18" t="n">
        <f aca="false">Vehiculos!W15</f>
        <v>18</v>
      </c>
      <c r="H15" s="18" t="n">
        <f aca="false">Vehiculos!D15</f>
        <v>33</v>
      </c>
      <c r="I15" s="18" t="n">
        <f aca="false">Vehiculos!F15</f>
        <v>14</v>
      </c>
      <c r="K15" s="0" t="n">
        <f aca="false">H15+'Rutas aut'!G15</f>
        <v>807</v>
      </c>
      <c r="L15" s="0" t="n">
        <f aca="false">Vehiculos!P30+H15</f>
        <v>739</v>
      </c>
      <c r="M15" s="0" t="n">
        <f aca="false">'Rutas aut'!C30+F15+D15+C15</f>
        <v>949</v>
      </c>
    </row>
    <row r="17" customFormat="false" ht="12.8" hidden="false" customHeight="false" outlineLevel="0" collapsed="false">
      <c r="C17" s="0" t="s">
        <v>68</v>
      </c>
      <c r="D17" s="0" t="s">
        <v>69</v>
      </c>
      <c r="E17" s="0" t="s">
        <v>70</v>
      </c>
      <c r="F17" s="0" t="s">
        <v>71</v>
      </c>
      <c r="G17" s="0" t="s">
        <v>72</v>
      </c>
      <c r="H17" s="0" t="s">
        <v>73</v>
      </c>
      <c r="I17" s="0" t="s">
        <v>74</v>
      </c>
    </row>
    <row r="19" customFormat="false" ht="12.8" hidden="false" customHeight="false" outlineLevel="0" collapsed="false">
      <c r="C19" s="0" t="s">
        <v>75</v>
      </c>
      <c r="D19" s="0" t="s">
        <v>76</v>
      </c>
      <c r="E19" s="0" t="s">
        <v>77</v>
      </c>
      <c r="F19" s="0" t="s">
        <v>78</v>
      </c>
      <c r="G19" s="0" t="s">
        <v>79</v>
      </c>
      <c r="H19" s="0" t="s">
        <v>80</v>
      </c>
      <c r="I19" s="0" t="s">
        <v>78</v>
      </c>
    </row>
    <row r="20" customFormat="false" ht="12.8" hidden="false" customHeight="false" outlineLevel="0" collapsed="false">
      <c r="A20" s="2" t="n">
        <v>0.25</v>
      </c>
      <c r="B20" s="2" t="n">
        <v>0.291666666666667</v>
      </c>
      <c r="C20" s="0" t="n">
        <f aca="false">Vehiculos!L2</f>
        <v>5</v>
      </c>
      <c r="D20" s="0" t="n">
        <f aca="false">Vehiculos!J2</f>
        <v>20</v>
      </c>
      <c r="E20" s="0" t="n">
        <f aca="false">D2+F2</f>
        <v>19</v>
      </c>
      <c r="F20" s="0" t="n">
        <f aca="false">((D20-E20)/D20)*100</f>
        <v>5</v>
      </c>
      <c r="G20" s="0" t="n">
        <f aca="false">Vehiculos!Q17</f>
        <v>30</v>
      </c>
      <c r="H20" s="0" t="n">
        <v>22</v>
      </c>
      <c r="I20" s="0" t="n">
        <f aca="false">((G20-H20)/G20)*100</f>
        <v>26.6666666666667</v>
      </c>
      <c r="K20" s="0" t="s">
        <v>81</v>
      </c>
      <c r="L20" s="0" t="s">
        <v>82</v>
      </c>
      <c r="M20" s="0" t="s">
        <v>83</v>
      </c>
      <c r="N20" s="0" t="s">
        <v>84</v>
      </c>
      <c r="O20" s="0" t="s">
        <v>85</v>
      </c>
    </row>
    <row r="21" customFormat="false" ht="12.8" hidden="false" customHeight="false" outlineLevel="0" collapsed="false">
      <c r="A21" s="2" t="n">
        <v>0.291666666666667</v>
      </c>
      <c r="B21" s="2" t="n">
        <v>0.333333333333333</v>
      </c>
      <c r="C21" s="0" t="n">
        <f aca="false">Vehiculos!L3</f>
        <v>7</v>
      </c>
      <c r="D21" s="0" t="n">
        <f aca="false">Vehiculos!J3</f>
        <v>25</v>
      </c>
      <c r="E21" s="0" t="n">
        <f aca="false">D3+F3</f>
        <v>20</v>
      </c>
      <c r="F21" s="0" t="n">
        <f aca="false">((D21-E21)/D21)*100</f>
        <v>20</v>
      </c>
      <c r="G21" s="0" t="n">
        <f aca="false">Vehiculos!Q18</f>
        <v>34</v>
      </c>
      <c r="H21" s="0" t="n">
        <v>44</v>
      </c>
      <c r="I21" s="0" t="n">
        <f aca="false">((G21-H21)/G21)*100</f>
        <v>-29.4117647058824</v>
      </c>
      <c r="K21" s="0" t="s">
        <v>86</v>
      </c>
    </row>
    <row r="22" customFormat="false" ht="12.8" hidden="false" customHeight="false" outlineLevel="0" collapsed="false">
      <c r="A22" s="2" t="n">
        <v>0.333333333333333</v>
      </c>
      <c r="B22" s="2" t="n">
        <v>0.375</v>
      </c>
      <c r="C22" s="0" t="n">
        <f aca="false">Vehiculos!L4</f>
        <v>9</v>
      </c>
      <c r="D22" s="0" t="n">
        <f aca="false">Vehiculos!J4</f>
        <v>24</v>
      </c>
      <c r="E22" s="0" t="n">
        <f aca="false">D4+F4</f>
        <v>20</v>
      </c>
      <c r="F22" s="0" t="n">
        <f aca="false">((D22-E22)/D22)*100</f>
        <v>16.6666666666667</v>
      </c>
      <c r="G22" s="0" t="n">
        <f aca="false">Vehiculos!Q19</f>
        <v>38</v>
      </c>
      <c r="H22" s="0" t="n">
        <v>44</v>
      </c>
      <c r="I22" s="0" t="n">
        <f aca="false">((G22-H22)/G22)*100</f>
        <v>-15.7894736842105</v>
      </c>
      <c r="K22" s="0" t="s">
        <v>87</v>
      </c>
    </row>
    <row r="23" customFormat="false" ht="12.8" hidden="false" customHeight="false" outlineLevel="0" collapsed="false">
      <c r="A23" s="2" t="n">
        <v>0.375</v>
      </c>
      <c r="B23" s="2" t="n">
        <v>0.416666666666667</v>
      </c>
      <c r="C23" s="0" t="n">
        <f aca="false">Vehiculos!L5</f>
        <v>6</v>
      </c>
      <c r="D23" s="0" t="n">
        <f aca="false">Vehiculos!J5</f>
        <v>20</v>
      </c>
      <c r="E23" s="0" t="n">
        <f aca="false">D5+F5</f>
        <v>17</v>
      </c>
      <c r="F23" s="0" t="n">
        <f aca="false">((D23-E23)/D23)*100</f>
        <v>15</v>
      </c>
      <c r="G23" s="0" t="n">
        <f aca="false">Vehiculos!Q20</f>
        <v>34</v>
      </c>
      <c r="H23" s="0" t="n">
        <v>41</v>
      </c>
      <c r="I23" s="0" t="n">
        <f aca="false">((G23-H23)/G23)*100</f>
        <v>-20.5882352941176</v>
      </c>
      <c r="K23" s="0" t="s">
        <v>88</v>
      </c>
    </row>
    <row r="24" customFormat="false" ht="12.8" hidden="false" customHeight="false" outlineLevel="0" collapsed="false">
      <c r="A24" s="2" t="n">
        <v>0.416666666666667</v>
      </c>
      <c r="B24" s="2" t="n">
        <v>0.458333333333333</v>
      </c>
      <c r="C24" s="0" t="n">
        <f aca="false">Vehiculos!L6</f>
        <v>8</v>
      </c>
      <c r="D24" s="0" t="n">
        <f aca="false">Vehiculos!J6</f>
        <v>23</v>
      </c>
      <c r="E24" s="0" t="n">
        <f aca="false">D6+F6</f>
        <v>19</v>
      </c>
      <c r="F24" s="0" t="n">
        <f aca="false">((D24-E24)/D24)*100</f>
        <v>17.3913043478261</v>
      </c>
      <c r="G24" s="0" t="n">
        <f aca="false">Vehiculos!Q21</f>
        <v>32</v>
      </c>
      <c r="H24" s="0" t="n">
        <v>30</v>
      </c>
      <c r="I24" s="0" t="n">
        <f aca="false">((G24-H24)/G24)*100</f>
        <v>6.25</v>
      </c>
    </row>
    <row r="25" customFormat="false" ht="12.8" hidden="false" customHeight="false" outlineLevel="0" collapsed="false">
      <c r="A25" s="2" t="n">
        <v>0.458333333333333</v>
      </c>
      <c r="B25" s="2" t="n">
        <v>0.5</v>
      </c>
      <c r="C25" s="0" t="n">
        <f aca="false">Vehiculos!L7</f>
        <v>6</v>
      </c>
      <c r="D25" s="0" t="n">
        <f aca="false">Vehiculos!J7</f>
        <v>25</v>
      </c>
      <c r="E25" s="0" t="n">
        <f aca="false">D7+F7</f>
        <v>24</v>
      </c>
      <c r="F25" s="0" t="n">
        <f aca="false">((D25-E25)/D25)*100</f>
        <v>4</v>
      </c>
      <c r="G25" s="0" t="n">
        <f aca="false">Vehiculos!Q22</f>
        <v>36</v>
      </c>
      <c r="H25" s="0" t="n">
        <v>36</v>
      </c>
      <c r="I25" s="0" t="n">
        <f aca="false">((G25-H25)/G25)*100</f>
        <v>0</v>
      </c>
    </row>
    <row r="26" customFormat="false" ht="12.8" hidden="false" customHeight="false" outlineLevel="0" collapsed="false">
      <c r="A26" s="2" t="n">
        <v>0.5</v>
      </c>
      <c r="B26" s="2" t="n">
        <v>0.541666666666667</v>
      </c>
      <c r="C26" s="0" t="n">
        <f aca="false">Vehiculos!L8</f>
        <v>8</v>
      </c>
      <c r="D26" s="0" t="n">
        <f aca="false">Vehiculos!J8</f>
        <v>24</v>
      </c>
      <c r="E26" s="0" t="n">
        <f aca="false">D8+F8</f>
        <v>19</v>
      </c>
      <c r="F26" s="0" t="n">
        <f aca="false">((D26-E26)/D26)*100</f>
        <v>20.8333333333333</v>
      </c>
      <c r="G26" s="0" t="n">
        <f aca="false">Vehiculos!Q23</f>
        <v>36</v>
      </c>
      <c r="H26" s="0" t="n">
        <v>37</v>
      </c>
      <c r="I26" s="0" t="n">
        <f aca="false">((G26-H26)/G26)*100</f>
        <v>-2.77777777777778</v>
      </c>
    </row>
    <row r="27" customFormat="false" ht="12.8" hidden="false" customHeight="false" outlineLevel="0" collapsed="false">
      <c r="A27" s="2" t="n">
        <v>0.541666666666667</v>
      </c>
      <c r="B27" s="2" t="n">
        <v>0.583333333333333</v>
      </c>
      <c r="C27" s="0" t="n">
        <f aca="false">Vehiculos!L9</f>
        <v>7</v>
      </c>
      <c r="D27" s="0" t="n">
        <f aca="false">Vehiculos!J9</f>
        <v>20</v>
      </c>
      <c r="E27" s="0" t="n">
        <f aca="false">D9+F9</f>
        <v>18</v>
      </c>
      <c r="F27" s="0" t="n">
        <f aca="false">((D27-E27)/D27)*100</f>
        <v>10</v>
      </c>
      <c r="G27" s="0" t="n">
        <f aca="false">Vehiculos!Q24</f>
        <v>34</v>
      </c>
      <c r="H27" s="0" t="n">
        <v>37</v>
      </c>
      <c r="I27" s="0" t="n">
        <f aca="false">((G27-H27)/G27)*100</f>
        <v>-8.82352941176471</v>
      </c>
    </row>
    <row r="28" customFormat="false" ht="12.8" hidden="false" customHeight="false" outlineLevel="0" collapsed="false">
      <c r="A28" s="2" t="n">
        <v>0.583333333333333</v>
      </c>
      <c r="B28" s="2" t="n">
        <v>0.625</v>
      </c>
      <c r="C28" s="0" t="n">
        <f aca="false">Vehiculos!L10</f>
        <v>9</v>
      </c>
      <c r="D28" s="0" t="n">
        <f aca="false">Vehiculos!J10</f>
        <v>23</v>
      </c>
      <c r="E28" s="0" t="n">
        <f aca="false">D10+F10</f>
        <v>17</v>
      </c>
      <c r="F28" s="0" t="n">
        <f aca="false">((D28-E28)/D28)*100</f>
        <v>26.0869565217391</v>
      </c>
      <c r="G28" s="0" t="n">
        <f aca="false">Vehiculos!Q25</f>
        <v>36</v>
      </c>
      <c r="H28" s="0" t="n">
        <v>36</v>
      </c>
      <c r="I28" s="0" t="n">
        <f aca="false">((G28-H28)/G28)*100</f>
        <v>0</v>
      </c>
    </row>
    <row r="29" customFormat="false" ht="12.8" hidden="false" customHeight="false" outlineLevel="0" collapsed="false">
      <c r="A29" s="2" t="n">
        <v>0.625</v>
      </c>
      <c r="B29" s="2" t="n">
        <v>0.666666666666667</v>
      </c>
      <c r="C29" s="0" t="n">
        <f aca="false">Vehiculos!L11</f>
        <v>7</v>
      </c>
      <c r="D29" s="0" t="n">
        <f aca="false">Vehiculos!J11</f>
        <v>25</v>
      </c>
      <c r="E29" s="0" t="n">
        <f aca="false">D11+F11</f>
        <v>20</v>
      </c>
      <c r="F29" s="0" t="n">
        <f aca="false">((D29-E29)/D29)*100</f>
        <v>20</v>
      </c>
      <c r="G29" s="0" t="n">
        <f aca="false">Vehiculos!Q26</f>
        <v>34</v>
      </c>
      <c r="H29" s="0" t="n">
        <v>40</v>
      </c>
      <c r="I29" s="0" t="n">
        <f aca="false">((G29-H29)/G29)*100</f>
        <v>-17.6470588235294</v>
      </c>
    </row>
    <row r="30" customFormat="false" ht="12.8" hidden="false" customHeight="false" outlineLevel="0" collapsed="false">
      <c r="A30" s="2" t="n">
        <v>0.666666666666667</v>
      </c>
      <c r="B30" s="2" t="n">
        <v>0.708333333333333</v>
      </c>
      <c r="C30" s="0" t="n">
        <f aca="false">Vehiculos!L12</f>
        <v>6</v>
      </c>
      <c r="D30" s="0" t="n">
        <f aca="false">Vehiculos!J12</f>
        <v>21</v>
      </c>
      <c r="E30" s="0" t="n">
        <f aca="false">D12+F12</f>
        <v>23</v>
      </c>
      <c r="F30" s="0" t="n">
        <f aca="false">((D30-E30)/D30)*100</f>
        <v>-9.52380952380952</v>
      </c>
      <c r="G30" s="0" t="n">
        <f aca="false">Vehiculos!Q27</f>
        <v>34</v>
      </c>
      <c r="H30" s="0" t="n">
        <v>33</v>
      </c>
      <c r="I30" s="0" t="n">
        <f aca="false">((G30-H30)/G30)*100</f>
        <v>2.94117647058823</v>
      </c>
    </row>
    <row r="31" customFormat="false" ht="12.8" hidden="false" customHeight="false" outlineLevel="0" collapsed="false">
      <c r="A31" s="2" t="n">
        <v>0.708333333333333</v>
      </c>
      <c r="B31" s="2" t="n">
        <v>0.75</v>
      </c>
      <c r="C31" s="0" t="n">
        <f aca="false">Vehiculos!L13</f>
        <v>7</v>
      </c>
      <c r="D31" s="0" t="n">
        <f aca="false">Vehiculos!J13</f>
        <v>22</v>
      </c>
      <c r="E31" s="0" t="n">
        <f aca="false">D13+F13</f>
        <v>17</v>
      </c>
      <c r="F31" s="0" t="n">
        <f aca="false">((D31-E31)/D31)*100</f>
        <v>22.7272727272727</v>
      </c>
      <c r="G31" s="0" t="n">
        <f aca="false">Vehiculos!Q28</f>
        <v>34</v>
      </c>
      <c r="H31" s="0" t="n">
        <v>39</v>
      </c>
      <c r="I31" s="0" t="n">
        <f aca="false">((G31-H31)/G31)*100</f>
        <v>-14.7058823529412</v>
      </c>
    </row>
    <row r="32" customFormat="false" ht="12.8" hidden="false" customHeight="false" outlineLevel="0" collapsed="false">
      <c r="A32" s="2" t="n">
        <v>0.75</v>
      </c>
      <c r="B32" s="2" t="n">
        <v>0.791666666666667</v>
      </c>
      <c r="C32" s="0" t="n">
        <f aca="false">Vehiculos!L14</f>
        <v>9</v>
      </c>
      <c r="D32" s="0" t="n">
        <f aca="false">Vehiculos!J14</f>
        <v>21</v>
      </c>
      <c r="E32" s="0" t="n">
        <f aca="false">D14+F14</f>
        <v>19</v>
      </c>
      <c r="F32" s="0" t="n">
        <f aca="false">((D32-E32)/D32)*100</f>
        <v>9.52380952380952</v>
      </c>
      <c r="G32" s="0" t="n">
        <f aca="false">Vehiculos!Q29</f>
        <v>38</v>
      </c>
      <c r="H32" s="0" t="n">
        <v>40</v>
      </c>
      <c r="I32" s="0" t="n">
        <f aca="false">((G32-H32)/G32)*100</f>
        <v>-5.26315789473684</v>
      </c>
    </row>
    <row r="33" customFormat="false" ht="12.8" hidden="false" customHeight="false" outlineLevel="0" collapsed="false">
      <c r="A33" s="2" t="n">
        <v>0.791666666666667</v>
      </c>
      <c r="B33" s="2" t="n">
        <v>0.833333333333333</v>
      </c>
      <c r="C33" s="0" t="n">
        <f aca="false">Vehiculos!L15</f>
        <v>9</v>
      </c>
      <c r="D33" s="0" t="n">
        <f aca="false">Vehiculos!J15</f>
        <v>15</v>
      </c>
      <c r="E33" s="0" t="n">
        <f aca="false">D15+F15</f>
        <v>14</v>
      </c>
      <c r="F33" s="0" t="n">
        <f aca="false">((D33-E33)/D33)*100</f>
        <v>6.66666666666667</v>
      </c>
      <c r="G33" s="0" t="n">
        <f aca="false">Vehiculos!Q30</f>
        <v>36</v>
      </c>
      <c r="H33" s="0" t="n">
        <v>33</v>
      </c>
      <c r="I33" s="0" t="n">
        <f aca="false">((G33-H33)/G33)*100</f>
        <v>8.33333333333333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L1" activePane="topRight" state="frozen"/>
      <selection pane="topLeft" activeCell="A1" activeCellId="0" sqref="A1"/>
      <selection pane="topRight" activeCell="S21" activeCellId="0" sqref="S21"/>
    </sheetView>
  </sheetViews>
  <sheetFormatPr defaultColWidth="10.8671875" defaultRowHeight="12.75" zeroHeight="false" outlineLevelRow="0" outlineLevelCol="0"/>
  <cols>
    <col collapsed="false" customWidth="true" hidden="false" outlineLevel="0" max="1" min="1" style="0" width="11.77"/>
    <col collapsed="false" customWidth="true" hidden="false" outlineLevel="0" max="2" min="2" style="0" width="9.44"/>
    <col collapsed="false" customWidth="true" hidden="false" outlineLevel="0" max="3" min="3" style="0" width="14.55"/>
    <col collapsed="false" customWidth="true" hidden="false" outlineLevel="0" max="4" min="4" style="0" width="17.56"/>
    <col collapsed="false" customWidth="true" hidden="false" outlineLevel="0" max="6" min="5" style="0" width="15.88"/>
    <col collapsed="false" customWidth="true" hidden="false" outlineLevel="0" max="7" min="7" style="0" width="17.56"/>
    <col collapsed="false" customWidth="true" hidden="false" outlineLevel="0" max="8" min="8" style="0" width="15.88"/>
    <col collapsed="false" customWidth="true" hidden="false" outlineLevel="0" max="9" min="9" style="0" width="14.55"/>
    <col collapsed="false" customWidth="true" hidden="false" outlineLevel="0" max="11" min="10" style="0" width="15.88"/>
    <col collapsed="false" customWidth="true" hidden="false" outlineLevel="0" max="12" min="12" style="0" width="17.56"/>
    <col collapsed="false" customWidth="true" hidden="false" outlineLevel="0" max="15" min="13" style="0" width="15.88"/>
    <col collapsed="false" customWidth="true" hidden="false" outlineLevel="0" max="16" min="16" style="0" width="17.56"/>
    <col collapsed="false" customWidth="true" hidden="false" outlineLevel="0" max="18" min="17" style="0" width="15.88"/>
    <col collapsed="false" customWidth="true" hidden="false" outlineLevel="0" max="19" min="19" style="0" width="14.55"/>
    <col collapsed="false" customWidth="true" hidden="false" outlineLevel="0" max="20" min="20" style="0" width="17.56"/>
    <col collapsed="false" customWidth="true" hidden="false" outlineLevel="0" max="22" min="21" style="0" width="15.88"/>
    <col collapsed="false" customWidth="true" hidden="false" outlineLevel="0" max="23" min="23" style="0" width="14.55"/>
    <col collapsed="false" customWidth="true" hidden="false" outlineLevel="0" max="24" min="24" style="0" width="15.88"/>
  </cols>
  <sheetData>
    <row r="1" customFormat="false" ht="39" hidden="false" customHeight="false" outlineLevel="0" collapsed="false">
      <c r="A1" s="0" t="s">
        <v>0</v>
      </c>
      <c r="B1" s="0" t="s">
        <v>1</v>
      </c>
      <c r="C1" s="21" t="s">
        <v>89</v>
      </c>
      <c r="D1" s="21" t="s">
        <v>90</v>
      </c>
      <c r="E1" s="21" t="s">
        <v>91</v>
      </c>
      <c r="F1" s="21" t="s">
        <v>92</v>
      </c>
      <c r="G1" s="21" t="s">
        <v>93</v>
      </c>
      <c r="H1" s="21" t="s">
        <v>94</v>
      </c>
      <c r="I1" s="21" t="s">
        <v>95</v>
      </c>
      <c r="J1" s="21" t="s">
        <v>96</v>
      </c>
      <c r="K1" s="22" t="s">
        <v>97</v>
      </c>
      <c r="L1" s="22" t="s">
        <v>98</v>
      </c>
      <c r="M1" s="21" t="s">
        <v>99</v>
      </c>
      <c r="N1" s="21" t="s">
        <v>100</v>
      </c>
      <c r="O1" s="22" t="s">
        <v>101</v>
      </c>
      <c r="P1" s="22" t="s">
        <v>102</v>
      </c>
      <c r="Q1" s="21" t="s">
        <v>103</v>
      </c>
      <c r="R1" s="21" t="s">
        <v>104</v>
      </c>
      <c r="S1" s="21" t="s">
        <v>105</v>
      </c>
      <c r="T1" s="21" t="s">
        <v>106</v>
      </c>
      <c r="U1" s="21" t="s">
        <v>107</v>
      </c>
      <c r="V1" s="21" t="s">
        <v>108</v>
      </c>
      <c r="W1" s="21" t="s">
        <v>109</v>
      </c>
      <c r="X1" s="21" t="s">
        <v>110</v>
      </c>
    </row>
    <row r="2" customFormat="false" ht="12.75" hidden="false" customHeight="false" outlineLevel="0" collapsed="false">
      <c r="A2" s="2" t="n">
        <v>0.25</v>
      </c>
      <c r="B2" s="2" t="n">
        <v>0.291666666666667</v>
      </c>
      <c r="C2" s="2"/>
    </row>
    <row r="3" customFormat="false" ht="12.75" hidden="false" customHeight="false" outlineLevel="0" collapsed="false">
      <c r="A3" s="2" t="n">
        <v>0.291666666666667</v>
      </c>
      <c r="B3" s="2" t="n">
        <v>0.333333333333333</v>
      </c>
      <c r="C3" s="2"/>
      <c r="D3" s="2"/>
      <c r="E3" s="0" t="n">
        <v>56.3841935</v>
      </c>
      <c r="F3" s="0" t="n">
        <v>53.4563636</v>
      </c>
      <c r="I3" s="0" t="n">
        <v>21.14</v>
      </c>
      <c r="J3" s="0" t="n">
        <v>40.64</v>
      </c>
      <c r="K3" s="0" t="n">
        <v>19.2</v>
      </c>
      <c r="L3" s="0" t="n">
        <v>23.8</v>
      </c>
      <c r="M3" s="0" t="n">
        <v>21.14</v>
      </c>
      <c r="N3" s="0" t="n">
        <v>40.64</v>
      </c>
      <c r="O3" s="0" t="n">
        <v>19.2</v>
      </c>
      <c r="P3" s="0" t="n">
        <v>23.8</v>
      </c>
      <c r="U3" s="0" t="n">
        <v>65.85</v>
      </c>
      <c r="V3" s="0" t="n">
        <v>37.582</v>
      </c>
    </row>
    <row r="4" customFormat="false" ht="12.75" hidden="false" customHeight="false" outlineLevel="0" collapsed="false">
      <c r="A4" s="2" t="n">
        <v>0.333333333333333</v>
      </c>
      <c r="B4" s="2" t="n">
        <v>0.375</v>
      </c>
      <c r="C4" s="2"/>
      <c r="D4" s="2"/>
    </row>
    <row r="5" customFormat="false" ht="12.75" hidden="false" customHeight="false" outlineLevel="0" collapsed="false">
      <c r="A5" s="2" t="n">
        <v>0.375</v>
      </c>
      <c r="B5" s="2" t="n">
        <v>0.416666666666667</v>
      </c>
      <c r="C5" s="2"/>
      <c r="D5" s="2"/>
      <c r="Q5" s="0" t="n">
        <v>65.85</v>
      </c>
      <c r="R5" s="0" t="n">
        <v>37.582</v>
      </c>
    </row>
    <row r="6" customFormat="false" ht="12.75" hidden="false" customHeight="false" outlineLevel="0" collapsed="false">
      <c r="A6" s="2" t="n">
        <v>0.416666666666667</v>
      </c>
      <c r="B6" s="2" t="n">
        <v>0.458333333333333</v>
      </c>
      <c r="C6" s="23" t="n">
        <v>55.6602778</v>
      </c>
      <c r="D6" s="23" t="n">
        <v>50.97916667</v>
      </c>
      <c r="S6" s="0" t="n">
        <v>70.75896</v>
      </c>
      <c r="T6" s="0" t="n">
        <v>33.756824</v>
      </c>
      <c r="U6" s="0" t="n">
        <v>65.85</v>
      </c>
      <c r="V6" s="0" t="n">
        <v>37.582</v>
      </c>
    </row>
    <row r="7" customFormat="false" ht="12.75" hidden="false" customHeight="false" outlineLevel="0" collapsed="false">
      <c r="A7" s="2" t="n">
        <v>0.458333333333333</v>
      </c>
      <c r="B7" s="2" t="n">
        <v>0.5</v>
      </c>
      <c r="C7" s="2"/>
      <c r="D7" s="2"/>
      <c r="E7" s="0" t="n">
        <v>56.4759375</v>
      </c>
      <c r="F7" s="0" t="n">
        <v>53.4464516</v>
      </c>
      <c r="W7" s="0" t="n">
        <v>76.0245</v>
      </c>
      <c r="X7" s="0" t="n">
        <v>27.24458</v>
      </c>
    </row>
    <row r="8" customFormat="false" ht="12.75" hidden="false" customHeight="false" outlineLevel="0" collapsed="false">
      <c r="A8" s="2" t="n">
        <v>0.5</v>
      </c>
      <c r="B8" s="2" t="n">
        <v>0.541666666666667</v>
      </c>
      <c r="C8" s="2"/>
      <c r="D8" s="2"/>
      <c r="S8" s="0" t="n">
        <v>70.75896</v>
      </c>
      <c r="T8" s="0" t="n">
        <v>33.756824</v>
      </c>
    </row>
    <row r="9" customFormat="false" ht="12.75" hidden="false" customHeight="false" outlineLevel="0" collapsed="false">
      <c r="A9" s="2" t="n">
        <v>0.541666666666667</v>
      </c>
      <c r="B9" s="2" t="n">
        <v>0.583333333333333</v>
      </c>
      <c r="C9" s="23" t="n">
        <v>55.914444</v>
      </c>
      <c r="D9" s="23" t="n">
        <v>50.94527778</v>
      </c>
      <c r="W9" s="0" t="n">
        <v>76.0245</v>
      </c>
      <c r="X9" s="0" t="n">
        <v>27.24458</v>
      </c>
    </row>
    <row r="10" customFormat="false" ht="12.75" hidden="false" customHeight="false" outlineLevel="0" collapsed="false">
      <c r="A10" s="2" t="n">
        <v>0.583333333333333</v>
      </c>
      <c r="B10" s="2" t="n">
        <v>0.625</v>
      </c>
      <c r="C10" s="2"/>
      <c r="D10" s="2"/>
      <c r="Q10" s="0" t="n">
        <v>65.85</v>
      </c>
      <c r="R10" s="0" t="n">
        <v>37.582</v>
      </c>
      <c r="U10" s="0" t="n">
        <v>65.85</v>
      </c>
      <c r="V10" s="0" t="n">
        <v>37.582</v>
      </c>
    </row>
    <row r="11" customFormat="false" ht="12.75" hidden="false" customHeight="false" outlineLevel="0" collapsed="false">
      <c r="A11" s="2" t="n">
        <v>0.625</v>
      </c>
      <c r="B11" s="2" t="n">
        <v>0.666666666666667</v>
      </c>
      <c r="C11" s="2"/>
      <c r="D11" s="2"/>
      <c r="I11" s="0" t="n">
        <v>32.2926829</v>
      </c>
      <c r="J11" s="0" t="n">
        <v>54.902439</v>
      </c>
      <c r="K11" s="0" t="n">
        <v>19.7368421</v>
      </c>
      <c r="L11" s="0" t="n">
        <v>25.7631579</v>
      </c>
      <c r="M11" s="0" t="n">
        <v>32.2926829</v>
      </c>
      <c r="N11" s="0" t="n">
        <v>54.902439</v>
      </c>
      <c r="O11" s="0" t="n">
        <v>19.7368421</v>
      </c>
      <c r="P11" s="0" t="n">
        <v>25.7631579</v>
      </c>
      <c r="S11" s="0" t="n">
        <v>70.75896</v>
      </c>
      <c r="T11" s="0" t="n">
        <v>33.756824</v>
      </c>
      <c r="W11" s="0" t="n">
        <v>76.0245</v>
      </c>
      <c r="X11" s="0" t="n">
        <v>27.24458</v>
      </c>
    </row>
    <row r="12" customFormat="false" ht="12.75" hidden="false" customHeight="false" outlineLevel="0" collapsed="false">
      <c r="A12" s="2" t="n">
        <v>0.666666666666667</v>
      </c>
      <c r="B12" s="2" t="n">
        <v>0.708333333333333</v>
      </c>
      <c r="C12" s="2"/>
      <c r="D12" s="2"/>
    </row>
    <row r="13" customFormat="false" ht="12.75" hidden="false" customHeight="false" outlineLevel="0" collapsed="false">
      <c r="A13" s="2" t="n">
        <v>0.708333333333333</v>
      </c>
      <c r="B13" s="2" t="n">
        <v>0.75</v>
      </c>
      <c r="C13" s="2"/>
      <c r="D13" s="2"/>
      <c r="E13" s="0" t="n">
        <v>56.3984375</v>
      </c>
      <c r="F13" s="0" t="n">
        <v>53.5866667</v>
      </c>
      <c r="Q13" s="0" t="n">
        <v>65.85</v>
      </c>
      <c r="R13" s="0" t="n">
        <v>37.582</v>
      </c>
    </row>
    <row r="14" customFormat="false" ht="12.75" hidden="false" customHeight="false" outlineLevel="0" collapsed="false">
      <c r="A14" s="2" t="n">
        <v>0.75</v>
      </c>
      <c r="B14" s="2" t="n">
        <v>0.791666666666667</v>
      </c>
      <c r="C14" s="23" t="n">
        <v>56.008889</v>
      </c>
      <c r="D14" s="23" t="n">
        <v>51.0433333</v>
      </c>
      <c r="F14" s="1"/>
      <c r="I14" s="0" t="n">
        <v>21.14</v>
      </c>
      <c r="J14" s="0" t="n">
        <v>40.64</v>
      </c>
      <c r="K14" s="0" t="n">
        <v>19.2</v>
      </c>
      <c r="L14" s="0" t="n">
        <v>23.8</v>
      </c>
      <c r="M14" s="0" t="n">
        <v>21.14</v>
      </c>
      <c r="N14" s="0" t="n">
        <v>40.64</v>
      </c>
      <c r="O14" s="0" t="n">
        <v>19.2</v>
      </c>
      <c r="P14" s="0" t="n">
        <v>23.8</v>
      </c>
    </row>
    <row r="15" customFormat="false" ht="12.75" hidden="false" customHeight="false" outlineLevel="0" collapsed="false">
      <c r="A15" s="2" t="n">
        <v>0.791666666666667</v>
      </c>
      <c r="B15" s="2" t="n">
        <v>0.833333333333333</v>
      </c>
      <c r="C15" s="2"/>
      <c r="D15" s="2"/>
    </row>
    <row r="17" customFormat="false" ht="12.75" hidden="false" customHeight="false" outlineLevel="0" collapsed="false">
      <c r="D17" s="0" t="n">
        <f aca="false">D6-E7</f>
        <v>-5.49677083</v>
      </c>
    </row>
    <row r="21" customFormat="false" ht="12.75" hidden="false" customHeight="false" outlineLevel="0" collapsed="false">
      <c r="T21" s="0" t="n">
        <v>33</v>
      </c>
      <c r="U21" s="0" t="n">
        <f aca="false">37+27+8</f>
        <v>72</v>
      </c>
      <c r="W21" s="0" t="n">
        <f aca="false">34+8+37</f>
        <v>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pane xSplit="2" ySplit="0" topLeftCell="S1" activePane="topRight" state="frozen"/>
      <selection pane="topLeft" activeCell="A1" activeCellId="0" sqref="A1"/>
      <selection pane="topRight" activeCell="Z18" activeCellId="0" sqref="Z18"/>
    </sheetView>
  </sheetViews>
  <sheetFormatPr defaultColWidth="11.66015625" defaultRowHeight="12.8" zeroHeight="false" outlineLevelRow="0" outlineLevelCol="0"/>
  <cols>
    <col collapsed="false" customWidth="true" hidden="false" outlineLevel="0" max="21" min="21" style="0" width="13.59"/>
    <col collapsed="false" customWidth="true" hidden="false" outlineLevel="0" max="22" min="22" style="0" width="12.88"/>
    <col collapsed="false" customWidth="true" hidden="false" outlineLevel="0" max="23" min="23" style="0" width="13.09"/>
    <col collapsed="false" customWidth="true" hidden="false" outlineLevel="0" max="24" min="24" style="0" width="12.37"/>
    <col collapsed="false" customWidth="true" hidden="false" outlineLevel="0" max="25" min="25" style="0" width="12.77"/>
    <col collapsed="false" customWidth="true" hidden="false" outlineLevel="0" max="26" min="26" style="0" width="12.98"/>
    <col collapsed="false" customWidth="true" hidden="false" outlineLevel="0" max="27" min="27" style="0" width="12.67"/>
    <col collapsed="false" customWidth="true" hidden="false" outlineLevel="0" max="28" min="28" style="0" width="12.88"/>
    <col collapsed="false" customWidth="true" hidden="false" outlineLevel="0" max="29" min="29" style="0" width="12.0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111</v>
      </c>
      <c r="D1" s="0" t="s">
        <v>112</v>
      </c>
      <c r="E1" s="0" t="s">
        <v>113</v>
      </c>
      <c r="F1" s="0" t="s">
        <v>114</v>
      </c>
      <c r="G1" s="0" t="s">
        <v>115</v>
      </c>
      <c r="H1" s="0" t="s">
        <v>116</v>
      </c>
      <c r="I1" s="0" t="s">
        <v>117</v>
      </c>
      <c r="J1" s="0" t="s">
        <v>118</v>
      </c>
      <c r="K1" s="0" t="s">
        <v>119</v>
      </c>
      <c r="L1" s="0" t="s">
        <v>111</v>
      </c>
      <c r="M1" s="0" t="s">
        <v>112</v>
      </c>
      <c r="N1" s="0" t="s">
        <v>113</v>
      </c>
      <c r="O1" s="0" t="s">
        <v>114</v>
      </c>
      <c r="P1" s="0" t="s">
        <v>115</v>
      </c>
      <c r="Q1" s="0" t="s">
        <v>116</v>
      </c>
      <c r="R1" s="0" t="s">
        <v>117</v>
      </c>
      <c r="S1" s="0" t="s">
        <v>118</v>
      </c>
      <c r="T1" s="0" t="s">
        <v>119</v>
      </c>
      <c r="U1" s="0" t="s">
        <v>120</v>
      </c>
      <c r="V1" s="0" t="s">
        <v>121</v>
      </c>
      <c r="W1" s="0" t="s">
        <v>122</v>
      </c>
      <c r="X1" s="0" t="s">
        <v>123</v>
      </c>
      <c r="Y1" s="0" t="s">
        <v>124</v>
      </c>
      <c r="Z1" s="0" t="s">
        <v>125</v>
      </c>
      <c r="AA1" s="0" t="s">
        <v>126</v>
      </c>
      <c r="AB1" s="0" t="s">
        <v>127</v>
      </c>
      <c r="AC1" s="0" t="s">
        <v>128</v>
      </c>
    </row>
    <row r="2" customFormat="false" ht="12.8" hidden="false" customHeight="false" outlineLevel="0" collapsed="false">
      <c r="A2" s="2" t="n">
        <v>0.25</v>
      </c>
      <c r="B2" s="2" t="n">
        <v>0.291666666666667</v>
      </c>
    </row>
    <row r="3" customFormat="false" ht="12.8" hidden="false" customHeight="false" outlineLevel="0" collapsed="false">
      <c r="A3" s="2" t="n">
        <v>0.291666666666667</v>
      </c>
      <c r="B3" s="2" t="n">
        <v>0.333333333333333</v>
      </c>
      <c r="E3" s="0" t="n">
        <v>1423</v>
      </c>
      <c r="F3" s="0" t="n">
        <v>523</v>
      </c>
      <c r="G3" s="0" t="n">
        <v>927</v>
      </c>
      <c r="J3" s="0" t="n">
        <v>601</v>
      </c>
      <c r="N3" s="0" t="n">
        <f aca="false">SUM(Vehiculos!I3:L3)</f>
        <v>702</v>
      </c>
      <c r="S3" s="0" t="n">
        <f aca="false">SUM(Vehiculos!T3:W3)</f>
        <v>478</v>
      </c>
      <c r="W3" s="0" t="n">
        <f aca="false">((E3-N3)/E3)*100</f>
        <v>50.6676036542516</v>
      </c>
      <c r="X3" s="0" t="n">
        <f aca="false">((F3-O3)/F3)*100</f>
        <v>100</v>
      </c>
      <c r="Y3" s="0" t="n">
        <f aca="false">((G3-P3)/G3)*100</f>
        <v>100</v>
      </c>
      <c r="AB3" s="0" t="n">
        <f aca="false">((J3-S3)/J3)*100</f>
        <v>20.4658901830283</v>
      </c>
    </row>
    <row r="4" customFormat="false" ht="12.8" hidden="false" customHeight="false" outlineLevel="0" collapsed="false">
      <c r="A4" s="2" t="n">
        <v>0.333333333333333</v>
      </c>
      <c r="B4" s="2" t="n">
        <v>0.375</v>
      </c>
    </row>
    <row r="5" customFormat="false" ht="12.8" hidden="false" customHeight="false" outlineLevel="0" collapsed="false">
      <c r="A5" s="2" t="n">
        <v>0.375</v>
      </c>
      <c r="B5" s="2" t="n">
        <v>0.416666666666667</v>
      </c>
      <c r="H5" s="0" t="n">
        <v>638</v>
      </c>
      <c r="Q5" s="0" t="n">
        <f aca="false">SUM(Vehiculos!P5:Q5)</f>
        <v>542</v>
      </c>
      <c r="Z5" s="0" t="n">
        <f aca="false">((H5-Q5)/H5)*100</f>
        <v>15.0470219435737</v>
      </c>
    </row>
    <row r="6" customFormat="false" ht="12.8" hidden="false" customHeight="false" outlineLevel="0" collapsed="false">
      <c r="A6" s="2" t="n">
        <v>0.416666666666667</v>
      </c>
      <c r="B6" s="2" t="n">
        <v>0.458333333333333</v>
      </c>
      <c r="C6" s="0" t="n">
        <v>791</v>
      </c>
      <c r="I6" s="0" t="n">
        <v>572</v>
      </c>
      <c r="L6" s="0" t="n">
        <f aca="false">SUM(Vehiculos!C6:D6)</f>
        <v>752</v>
      </c>
      <c r="R6" s="0" t="n">
        <f aca="false">SUM(Vehiculos!R6:S6)</f>
        <v>506</v>
      </c>
      <c r="U6" s="0" t="n">
        <f aca="false">((C6-L6)/C6)*100</f>
        <v>4.93046776232617</v>
      </c>
      <c r="AA6" s="0" t="n">
        <f aca="false">((I6-R6)/I6)*100</f>
        <v>11.5384615384615</v>
      </c>
    </row>
    <row r="7" customFormat="false" ht="12.8" hidden="false" customHeight="false" outlineLevel="0" collapsed="false">
      <c r="A7" s="2" t="n">
        <v>0.458333333333333</v>
      </c>
      <c r="B7" s="2" t="n">
        <v>0.5</v>
      </c>
      <c r="J7" s="0" t="n">
        <v>795</v>
      </c>
      <c r="K7" s="0" t="n">
        <v>461</v>
      </c>
      <c r="S7" s="0" t="n">
        <f aca="false">SUM(Vehiculos!T7:W7)</f>
        <v>615</v>
      </c>
      <c r="T7" s="0" t="n">
        <f aca="false">SUM(Vehiculos!X7:AA7)</f>
        <v>416</v>
      </c>
      <c r="AB7" s="0" t="n">
        <f aca="false">((J7-S7)/J7)*100</f>
        <v>22.6415094339623</v>
      </c>
      <c r="AC7" s="0" t="n">
        <f aca="false">((K7-T7)/K7)*100</f>
        <v>9.76138828633406</v>
      </c>
    </row>
    <row r="8" customFormat="false" ht="12.8" hidden="false" customHeight="false" outlineLevel="0" collapsed="false">
      <c r="A8" s="2" t="n">
        <v>0.5</v>
      </c>
      <c r="B8" s="2" t="n">
        <v>0.541666666666667</v>
      </c>
      <c r="C8" s="0" t="n">
        <v>776</v>
      </c>
      <c r="D8" s="0" t="n">
        <v>1024</v>
      </c>
      <c r="E8" s="0" t="n">
        <v>1157</v>
      </c>
      <c r="I8" s="0" t="n">
        <v>616</v>
      </c>
      <c r="L8" s="0" t="n">
        <f aca="false">SUM(Vehiculos!C8:D8)</f>
        <v>752</v>
      </c>
      <c r="M8" s="0" t="n">
        <f aca="false">SUM(Vehiculos!E8:H8)</f>
        <v>890</v>
      </c>
      <c r="N8" s="0" t="n">
        <f aca="false">SUM(Vehiculos!I8:L8)</f>
        <v>1065</v>
      </c>
      <c r="R8" s="0" t="n">
        <f aca="false">SUM(Vehiculos!R8:S8)</f>
        <v>567</v>
      </c>
      <c r="U8" s="0" t="n">
        <f aca="false">((C8-L8)/C8)*100</f>
        <v>3.09278350515464</v>
      </c>
      <c r="V8" s="0" t="n">
        <f aca="false">((D8-M8)/D8)*100</f>
        <v>13.0859375</v>
      </c>
      <c r="W8" s="0" t="n">
        <f aca="false">((E8-N8)/E8)*100</f>
        <v>7.95159896283492</v>
      </c>
      <c r="AA8" s="0" t="n">
        <f aca="false">((I8-R8)/I8)*100</f>
        <v>7.95454545454545</v>
      </c>
    </row>
    <row r="9" customFormat="false" ht="12.8" hidden="false" customHeight="false" outlineLevel="0" collapsed="false">
      <c r="A9" s="2" t="n">
        <v>0.541666666666667</v>
      </c>
      <c r="B9" s="2" t="n">
        <v>0.583333333333333</v>
      </c>
      <c r="K9" s="0" t="n">
        <v>489</v>
      </c>
      <c r="T9" s="0" t="n">
        <f aca="false">SUM(Vehiculos!X9:AA9)</f>
        <v>394</v>
      </c>
      <c r="AC9" s="0" t="n">
        <f aca="false">((K9-T9)/K9)*100</f>
        <v>19.4274028629857</v>
      </c>
    </row>
    <row r="10" customFormat="false" ht="12.8" hidden="false" customHeight="false" outlineLevel="0" collapsed="false">
      <c r="A10" s="2" t="n">
        <v>0.583333333333333</v>
      </c>
      <c r="B10" s="2" t="n">
        <v>0.625</v>
      </c>
      <c r="H10" s="0" t="n">
        <v>687</v>
      </c>
      <c r="J10" s="0" t="n">
        <v>717</v>
      </c>
      <c r="Q10" s="0" t="n">
        <f aca="false">SUM(Vehiculos!P10:Q10)</f>
        <v>457</v>
      </c>
      <c r="S10" s="0" t="n">
        <f aca="false">SUM(Vehiculos!T10:W10)</f>
        <v>627</v>
      </c>
      <c r="Z10" s="0" t="n">
        <f aca="false">((H10-Q10)/H10)*100</f>
        <v>33.4788937409025</v>
      </c>
      <c r="AB10" s="0" t="n">
        <f aca="false">((J10-S10)/J10)*100</f>
        <v>12.5523012552301</v>
      </c>
    </row>
    <row r="11" customFormat="false" ht="12.8" hidden="false" customHeight="false" outlineLevel="0" collapsed="false">
      <c r="A11" s="2" t="n">
        <v>0.625</v>
      </c>
      <c r="B11" s="2" t="n">
        <v>0.666666666666667</v>
      </c>
      <c r="F11" s="0" t="n">
        <v>1616</v>
      </c>
      <c r="G11" s="0" t="n">
        <v>1009</v>
      </c>
      <c r="I11" s="0" t="n">
        <v>538</v>
      </c>
      <c r="K11" s="0" t="n">
        <v>528</v>
      </c>
      <c r="R11" s="0" t="n">
        <f aca="false">SUM(Vehiculos!R11:S11)</f>
        <v>466</v>
      </c>
      <c r="T11" s="0" t="n">
        <f aca="false">SUM(Vehiculos!X11:AA11)</f>
        <v>364</v>
      </c>
      <c r="X11" s="0" t="n">
        <f aca="false">((F11-O11)/F11)*100</f>
        <v>100</v>
      </c>
      <c r="Y11" s="0" t="n">
        <f aca="false">((G11-P11)/G11)*100</f>
        <v>100</v>
      </c>
      <c r="AA11" s="0" t="n">
        <f aca="false">((I11-R11)/I11)*100</f>
        <v>13.3828996282528</v>
      </c>
      <c r="AC11" s="0" t="n">
        <f aca="false">((K11-T11)/K11)*100</f>
        <v>31.0606060606061</v>
      </c>
    </row>
    <row r="12" customFormat="false" ht="12.8" hidden="false" customHeight="false" outlineLevel="0" collapsed="false">
      <c r="A12" s="2" t="n">
        <v>0.666666666666667</v>
      </c>
      <c r="B12" s="2" t="n">
        <v>0.708333333333333</v>
      </c>
    </row>
    <row r="13" customFormat="false" ht="12.8" hidden="false" customHeight="false" outlineLevel="0" collapsed="false">
      <c r="A13" s="2" t="n">
        <v>0.708333333333333</v>
      </c>
      <c r="B13" s="2" t="n">
        <v>0.75</v>
      </c>
      <c r="H13" s="0" t="n">
        <v>842</v>
      </c>
      <c r="Q13" s="0" t="n">
        <f aca="false">SUM(Vehiculos!P13:Q13)</f>
        <v>572</v>
      </c>
      <c r="Z13" s="0" t="n">
        <f aca="false">((H13-Q13)/H13)*100</f>
        <v>32.0665083135392</v>
      </c>
    </row>
    <row r="14" customFormat="false" ht="12.8" hidden="false" customHeight="false" outlineLevel="0" collapsed="false">
      <c r="A14" s="2" t="n">
        <v>0.75</v>
      </c>
      <c r="B14" s="2" t="n">
        <v>0.791666666666667</v>
      </c>
      <c r="C14" s="0" t="n">
        <v>935</v>
      </c>
      <c r="F14" s="0" t="n">
        <v>963</v>
      </c>
      <c r="G14" s="0" t="n">
        <v>1287</v>
      </c>
      <c r="L14" s="0" t="n">
        <f aca="false">SUM(Vehiculos!C14:D14)</f>
        <v>817</v>
      </c>
      <c r="U14" s="0" t="n">
        <f aca="false">((C14-L14)/C14)*100</f>
        <v>12.620320855615</v>
      </c>
      <c r="X14" s="0" t="n">
        <f aca="false">((F14-O14)/F14)*100</f>
        <v>100</v>
      </c>
      <c r="Y14" s="0" t="n">
        <f aca="false">((G14-P14)/G14)*100</f>
        <v>100</v>
      </c>
    </row>
    <row r="15" customFormat="false" ht="12.8" hidden="false" customHeight="false" outlineLevel="0" collapsed="false">
      <c r="A15" s="2" t="n">
        <v>0.791666666666667</v>
      </c>
      <c r="B15" s="2" t="n">
        <v>0.833333333333333</v>
      </c>
      <c r="E15" s="0" t="n">
        <v>963</v>
      </c>
      <c r="N15" s="0" t="n">
        <f aca="false">SUM(Vehiculos!I15:L15)</f>
        <v>940</v>
      </c>
      <c r="W15" s="0" t="n">
        <f aca="false">((E15-N15)/E15)*100</f>
        <v>2.3883696780893</v>
      </c>
    </row>
    <row r="18" customFormat="false" ht="12.8" hidden="false" customHeight="false" outlineLevel="0" collapsed="false">
      <c r="U18" s="0" t="n">
        <f aca="false">AVERAGE(U3:W15)</f>
        <v>13.5338688454674</v>
      </c>
      <c r="Z18" s="0" t="n">
        <f aca="false">AVERAGE(Z3:AC13)</f>
        <v>19.1147857251185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Q1:BZ31"/>
  <sheetViews>
    <sheetView showFormulas="false" showGridLines="true" showRowColHeaders="true" showZeros="true" rightToLeft="false" tabSelected="false" showOutlineSymbols="true" defaultGridColor="true" view="normal" topLeftCell="BG1" colorId="64" zoomScale="137" zoomScaleNormal="137" zoomScalePageLayoutView="100" workbookViewId="0">
      <selection pane="topLeft" activeCell="BO2" activeCellId="0" sqref="BO2"/>
    </sheetView>
  </sheetViews>
  <sheetFormatPr defaultColWidth="11.66015625" defaultRowHeight="12.8" zeroHeight="false" outlineLevelRow="0" outlineLevelCol="0"/>
  <cols>
    <col collapsed="false" customWidth="true" hidden="false" outlineLevel="0" max="32" min="32" style="0" width="14.29"/>
    <col collapsed="false" customWidth="true" hidden="false" outlineLevel="0" max="33" min="33" style="0" width="18.46"/>
    <col collapsed="false" customWidth="true" hidden="false" outlineLevel="0" max="57" min="57" style="0" width="12.98"/>
  </cols>
  <sheetData>
    <row r="1" customFormat="false" ht="12.8" hidden="false" customHeight="false" outlineLevel="0" collapsed="false">
      <c r="Q1" s="0" t="s">
        <v>116</v>
      </c>
      <c r="R1" s="0" t="s">
        <v>117</v>
      </c>
      <c r="S1" s="0" t="s">
        <v>118</v>
      </c>
      <c r="T1" s="0" t="s">
        <v>119</v>
      </c>
      <c r="V1" s="0" t="s">
        <v>116</v>
      </c>
      <c r="W1" s="0" t="s">
        <v>117</v>
      </c>
      <c r="X1" s="0" t="s">
        <v>118</v>
      </c>
      <c r="Y1" s="0" t="s">
        <v>119</v>
      </c>
      <c r="AA1" s="0" t="s">
        <v>15</v>
      </c>
      <c r="AB1" s="1" t="s">
        <v>16</v>
      </c>
      <c r="AC1" s="0" t="s">
        <v>17</v>
      </c>
      <c r="AD1" s="0" t="s">
        <v>18</v>
      </c>
      <c r="AE1" s="0" t="s">
        <v>19</v>
      </c>
      <c r="AF1" s="1" t="s">
        <v>20</v>
      </c>
      <c r="AG1" s="1" t="s">
        <v>21</v>
      </c>
      <c r="AH1" s="1" t="s">
        <v>22</v>
      </c>
      <c r="AI1" s="0" t="s">
        <v>23</v>
      </c>
      <c r="AJ1" s="1" t="s">
        <v>24</v>
      </c>
      <c r="AK1" s="1" t="s">
        <v>25</v>
      </c>
      <c r="AL1" s="1" t="s">
        <v>26</v>
      </c>
      <c r="AN1" s="0" t="s">
        <v>15</v>
      </c>
      <c r="AO1" s="1" t="s">
        <v>16</v>
      </c>
      <c r="AP1" s="0" t="s">
        <v>17</v>
      </c>
      <c r="AQ1" s="0" t="s">
        <v>18</v>
      </c>
      <c r="AR1" s="0" t="s">
        <v>19</v>
      </c>
      <c r="AS1" s="1" t="s">
        <v>20</v>
      </c>
      <c r="AT1" s="1" t="s">
        <v>21</v>
      </c>
      <c r="AU1" s="1" t="s">
        <v>22</v>
      </c>
      <c r="AV1" s="0" t="s">
        <v>23</v>
      </c>
      <c r="AW1" s="1" t="s">
        <v>24</v>
      </c>
      <c r="AX1" s="1" t="s">
        <v>25</v>
      </c>
      <c r="AY1" s="1" t="s">
        <v>26</v>
      </c>
      <c r="BB1" s="0" t="s">
        <v>15</v>
      </c>
      <c r="BC1" s="1" t="s">
        <v>16</v>
      </c>
      <c r="BD1" s="0" t="s">
        <v>17</v>
      </c>
      <c r="BE1" s="0" t="s">
        <v>18</v>
      </c>
      <c r="BF1" s="0" t="s">
        <v>19</v>
      </c>
      <c r="BG1" s="1" t="s">
        <v>20</v>
      </c>
      <c r="BH1" s="1" t="s">
        <v>21</v>
      </c>
      <c r="BI1" s="1" t="s">
        <v>22</v>
      </c>
      <c r="BJ1" s="0" t="s">
        <v>23</v>
      </c>
      <c r="BK1" s="1" t="s">
        <v>24</v>
      </c>
      <c r="BL1" s="1" t="s">
        <v>25</v>
      </c>
      <c r="BM1" s="1" t="s">
        <v>26</v>
      </c>
      <c r="BO1" s="0" t="s">
        <v>15</v>
      </c>
      <c r="BP1" s="1" t="s">
        <v>16</v>
      </c>
      <c r="BQ1" s="0" t="s">
        <v>17</v>
      </c>
      <c r="BR1" s="0" t="s">
        <v>18</v>
      </c>
      <c r="BS1" s="0" t="s">
        <v>19</v>
      </c>
      <c r="BT1" s="1" t="s">
        <v>20</v>
      </c>
      <c r="BU1" s="1" t="s">
        <v>21</v>
      </c>
      <c r="BV1" s="1" t="s">
        <v>22</v>
      </c>
      <c r="BW1" s="0" t="s">
        <v>23</v>
      </c>
      <c r="BX1" s="1" t="s">
        <v>24</v>
      </c>
      <c r="BY1" s="1" t="s">
        <v>25</v>
      </c>
      <c r="BZ1" s="1" t="s">
        <v>26</v>
      </c>
    </row>
    <row r="2" customFormat="false" ht="12.8" hidden="false" customHeight="false" outlineLevel="0" collapsed="false">
      <c r="Q2" s="0" t="n">
        <f aca="false">SUM(Vehiculos!P2:Q2)</f>
        <v>172</v>
      </c>
      <c r="R2" s="0" t="n">
        <f aca="false">SUM(Vehiculos!R2:S2)</f>
        <v>107</v>
      </c>
      <c r="S2" s="0" t="n">
        <f aca="false">SUM(Vehiculos!T2:W2)</f>
        <v>231</v>
      </c>
      <c r="T2" s="0" t="n">
        <f aca="false">SUM(Vehiculos!X2:AA2)</f>
        <v>91</v>
      </c>
      <c r="V2" s="0" t="n">
        <f aca="false">175*Q2/100</f>
        <v>301</v>
      </c>
      <c r="W2" s="0" t="n">
        <f aca="false">111*R2/100</f>
        <v>118.77</v>
      </c>
      <c r="X2" s="0" t="n">
        <f aca="false">111*S2/100</f>
        <v>256.41</v>
      </c>
      <c r="Y2" s="0" t="n">
        <f aca="false">111*T2/100</f>
        <v>101.01</v>
      </c>
      <c r="AA2" s="0" t="n">
        <v>145</v>
      </c>
      <c r="AB2" s="0" t="n">
        <v>27</v>
      </c>
      <c r="AC2" s="0" t="n">
        <v>92</v>
      </c>
      <c r="AD2" s="0" t="n">
        <v>15</v>
      </c>
      <c r="AE2" s="0" t="n">
        <v>170</v>
      </c>
      <c r="AF2" s="0" t="n">
        <v>10</v>
      </c>
      <c r="AG2" s="0" t="n">
        <v>35</v>
      </c>
      <c r="AH2" s="0" t="n">
        <v>16</v>
      </c>
      <c r="AI2" s="0" t="n">
        <v>64</v>
      </c>
      <c r="AJ2" s="0" t="n">
        <v>15</v>
      </c>
      <c r="AK2" s="0" t="n">
        <v>9</v>
      </c>
      <c r="AL2" s="0" t="n">
        <v>3</v>
      </c>
      <c r="AN2" s="0" t="n">
        <f aca="false">AA2*100/$Q2</f>
        <v>84.3023255813954</v>
      </c>
      <c r="AO2" s="0" t="n">
        <f aca="false">AB2*100/$Q2</f>
        <v>15.6976744186047</v>
      </c>
      <c r="AP2" s="0" t="n">
        <f aca="false">AC2*100/$R2</f>
        <v>85.981308411215</v>
      </c>
      <c r="AQ2" s="0" t="n">
        <f aca="false">AD2*100/$R2</f>
        <v>14.018691588785</v>
      </c>
      <c r="AR2" s="0" t="n">
        <f aca="false">AE2*100/$S2</f>
        <v>73.5930735930736</v>
      </c>
      <c r="AS2" s="0" t="n">
        <f aca="false">AF2*100/$S2</f>
        <v>4.32900432900433</v>
      </c>
      <c r="AT2" s="0" t="n">
        <f aca="false">AG2*100/$S2</f>
        <v>15.1515151515152</v>
      </c>
      <c r="AU2" s="0" t="n">
        <f aca="false">AH2*100/$S2</f>
        <v>6.92640692640693</v>
      </c>
      <c r="AV2" s="0" t="n">
        <f aca="false">AI2*100/$T2</f>
        <v>70.3296703296703</v>
      </c>
      <c r="AW2" s="0" t="n">
        <f aca="false">AJ2*100/$T2</f>
        <v>16.4835164835165</v>
      </c>
      <c r="AX2" s="0" t="n">
        <f aca="false">AK2*100/$T2</f>
        <v>9.89010989010989</v>
      </c>
      <c r="AY2" s="0" t="n">
        <f aca="false">AL2*100/$T2</f>
        <v>3.2967032967033</v>
      </c>
      <c r="BB2" s="0" t="n">
        <f aca="false">AN2*$V2/100</f>
        <v>253.75</v>
      </c>
      <c r="BC2" s="0" t="n">
        <f aca="false">AO2*$V2/100</f>
        <v>47.2500000000001</v>
      </c>
      <c r="BD2" s="0" t="n">
        <f aca="false">AP2*$W2/100</f>
        <v>102.12</v>
      </c>
      <c r="BE2" s="0" t="n">
        <f aca="false">AQ2*$W2/100</f>
        <v>16.65</v>
      </c>
      <c r="BF2" s="0" t="n">
        <f aca="false">AR2*$X2/100</f>
        <v>188.7</v>
      </c>
      <c r="BG2" s="0" t="n">
        <f aca="false">AS2*$X2/100</f>
        <v>11.1</v>
      </c>
      <c r="BH2" s="0" t="n">
        <f aca="false">AT2*$X2/100</f>
        <v>38.85</v>
      </c>
      <c r="BI2" s="0" t="n">
        <f aca="false">AU2*$X2/100</f>
        <v>17.76</v>
      </c>
      <c r="BJ2" s="0" t="n">
        <f aca="false">AV2*$Y2/100</f>
        <v>71.04</v>
      </c>
      <c r="BK2" s="0" t="n">
        <f aca="false">AW2*$Y2/100</f>
        <v>16.65</v>
      </c>
      <c r="BL2" s="0" t="n">
        <f aca="false">AX2*$Y2/100</f>
        <v>9.99</v>
      </c>
      <c r="BM2" s="0" t="n">
        <f aca="false">AY2*$Y2/100</f>
        <v>3.33</v>
      </c>
      <c r="BO2" s="0" t="n">
        <f aca="false">com.sun.star.sheet.addin.Analysis.getMround(BB2,2)</f>
        <v>254</v>
      </c>
      <c r="BP2" s="0" t="n">
        <f aca="false">com.sun.star.sheet.addin.Analysis.getMround(BC2,2)</f>
        <v>48</v>
      </c>
      <c r="BQ2" s="0" t="n">
        <f aca="false">com.sun.star.sheet.addin.Analysis.getMround(BD2,2)</f>
        <v>102</v>
      </c>
      <c r="BR2" s="0" t="n">
        <f aca="false">com.sun.star.sheet.addin.Analysis.getMround(BE2,2)</f>
        <v>16</v>
      </c>
      <c r="BS2" s="0" t="n">
        <f aca="false">com.sun.star.sheet.addin.Analysis.getMround(BF2,2)</f>
        <v>188</v>
      </c>
      <c r="BT2" s="0" t="n">
        <f aca="false">com.sun.star.sheet.addin.Analysis.getMround(BG2,2)</f>
        <v>12</v>
      </c>
      <c r="BU2" s="0" t="n">
        <f aca="false">com.sun.star.sheet.addin.Analysis.getMround(BH2,2)</f>
        <v>38</v>
      </c>
      <c r="BV2" s="0" t="n">
        <f aca="false">com.sun.star.sheet.addin.Analysis.getMround(BI2,2)</f>
        <v>18</v>
      </c>
      <c r="BW2" s="0" t="n">
        <f aca="false">com.sun.star.sheet.addin.Analysis.getMround(BJ2,2)</f>
        <v>72</v>
      </c>
      <c r="BX2" s="0" t="n">
        <f aca="false">com.sun.star.sheet.addin.Analysis.getMround(BK2,2)</f>
        <v>16</v>
      </c>
      <c r="BY2" s="0" t="n">
        <f aca="false">com.sun.star.sheet.addin.Analysis.getMround(BL2,2)</f>
        <v>10</v>
      </c>
      <c r="BZ2" s="0" t="n">
        <f aca="false">com.sun.star.sheet.addin.Analysis.getMround(BM2,2)</f>
        <v>4</v>
      </c>
    </row>
    <row r="3" customFormat="false" ht="12.8" hidden="false" customHeight="false" outlineLevel="0" collapsed="false">
      <c r="Q3" s="0" t="n">
        <f aca="false">SUM(Vehiculos!P3:Q3)</f>
        <v>395</v>
      </c>
      <c r="R3" s="0" t="n">
        <f aca="false">SUM(Vehiculos!R3:S3)</f>
        <v>309</v>
      </c>
      <c r="S3" s="0" t="n">
        <f aca="false">SUM(Vehiculos!T3:W3)</f>
        <v>478</v>
      </c>
      <c r="T3" s="0" t="n">
        <f aca="false">SUM(Vehiculos!X3:AA3)</f>
        <v>200</v>
      </c>
      <c r="V3" s="0" t="n">
        <f aca="false">175*Q3/100</f>
        <v>691.25</v>
      </c>
      <c r="W3" s="0" t="n">
        <f aca="false">111*R3/100</f>
        <v>342.99</v>
      </c>
      <c r="X3" s="0" t="n">
        <f aca="false">111*S3/100</f>
        <v>530.58</v>
      </c>
      <c r="Y3" s="0" t="n">
        <f aca="false">111*T3/100</f>
        <v>222</v>
      </c>
      <c r="AA3" s="0" t="n">
        <v>365</v>
      </c>
      <c r="AB3" s="0" t="n">
        <v>30</v>
      </c>
      <c r="AC3" s="0" t="n">
        <v>265</v>
      </c>
      <c r="AD3" s="0" t="n">
        <v>44</v>
      </c>
      <c r="AE3" s="0" t="n">
        <v>320</v>
      </c>
      <c r="AF3" s="0" t="n">
        <v>13</v>
      </c>
      <c r="AG3" s="0" t="n">
        <v>123</v>
      </c>
      <c r="AH3" s="0" t="n">
        <v>22</v>
      </c>
      <c r="AI3" s="0" t="n">
        <v>153</v>
      </c>
      <c r="AJ3" s="0" t="n">
        <v>17</v>
      </c>
      <c r="AK3" s="0" t="n">
        <v>26</v>
      </c>
      <c r="AL3" s="0" t="n">
        <v>4</v>
      </c>
      <c r="AN3" s="0" t="n">
        <f aca="false">AA3*100/$Q3</f>
        <v>92.4050632911392</v>
      </c>
      <c r="AO3" s="0" t="n">
        <f aca="false">AB3*100/$Q3</f>
        <v>7.59493670886076</v>
      </c>
      <c r="AP3" s="0" t="n">
        <f aca="false">AC3*100/$R3</f>
        <v>85.7605177993528</v>
      </c>
      <c r="AQ3" s="0" t="n">
        <f aca="false">AD3*100/$R3</f>
        <v>14.2394822006473</v>
      </c>
      <c r="AR3" s="0" t="n">
        <f aca="false">AE3*100/$S3</f>
        <v>66.9456066945607</v>
      </c>
      <c r="AS3" s="0" t="n">
        <f aca="false">AF3*100/$S3</f>
        <v>2.71966527196653</v>
      </c>
      <c r="AT3" s="0" t="n">
        <f aca="false">AG3*100/$S3</f>
        <v>25.7322175732218</v>
      </c>
      <c r="AU3" s="0" t="n">
        <f aca="false">AH3*100/$S3</f>
        <v>4.60251046025105</v>
      </c>
      <c r="AV3" s="0" t="n">
        <f aca="false">AI3*100/$T3</f>
        <v>76.5</v>
      </c>
      <c r="AW3" s="0" t="n">
        <f aca="false">AJ3*100/$T3</f>
        <v>8.5</v>
      </c>
      <c r="AX3" s="0" t="n">
        <f aca="false">AK3*100/$T3</f>
        <v>13</v>
      </c>
      <c r="AY3" s="0" t="n">
        <f aca="false">AL3*100/$T3</f>
        <v>2</v>
      </c>
      <c r="BB3" s="0" t="n">
        <f aca="false">AN3*V3/100</f>
        <v>638.75</v>
      </c>
      <c r="BC3" s="0" t="n">
        <f aca="false">AO3*$V3/100</f>
        <v>52.5</v>
      </c>
      <c r="BD3" s="0" t="n">
        <f aca="false">AP3*$W3/100</f>
        <v>294.15</v>
      </c>
      <c r="BE3" s="0" t="n">
        <f aca="false">AQ3*$W3/100</f>
        <v>48.84</v>
      </c>
      <c r="BF3" s="0" t="n">
        <f aca="false">AR3*$X3/100</f>
        <v>355.2</v>
      </c>
      <c r="BG3" s="0" t="n">
        <f aca="false">AS3*$X3/100</f>
        <v>14.43</v>
      </c>
      <c r="BH3" s="0" t="n">
        <f aca="false">AT3*$X3/100</f>
        <v>136.53</v>
      </c>
      <c r="BI3" s="0" t="n">
        <f aca="false">AU3*$X3/100</f>
        <v>24.42</v>
      </c>
      <c r="BJ3" s="0" t="n">
        <f aca="false">AV3*$Y3/100</f>
        <v>169.83</v>
      </c>
      <c r="BK3" s="0" t="n">
        <f aca="false">AW3*$Y3/100</f>
        <v>18.87</v>
      </c>
      <c r="BL3" s="0" t="n">
        <f aca="false">AX3*$Y3/100</f>
        <v>28.86</v>
      </c>
      <c r="BM3" s="0" t="n">
        <f aca="false">AY3*$Y3/100</f>
        <v>4.44</v>
      </c>
      <c r="BO3" s="0" t="n">
        <f aca="false">com.sun.star.sheet.addin.Analysis.getMround(BB3,2)</f>
        <v>638</v>
      </c>
      <c r="BP3" s="0" t="n">
        <f aca="false">com.sun.star.sheet.addin.Analysis.getMround(BC3,2)</f>
        <v>52</v>
      </c>
      <c r="BQ3" s="0" t="n">
        <f aca="false">com.sun.star.sheet.addin.Analysis.getMround(BD3,2)</f>
        <v>294</v>
      </c>
      <c r="BR3" s="0" t="n">
        <f aca="false">com.sun.star.sheet.addin.Analysis.getMround(BE3,2)</f>
        <v>48</v>
      </c>
      <c r="BS3" s="0" t="n">
        <f aca="false">com.sun.star.sheet.addin.Analysis.getMround(BF3,2)</f>
        <v>356</v>
      </c>
      <c r="BT3" s="0" t="n">
        <f aca="false">com.sun.star.sheet.addin.Analysis.getMround(BG3,2)</f>
        <v>14</v>
      </c>
      <c r="BU3" s="0" t="n">
        <f aca="false">com.sun.star.sheet.addin.Analysis.getMround(BH3,2)</f>
        <v>136</v>
      </c>
      <c r="BV3" s="0" t="n">
        <f aca="false">com.sun.star.sheet.addin.Analysis.getMround(BI3,2)</f>
        <v>24</v>
      </c>
      <c r="BW3" s="0" t="n">
        <f aca="false">com.sun.star.sheet.addin.Analysis.getMround(BJ3,2)</f>
        <v>170</v>
      </c>
      <c r="BX3" s="0" t="n">
        <f aca="false">com.sun.star.sheet.addin.Analysis.getMround(BK3,2)</f>
        <v>18</v>
      </c>
      <c r="BY3" s="0" t="n">
        <f aca="false">com.sun.star.sheet.addin.Analysis.getMround(BL3,2)</f>
        <v>28</v>
      </c>
      <c r="BZ3" s="0" t="n">
        <f aca="false">com.sun.star.sheet.addin.Analysis.getMround(BM3,2)</f>
        <v>4</v>
      </c>
    </row>
    <row r="4" customFormat="false" ht="12.8" hidden="false" customHeight="false" outlineLevel="0" collapsed="false">
      <c r="Q4" s="0" t="n">
        <f aca="false">SUM(Vehiculos!P4:Q4)</f>
        <v>553</v>
      </c>
      <c r="R4" s="0" t="n">
        <f aca="false">SUM(Vehiculos!R4:S4)</f>
        <v>494</v>
      </c>
      <c r="S4" s="0" t="n">
        <f aca="false">SUM(Vehiculos!T4:W4)</f>
        <v>621</v>
      </c>
      <c r="T4" s="0" t="n">
        <f aca="false">SUM(Vehiculos!X4:AA4)</f>
        <v>341</v>
      </c>
      <c r="V4" s="0" t="n">
        <f aca="false">175*Q4/100</f>
        <v>967.75</v>
      </c>
      <c r="W4" s="0" t="n">
        <f aca="false">111*R4/100</f>
        <v>548.34</v>
      </c>
      <c r="X4" s="0" t="n">
        <f aca="false">111*S4/100</f>
        <v>689.31</v>
      </c>
      <c r="Y4" s="0" t="n">
        <f aca="false">111*T4/100</f>
        <v>378.51</v>
      </c>
      <c r="AA4" s="0" t="n">
        <v>519</v>
      </c>
      <c r="AB4" s="0" t="n">
        <v>34</v>
      </c>
      <c r="AC4" s="0" t="n">
        <v>424</v>
      </c>
      <c r="AD4" s="0" t="n">
        <v>70</v>
      </c>
      <c r="AE4" s="0" t="n">
        <v>427</v>
      </c>
      <c r="AF4" s="0" t="n">
        <v>15</v>
      </c>
      <c r="AG4" s="0" t="n">
        <v>156</v>
      </c>
      <c r="AH4" s="0" t="n">
        <v>23</v>
      </c>
      <c r="AI4" s="0" t="n">
        <v>274</v>
      </c>
      <c r="AJ4" s="0" t="n">
        <v>15</v>
      </c>
      <c r="AK4" s="0" t="n">
        <v>50</v>
      </c>
      <c r="AL4" s="0" t="n">
        <v>2</v>
      </c>
      <c r="AN4" s="0" t="n">
        <f aca="false">AA4*100/$Q4</f>
        <v>93.8517179023508</v>
      </c>
      <c r="AO4" s="0" t="n">
        <f aca="false">AB4*100/$Q4</f>
        <v>6.14828209764919</v>
      </c>
      <c r="AP4" s="0" t="n">
        <f aca="false">AC4*100/$R4</f>
        <v>85.82995951417</v>
      </c>
      <c r="AQ4" s="0" t="n">
        <f aca="false">AD4*100/$R4</f>
        <v>14.17004048583</v>
      </c>
      <c r="AR4" s="0" t="n">
        <f aca="false">AE4*100/$S4</f>
        <v>68.7600644122383</v>
      </c>
      <c r="AS4" s="0" t="n">
        <f aca="false">AF4*100/$S4</f>
        <v>2.41545893719807</v>
      </c>
      <c r="AT4" s="0" t="n">
        <f aca="false">AG4*100/$S4</f>
        <v>25.1207729468599</v>
      </c>
      <c r="AU4" s="0" t="n">
        <f aca="false">AH4*100/$S4</f>
        <v>3.7037037037037</v>
      </c>
      <c r="AV4" s="0" t="n">
        <f aca="false">AI4*100/$T4</f>
        <v>80.3519061583578</v>
      </c>
      <c r="AW4" s="0" t="n">
        <f aca="false">AJ4*100/$T4</f>
        <v>4.39882697947214</v>
      </c>
      <c r="AX4" s="0" t="n">
        <f aca="false">AK4*100/$T4</f>
        <v>14.6627565982405</v>
      </c>
      <c r="AY4" s="0" t="n">
        <f aca="false">AL4*100/$T4</f>
        <v>0.586510263929619</v>
      </c>
      <c r="BB4" s="0" t="n">
        <f aca="false">AN4*V4/100</f>
        <v>908.25</v>
      </c>
      <c r="BC4" s="0" t="n">
        <f aca="false">AO4*$V4/100</f>
        <v>59.5</v>
      </c>
      <c r="BD4" s="0" t="n">
        <f aca="false">AP4*$W4/100</f>
        <v>470.64</v>
      </c>
      <c r="BE4" s="0" t="n">
        <f aca="false">AQ4*$W4/100</f>
        <v>77.7</v>
      </c>
      <c r="BF4" s="0" t="n">
        <f aca="false">AR4*$X4/100</f>
        <v>473.97</v>
      </c>
      <c r="BG4" s="0" t="n">
        <f aca="false">AS4*$X4/100</f>
        <v>16.65</v>
      </c>
      <c r="BH4" s="0" t="n">
        <f aca="false">AT4*$X4/100</f>
        <v>173.16</v>
      </c>
      <c r="BI4" s="0" t="n">
        <f aca="false">AU4*$X4/100</f>
        <v>25.53</v>
      </c>
      <c r="BJ4" s="0" t="n">
        <f aca="false">AV4*$Y4/100</f>
        <v>304.14</v>
      </c>
      <c r="BK4" s="0" t="n">
        <f aca="false">AW4*$Y4/100</f>
        <v>16.65</v>
      </c>
      <c r="BL4" s="0" t="n">
        <f aca="false">AX4*$Y4/100</f>
        <v>55.5</v>
      </c>
      <c r="BM4" s="0" t="n">
        <f aca="false">AY4*$Y4/100</f>
        <v>2.22</v>
      </c>
      <c r="BO4" s="0" t="n">
        <f aca="false">com.sun.star.sheet.addin.Analysis.getMround(BB4,2)</f>
        <v>908</v>
      </c>
      <c r="BP4" s="0" t="n">
        <f aca="false">com.sun.star.sheet.addin.Analysis.getMround(BC4,2)</f>
        <v>60</v>
      </c>
      <c r="BQ4" s="0" t="n">
        <f aca="false">com.sun.star.sheet.addin.Analysis.getMround(BD4,2)</f>
        <v>470</v>
      </c>
      <c r="BR4" s="0" t="n">
        <f aca="false">com.sun.star.sheet.addin.Analysis.getMround(BE4,2)</f>
        <v>78</v>
      </c>
      <c r="BS4" s="0" t="n">
        <f aca="false">com.sun.star.sheet.addin.Analysis.getMround(BF4,2)</f>
        <v>474</v>
      </c>
      <c r="BT4" s="0" t="n">
        <f aca="false">com.sun.star.sheet.addin.Analysis.getMround(BG4,2)</f>
        <v>16</v>
      </c>
      <c r="BU4" s="0" t="n">
        <f aca="false">com.sun.star.sheet.addin.Analysis.getMround(BH4,2)</f>
        <v>174</v>
      </c>
      <c r="BV4" s="0" t="n">
        <f aca="false">com.sun.star.sheet.addin.Analysis.getMround(BI4,2)</f>
        <v>26</v>
      </c>
      <c r="BW4" s="0" t="n">
        <f aca="false">com.sun.star.sheet.addin.Analysis.getMround(BJ4,2)</f>
        <v>304</v>
      </c>
      <c r="BX4" s="0" t="n">
        <f aca="false">com.sun.star.sheet.addin.Analysis.getMround(BK4,2)</f>
        <v>16</v>
      </c>
      <c r="BY4" s="0" t="n">
        <f aca="false">com.sun.star.sheet.addin.Analysis.getMround(BL4,2)</f>
        <v>56</v>
      </c>
      <c r="BZ4" s="0" t="n">
        <f aca="false">com.sun.star.sheet.addin.Analysis.getMround(BM4,2)</f>
        <v>2</v>
      </c>
    </row>
    <row r="5" customFormat="false" ht="12.8" hidden="false" customHeight="false" outlineLevel="0" collapsed="false">
      <c r="Q5" s="0" t="n">
        <f aca="false">SUM(Vehiculos!P5:Q5)</f>
        <v>542</v>
      </c>
      <c r="R5" s="0" t="n">
        <f aca="false">SUM(Vehiculos!R5:S5)</f>
        <v>518</v>
      </c>
      <c r="S5" s="0" t="n">
        <f aca="false">SUM(Vehiculos!T5:W5)</f>
        <v>651</v>
      </c>
      <c r="T5" s="0" t="n">
        <f aca="false">SUM(Vehiculos!X5:AA5)</f>
        <v>399</v>
      </c>
      <c r="V5" s="0" t="n">
        <f aca="false">175*Q5/100</f>
        <v>948.5</v>
      </c>
      <c r="W5" s="0" t="n">
        <f aca="false">111*R5/100</f>
        <v>574.98</v>
      </c>
      <c r="X5" s="0" t="n">
        <f aca="false">111*S5/100</f>
        <v>722.61</v>
      </c>
      <c r="Y5" s="0" t="n">
        <f aca="false">111*T5/100</f>
        <v>442.89</v>
      </c>
      <c r="AA5" s="0" t="n">
        <v>511</v>
      </c>
      <c r="AB5" s="0" t="n">
        <v>31</v>
      </c>
      <c r="AC5" s="0" t="n">
        <v>469</v>
      </c>
      <c r="AD5" s="0" t="n">
        <v>49</v>
      </c>
      <c r="AE5" s="0" t="n">
        <v>438</v>
      </c>
      <c r="AF5" s="0" t="n">
        <v>11</v>
      </c>
      <c r="AG5" s="0" t="n">
        <v>181</v>
      </c>
      <c r="AH5" s="0" t="n">
        <v>21</v>
      </c>
      <c r="AI5" s="0" t="n">
        <v>307</v>
      </c>
      <c r="AJ5" s="0" t="n">
        <v>13</v>
      </c>
      <c r="AK5" s="0" t="n">
        <v>77</v>
      </c>
      <c r="AL5" s="0" t="n">
        <v>2</v>
      </c>
      <c r="AN5" s="0" t="n">
        <f aca="false">AA5*100/$Q5</f>
        <v>94.2804428044281</v>
      </c>
      <c r="AO5" s="0" t="n">
        <f aca="false">AB5*100/$Q5</f>
        <v>5.71955719557196</v>
      </c>
      <c r="AP5" s="0" t="n">
        <f aca="false">AC5*100/$R5</f>
        <v>90.5405405405405</v>
      </c>
      <c r="AQ5" s="0" t="n">
        <f aca="false">AD5*100/$R5</f>
        <v>9.45945945945946</v>
      </c>
      <c r="AR5" s="0" t="n">
        <f aca="false">AE5*100/$S5</f>
        <v>67.2811059907834</v>
      </c>
      <c r="AS5" s="0" t="n">
        <f aca="false">AF5*100/$S5</f>
        <v>1.68970814132104</v>
      </c>
      <c r="AT5" s="0" t="n">
        <f aca="false">AG5*100/$S5</f>
        <v>27.8033794162826</v>
      </c>
      <c r="AU5" s="0" t="n">
        <f aca="false">AH5*100/$S5</f>
        <v>3.2258064516129</v>
      </c>
      <c r="AV5" s="0" t="n">
        <f aca="false">AI5*100/$T5</f>
        <v>76.9423558897243</v>
      </c>
      <c r="AW5" s="0" t="n">
        <f aca="false">AJ5*100/$T5</f>
        <v>3.25814536340852</v>
      </c>
      <c r="AX5" s="0" t="n">
        <f aca="false">AK5*100/$T5</f>
        <v>19.2982456140351</v>
      </c>
      <c r="AY5" s="0" t="n">
        <f aca="false">AL5*100/$T5</f>
        <v>0.50125313283208</v>
      </c>
      <c r="BB5" s="0" t="n">
        <f aca="false">AN5*V5/100</f>
        <v>894.250000000001</v>
      </c>
      <c r="BC5" s="0" t="n">
        <f aca="false">AO5*$V5/100</f>
        <v>54.25</v>
      </c>
      <c r="BD5" s="0" t="n">
        <f aca="false">AP5*$W5/100</f>
        <v>520.59</v>
      </c>
      <c r="BE5" s="0" t="n">
        <f aca="false">AQ5*$W5/100</f>
        <v>54.39</v>
      </c>
      <c r="BF5" s="0" t="n">
        <f aca="false">AR5*$X5/100</f>
        <v>486.18</v>
      </c>
      <c r="BG5" s="0" t="n">
        <f aca="false">AS5*$X5/100</f>
        <v>12.21</v>
      </c>
      <c r="BH5" s="0" t="n">
        <f aca="false">AT5*$X5/100</f>
        <v>200.91</v>
      </c>
      <c r="BI5" s="0" t="n">
        <f aca="false">AU5*$X5/100</f>
        <v>23.31</v>
      </c>
      <c r="BJ5" s="0" t="n">
        <f aca="false">AV5*$Y5/100</f>
        <v>340.77</v>
      </c>
      <c r="BK5" s="0" t="n">
        <f aca="false">AW5*$Y5/100</f>
        <v>14.43</v>
      </c>
      <c r="BL5" s="0" t="n">
        <f aca="false">AX5*$Y5/100</f>
        <v>85.47</v>
      </c>
      <c r="BM5" s="0" t="n">
        <f aca="false">AY5*$Y5/100</f>
        <v>2.22</v>
      </c>
      <c r="BO5" s="0" t="n">
        <f aca="false">com.sun.star.sheet.addin.Analysis.getMround(BB5,2)</f>
        <v>894</v>
      </c>
      <c r="BP5" s="0" t="n">
        <f aca="false">com.sun.star.sheet.addin.Analysis.getMround(BC5,2)</f>
        <v>54</v>
      </c>
      <c r="BQ5" s="0" t="n">
        <f aca="false">com.sun.star.sheet.addin.Analysis.getMround(BD5,2)</f>
        <v>520</v>
      </c>
      <c r="BR5" s="0" t="n">
        <f aca="false">com.sun.star.sheet.addin.Analysis.getMround(BE5,2)</f>
        <v>54</v>
      </c>
      <c r="BS5" s="0" t="n">
        <f aca="false">com.sun.star.sheet.addin.Analysis.getMround(BF5,2)</f>
        <v>486</v>
      </c>
      <c r="BT5" s="0" t="n">
        <f aca="false">com.sun.star.sheet.addin.Analysis.getMround(BG5,2)</f>
        <v>12</v>
      </c>
      <c r="BU5" s="0" t="n">
        <f aca="false">com.sun.star.sheet.addin.Analysis.getMround(BH5,2)</f>
        <v>200</v>
      </c>
      <c r="BV5" s="0" t="n">
        <f aca="false">com.sun.star.sheet.addin.Analysis.getMround(BI5,2)</f>
        <v>24</v>
      </c>
      <c r="BW5" s="0" t="n">
        <f aca="false">com.sun.star.sheet.addin.Analysis.getMround(BJ5,2)</f>
        <v>340</v>
      </c>
      <c r="BX5" s="0" t="n">
        <f aca="false">com.sun.star.sheet.addin.Analysis.getMround(BK5,2)</f>
        <v>14</v>
      </c>
      <c r="BY5" s="0" t="n">
        <f aca="false">com.sun.star.sheet.addin.Analysis.getMround(BL5,2)</f>
        <v>86</v>
      </c>
      <c r="BZ5" s="0" t="n">
        <f aca="false">com.sun.star.sheet.addin.Analysis.getMround(BM5,2)</f>
        <v>2</v>
      </c>
    </row>
    <row r="6" customFormat="false" ht="12.8" hidden="false" customHeight="false" outlineLevel="0" collapsed="false">
      <c r="Q6" s="0" t="n">
        <f aca="false">SUM(Vehiculos!P6:Q6)</f>
        <v>565</v>
      </c>
      <c r="R6" s="0" t="n">
        <f aca="false">SUM(Vehiculos!R6:S6)</f>
        <v>506</v>
      </c>
      <c r="S6" s="0" t="n">
        <f aca="false">SUM(Vehiculos!T6:W6)</f>
        <v>616</v>
      </c>
      <c r="T6" s="0" t="n">
        <f aca="false">SUM(Vehiculos!X6:AA6)</f>
        <v>437</v>
      </c>
      <c r="V6" s="0" t="n">
        <f aca="false">175*Q6/100</f>
        <v>988.75</v>
      </c>
      <c r="W6" s="0" t="n">
        <f aca="false">111*R6/100</f>
        <v>561.66</v>
      </c>
      <c r="X6" s="0" t="n">
        <f aca="false">111*S6/100</f>
        <v>683.76</v>
      </c>
      <c r="Y6" s="0" t="n">
        <f aca="false">111*T6/100</f>
        <v>485.07</v>
      </c>
      <c r="AA6" s="0" t="n">
        <v>536</v>
      </c>
      <c r="AB6" s="0" t="n">
        <v>29</v>
      </c>
      <c r="AC6" s="0" t="n">
        <v>456</v>
      </c>
      <c r="AD6" s="0" t="n">
        <v>50</v>
      </c>
      <c r="AE6" s="0" t="n">
        <v>411</v>
      </c>
      <c r="AF6" s="0" t="n">
        <v>15</v>
      </c>
      <c r="AG6" s="0" t="n">
        <v>169</v>
      </c>
      <c r="AH6" s="0" t="n">
        <v>21</v>
      </c>
      <c r="AI6" s="0" t="n">
        <v>342</v>
      </c>
      <c r="AJ6" s="0" t="n">
        <v>15</v>
      </c>
      <c r="AK6" s="0" t="n">
        <v>77</v>
      </c>
      <c r="AL6" s="0" t="n">
        <v>3</v>
      </c>
      <c r="AN6" s="0" t="n">
        <f aca="false">AA6*100/$Q6</f>
        <v>94.8672566371682</v>
      </c>
      <c r="AO6" s="0" t="n">
        <f aca="false">AB6*100/$Q6</f>
        <v>5.13274336283186</v>
      </c>
      <c r="AP6" s="0" t="n">
        <f aca="false">AC6*100/$R6</f>
        <v>90.1185770750988</v>
      </c>
      <c r="AQ6" s="0" t="n">
        <f aca="false">AD6*100/$R6</f>
        <v>9.88142292490119</v>
      </c>
      <c r="AR6" s="0" t="n">
        <f aca="false">AE6*100/$S6</f>
        <v>66.7207792207792</v>
      </c>
      <c r="AS6" s="0" t="n">
        <f aca="false">AF6*100/$S6</f>
        <v>2.43506493506493</v>
      </c>
      <c r="AT6" s="0" t="n">
        <f aca="false">AG6*100/$S6</f>
        <v>27.4350649350649</v>
      </c>
      <c r="AU6" s="0" t="n">
        <f aca="false">AH6*100/$S6</f>
        <v>3.40909090909091</v>
      </c>
      <c r="AV6" s="0" t="n">
        <f aca="false">AI6*100/$T6</f>
        <v>78.2608695652174</v>
      </c>
      <c r="AW6" s="0" t="n">
        <f aca="false">AJ6*100/$T6</f>
        <v>3.4324942791762</v>
      </c>
      <c r="AX6" s="0" t="n">
        <f aca="false">AK6*100/$T6</f>
        <v>17.6201372997712</v>
      </c>
      <c r="AY6" s="0" t="n">
        <f aca="false">AL6*100/$T6</f>
        <v>0.68649885583524</v>
      </c>
      <c r="BB6" s="0" t="n">
        <f aca="false">AN6*V6/100</f>
        <v>938.000000000001</v>
      </c>
      <c r="BC6" s="0" t="n">
        <f aca="false">AO6*$V6/100</f>
        <v>50.75</v>
      </c>
      <c r="BD6" s="0" t="n">
        <f aca="false">AP6*$W6/100</f>
        <v>506.16</v>
      </c>
      <c r="BE6" s="0" t="n">
        <f aca="false">AQ6*$W6/100</f>
        <v>55.5</v>
      </c>
      <c r="BF6" s="0" t="n">
        <f aca="false">AR6*$X6/100</f>
        <v>456.21</v>
      </c>
      <c r="BG6" s="0" t="n">
        <f aca="false">AS6*$X6/100</f>
        <v>16.65</v>
      </c>
      <c r="BH6" s="0" t="n">
        <f aca="false">AT6*$X6/100</f>
        <v>187.59</v>
      </c>
      <c r="BI6" s="0" t="n">
        <f aca="false">AU6*$X6/100</f>
        <v>23.31</v>
      </c>
      <c r="BJ6" s="0" t="n">
        <f aca="false">AV6*$Y6/100</f>
        <v>379.62</v>
      </c>
      <c r="BK6" s="0" t="n">
        <f aca="false">AW6*$Y6/100</f>
        <v>16.65</v>
      </c>
      <c r="BL6" s="0" t="n">
        <f aca="false">AX6*$Y6/100</f>
        <v>85.47</v>
      </c>
      <c r="BM6" s="0" t="n">
        <f aca="false">AY6*$Y6/100</f>
        <v>3.33</v>
      </c>
      <c r="BO6" s="0" t="n">
        <f aca="false">com.sun.star.sheet.addin.Analysis.getMround(BB6,2)</f>
        <v>938</v>
      </c>
      <c r="BP6" s="0" t="n">
        <f aca="false">com.sun.star.sheet.addin.Analysis.getMround(BC6,2)</f>
        <v>50</v>
      </c>
      <c r="BQ6" s="0" t="n">
        <f aca="false">com.sun.star.sheet.addin.Analysis.getMround(BD6,2)</f>
        <v>506</v>
      </c>
      <c r="BR6" s="0" t="n">
        <f aca="false">com.sun.star.sheet.addin.Analysis.getMround(BE6,2)</f>
        <v>56</v>
      </c>
      <c r="BS6" s="0" t="n">
        <f aca="false">com.sun.star.sheet.addin.Analysis.getMround(BF6,2)</f>
        <v>456</v>
      </c>
      <c r="BT6" s="0" t="n">
        <f aca="false">com.sun.star.sheet.addin.Analysis.getMround(BG6,2)</f>
        <v>16</v>
      </c>
      <c r="BU6" s="0" t="n">
        <f aca="false">com.sun.star.sheet.addin.Analysis.getMround(BH6,2)</f>
        <v>188</v>
      </c>
      <c r="BV6" s="0" t="n">
        <f aca="false">com.sun.star.sheet.addin.Analysis.getMround(BI6,2)</f>
        <v>24</v>
      </c>
      <c r="BW6" s="0" t="n">
        <f aca="false">com.sun.star.sheet.addin.Analysis.getMround(BJ6,2)</f>
        <v>380</v>
      </c>
      <c r="BX6" s="0" t="n">
        <f aca="false">com.sun.star.sheet.addin.Analysis.getMround(BK6,2)</f>
        <v>16</v>
      </c>
      <c r="BY6" s="0" t="n">
        <f aca="false">com.sun.star.sheet.addin.Analysis.getMround(BL6,2)</f>
        <v>86</v>
      </c>
      <c r="BZ6" s="0" t="n">
        <f aca="false">com.sun.star.sheet.addin.Analysis.getMround(BM6,2)</f>
        <v>4</v>
      </c>
    </row>
    <row r="7" customFormat="false" ht="12.8" hidden="false" customHeight="false" outlineLevel="0" collapsed="false">
      <c r="Q7" s="0" t="n">
        <f aca="false">SUM(Vehiculos!P7:Q7)</f>
        <v>544</v>
      </c>
      <c r="R7" s="0" t="n">
        <f aca="false">SUM(Vehiculos!R7:S7)</f>
        <v>475</v>
      </c>
      <c r="S7" s="0" t="n">
        <f aca="false">SUM(Vehiculos!T7:W7)</f>
        <v>615</v>
      </c>
      <c r="T7" s="0" t="n">
        <f aca="false">SUM(Vehiculos!X7:AA7)</f>
        <v>416</v>
      </c>
      <c r="V7" s="0" t="n">
        <f aca="false">175*Q7/100</f>
        <v>952</v>
      </c>
      <c r="W7" s="0" t="n">
        <f aca="false">111*R7/100</f>
        <v>527.25</v>
      </c>
      <c r="X7" s="0" t="n">
        <f aca="false">111*S7/100</f>
        <v>682.65</v>
      </c>
      <c r="Y7" s="0" t="n">
        <f aca="false">111*T7/100</f>
        <v>461.76</v>
      </c>
      <c r="AA7" s="0" t="n">
        <v>511</v>
      </c>
      <c r="AB7" s="0" t="n">
        <v>33</v>
      </c>
      <c r="AC7" s="0" t="n">
        <v>421</v>
      </c>
      <c r="AD7" s="0" t="n">
        <v>54</v>
      </c>
      <c r="AE7" s="0" t="n">
        <v>402</v>
      </c>
      <c r="AF7" s="0" t="n">
        <v>16</v>
      </c>
      <c r="AG7" s="0" t="n">
        <v>178</v>
      </c>
      <c r="AH7" s="0" t="n">
        <v>19</v>
      </c>
      <c r="AI7" s="0" t="n">
        <v>309</v>
      </c>
      <c r="AJ7" s="0" t="n">
        <v>15</v>
      </c>
      <c r="AK7" s="0" t="n">
        <v>90</v>
      </c>
      <c r="AL7" s="0" t="n">
        <v>2</v>
      </c>
      <c r="AN7" s="0" t="n">
        <f aca="false">AA7*100/$Q7</f>
        <v>93.9338235294118</v>
      </c>
      <c r="AO7" s="0" t="n">
        <f aca="false">AB7*100/$Q7</f>
        <v>6.06617647058824</v>
      </c>
      <c r="AP7" s="0" t="n">
        <f aca="false">AC7*100/$R7</f>
        <v>88.6315789473684</v>
      </c>
      <c r="AQ7" s="0" t="n">
        <f aca="false">AD7*100/$R7</f>
        <v>11.3684210526316</v>
      </c>
      <c r="AR7" s="0" t="n">
        <f aca="false">AE7*100/$S7</f>
        <v>65.3658536585366</v>
      </c>
      <c r="AS7" s="0" t="n">
        <f aca="false">AF7*100/$S7</f>
        <v>2.60162601626016</v>
      </c>
      <c r="AT7" s="0" t="n">
        <f aca="false">AG7*100/$S7</f>
        <v>28.9430894308943</v>
      </c>
      <c r="AU7" s="0" t="n">
        <f aca="false">AH7*100/$S7</f>
        <v>3.08943089430894</v>
      </c>
      <c r="AV7" s="0" t="n">
        <f aca="false">AI7*100/$T7</f>
        <v>74.2788461538462</v>
      </c>
      <c r="AW7" s="0" t="n">
        <f aca="false">AJ7*100/$T7</f>
        <v>3.60576923076923</v>
      </c>
      <c r="AX7" s="0" t="n">
        <f aca="false">AK7*100/$T7</f>
        <v>21.6346153846154</v>
      </c>
      <c r="AY7" s="0" t="n">
        <f aca="false">AL7*100/$T7</f>
        <v>0.480769230769231</v>
      </c>
      <c r="BB7" s="0" t="n">
        <f aca="false">AN7*V7/100</f>
        <v>894.25</v>
      </c>
      <c r="BC7" s="0" t="n">
        <f aca="false">AO7*$V7/100</f>
        <v>57.75</v>
      </c>
      <c r="BD7" s="0" t="n">
        <f aca="false">AP7*$W7/100</f>
        <v>467.31</v>
      </c>
      <c r="BE7" s="0" t="n">
        <f aca="false">AQ7*$W7/100</f>
        <v>59.94</v>
      </c>
      <c r="BF7" s="0" t="n">
        <f aca="false">AR7*$X7/100</f>
        <v>446.22</v>
      </c>
      <c r="BG7" s="0" t="n">
        <f aca="false">AS7*$X7/100</f>
        <v>17.76</v>
      </c>
      <c r="BH7" s="0" t="n">
        <f aca="false">AT7*$X7/100</f>
        <v>197.58</v>
      </c>
      <c r="BI7" s="0" t="n">
        <f aca="false">AU7*$X7/100</f>
        <v>21.09</v>
      </c>
      <c r="BJ7" s="0" t="n">
        <f aca="false">AV7*$Y7/100</f>
        <v>342.99</v>
      </c>
      <c r="BK7" s="0" t="n">
        <f aca="false">AW7*$Y7/100</f>
        <v>16.65</v>
      </c>
      <c r="BL7" s="0" t="n">
        <f aca="false">AX7*$Y7/100</f>
        <v>99.9</v>
      </c>
      <c r="BM7" s="0" t="n">
        <f aca="false">AY7*$Y7/100</f>
        <v>2.22</v>
      </c>
      <c r="BO7" s="0" t="n">
        <f aca="false">com.sun.star.sheet.addin.Analysis.getMround(BB7,2)</f>
        <v>894</v>
      </c>
      <c r="BP7" s="0" t="n">
        <f aca="false">com.sun.star.sheet.addin.Analysis.getMround(BC7,2)</f>
        <v>58</v>
      </c>
      <c r="BQ7" s="0" t="n">
        <f aca="false">com.sun.star.sheet.addin.Analysis.getMround(BD7,2)</f>
        <v>468</v>
      </c>
      <c r="BR7" s="0" t="n">
        <f aca="false">com.sun.star.sheet.addin.Analysis.getMround(BE7,2)</f>
        <v>60</v>
      </c>
      <c r="BS7" s="0" t="n">
        <f aca="false">com.sun.star.sheet.addin.Analysis.getMround(BF7,2)</f>
        <v>446</v>
      </c>
      <c r="BT7" s="0" t="n">
        <f aca="false">com.sun.star.sheet.addin.Analysis.getMround(BG7,2)</f>
        <v>18</v>
      </c>
      <c r="BU7" s="0" t="n">
        <f aca="false">com.sun.star.sheet.addin.Analysis.getMround(BH7,2)</f>
        <v>198</v>
      </c>
      <c r="BV7" s="0" t="n">
        <f aca="false">com.sun.star.sheet.addin.Analysis.getMround(BI7,2)</f>
        <v>22</v>
      </c>
      <c r="BW7" s="0" t="n">
        <f aca="false">com.sun.star.sheet.addin.Analysis.getMround(BJ7,2)</f>
        <v>342</v>
      </c>
      <c r="BX7" s="0" t="n">
        <f aca="false">com.sun.star.sheet.addin.Analysis.getMround(BK7,2)</f>
        <v>16</v>
      </c>
      <c r="BY7" s="0" t="n">
        <f aca="false">com.sun.star.sheet.addin.Analysis.getMround(BL7,2)</f>
        <v>100</v>
      </c>
      <c r="BZ7" s="0" t="n">
        <f aca="false">com.sun.star.sheet.addin.Analysis.getMround(BM7,2)</f>
        <v>2</v>
      </c>
    </row>
    <row r="8" customFormat="false" ht="12.8" hidden="false" customHeight="false" outlineLevel="0" collapsed="false">
      <c r="Q8" s="0" t="n">
        <f aca="false">SUM(Vehiculos!P8:Q8)</f>
        <v>519</v>
      </c>
      <c r="R8" s="0" t="n">
        <f aca="false">SUM(Vehiculos!R8:S8)</f>
        <v>567</v>
      </c>
      <c r="S8" s="0" t="n">
        <f aca="false">SUM(Vehiculos!T8:W8)</f>
        <v>540</v>
      </c>
      <c r="T8" s="0" t="n">
        <f aca="false">SUM(Vehiculos!X8:AA8)</f>
        <v>414</v>
      </c>
      <c r="V8" s="0" t="n">
        <f aca="false">175*Q8/100</f>
        <v>908.25</v>
      </c>
      <c r="W8" s="0" t="n">
        <f aca="false">111*R8/100</f>
        <v>629.37</v>
      </c>
      <c r="X8" s="0" t="n">
        <f aca="false">111*S8/100</f>
        <v>599.4</v>
      </c>
      <c r="Y8" s="0" t="n">
        <f aca="false">111*T8/100</f>
        <v>459.54</v>
      </c>
      <c r="AA8" s="0" t="n">
        <v>486</v>
      </c>
      <c r="AB8" s="0" t="n">
        <v>33</v>
      </c>
      <c r="AC8" s="0" t="n">
        <v>492</v>
      </c>
      <c r="AD8" s="0" t="n">
        <v>75</v>
      </c>
      <c r="AE8" s="0" t="n">
        <v>486</v>
      </c>
      <c r="AF8" s="0" t="n">
        <v>13</v>
      </c>
      <c r="AG8" s="0" t="n">
        <v>17</v>
      </c>
      <c r="AH8" s="0" t="n">
        <v>24</v>
      </c>
      <c r="AI8" s="0" t="n">
        <v>304</v>
      </c>
      <c r="AJ8" s="0" t="n">
        <v>14</v>
      </c>
      <c r="AK8" s="0" t="n">
        <v>94</v>
      </c>
      <c r="AL8" s="0" t="n">
        <v>2</v>
      </c>
      <c r="AN8" s="0" t="n">
        <f aca="false">AA8*100/$Q8</f>
        <v>93.6416184971098</v>
      </c>
      <c r="AO8" s="0" t="n">
        <f aca="false">AB8*100/$Q8</f>
        <v>6.35838150289017</v>
      </c>
      <c r="AP8" s="0" t="n">
        <f aca="false">AC8*100/$R8</f>
        <v>86.7724867724868</v>
      </c>
      <c r="AQ8" s="0" t="n">
        <f aca="false">AD8*100/$R8</f>
        <v>13.2275132275132</v>
      </c>
      <c r="AR8" s="0" t="n">
        <f aca="false">AE8*100/$S8</f>
        <v>90</v>
      </c>
      <c r="AS8" s="0" t="n">
        <f aca="false">AF8*100/$S8</f>
        <v>2.40740740740741</v>
      </c>
      <c r="AT8" s="0" t="n">
        <f aca="false">AG8*100/$S8</f>
        <v>3.14814814814815</v>
      </c>
      <c r="AU8" s="0" t="n">
        <f aca="false">AH8*100/$S8</f>
        <v>4.44444444444444</v>
      </c>
      <c r="AV8" s="0" t="n">
        <f aca="false">AI8*100/$T8</f>
        <v>73.4299516908213</v>
      </c>
      <c r="AW8" s="0" t="n">
        <f aca="false">AJ8*100/$T8</f>
        <v>3.38164251207729</v>
      </c>
      <c r="AX8" s="0" t="n">
        <f aca="false">AK8*100/$T8</f>
        <v>22.7053140096618</v>
      </c>
      <c r="AY8" s="0" t="n">
        <f aca="false">AL8*100/$T8</f>
        <v>0.483091787439613</v>
      </c>
      <c r="BB8" s="0" t="n">
        <f aca="false">AN8*V8/100</f>
        <v>850.5</v>
      </c>
      <c r="BC8" s="0" t="n">
        <f aca="false">AO8*$V8/100</f>
        <v>57.75</v>
      </c>
      <c r="BD8" s="0" t="n">
        <f aca="false">AP8*$W8/100</f>
        <v>546.12</v>
      </c>
      <c r="BE8" s="0" t="n">
        <f aca="false">AQ8*$W8/100</f>
        <v>83.25</v>
      </c>
      <c r="BF8" s="0" t="n">
        <f aca="false">AR8*$X8/100</f>
        <v>539.46</v>
      </c>
      <c r="BG8" s="0" t="n">
        <f aca="false">AS8*$X8/100</f>
        <v>14.43</v>
      </c>
      <c r="BH8" s="0" t="n">
        <f aca="false">AT8*$X8/100</f>
        <v>18.87</v>
      </c>
      <c r="BI8" s="0" t="n">
        <f aca="false">AU8*$X8/100</f>
        <v>26.64</v>
      </c>
      <c r="BJ8" s="0" t="n">
        <f aca="false">AV8*$Y8/100</f>
        <v>337.44</v>
      </c>
      <c r="BK8" s="0" t="n">
        <f aca="false">AW8*$Y8/100</f>
        <v>15.54</v>
      </c>
      <c r="BL8" s="0" t="n">
        <f aca="false">AX8*$Y8/100</f>
        <v>104.34</v>
      </c>
      <c r="BM8" s="0" t="n">
        <f aca="false">AY8*$Y8/100</f>
        <v>2.22</v>
      </c>
      <c r="BO8" s="0" t="n">
        <f aca="false">com.sun.star.sheet.addin.Analysis.getMround(BB8,2)</f>
        <v>850</v>
      </c>
      <c r="BP8" s="0" t="n">
        <f aca="false">com.sun.star.sheet.addin.Analysis.getMround(BC8,2)</f>
        <v>58</v>
      </c>
      <c r="BQ8" s="0" t="n">
        <f aca="false">com.sun.star.sheet.addin.Analysis.getMround(BD8,2)</f>
        <v>546</v>
      </c>
      <c r="BR8" s="0" t="n">
        <f aca="false">com.sun.star.sheet.addin.Analysis.getMround(BE8,2)</f>
        <v>84</v>
      </c>
      <c r="BS8" s="0" t="n">
        <f aca="false">com.sun.star.sheet.addin.Analysis.getMround(BF8,2)</f>
        <v>540</v>
      </c>
      <c r="BT8" s="0" t="n">
        <f aca="false">com.sun.star.sheet.addin.Analysis.getMround(BG8,2)</f>
        <v>14</v>
      </c>
      <c r="BU8" s="0" t="n">
        <f aca="false">com.sun.star.sheet.addin.Analysis.getMround(BH8,2)</f>
        <v>18</v>
      </c>
      <c r="BV8" s="0" t="n">
        <f aca="false">com.sun.star.sheet.addin.Analysis.getMround(BI8,2)</f>
        <v>26</v>
      </c>
      <c r="BW8" s="0" t="n">
        <f aca="false">com.sun.star.sheet.addin.Analysis.getMround(BJ8,2)</f>
        <v>338</v>
      </c>
      <c r="BX8" s="0" t="n">
        <f aca="false">com.sun.star.sheet.addin.Analysis.getMround(BK8,2)</f>
        <v>16</v>
      </c>
      <c r="BY8" s="0" t="n">
        <f aca="false">com.sun.star.sheet.addin.Analysis.getMround(BL8,2)</f>
        <v>104</v>
      </c>
      <c r="BZ8" s="0" t="n">
        <f aca="false">com.sun.star.sheet.addin.Analysis.getMround(BM8,2)</f>
        <v>2</v>
      </c>
    </row>
    <row r="9" customFormat="false" ht="12.8" hidden="false" customHeight="false" outlineLevel="0" collapsed="false">
      <c r="Q9" s="0" t="n">
        <f aca="false">SUM(Vehiculos!P9:Q9)</f>
        <v>422</v>
      </c>
      <c r="R9" s="0" t="n">
        <f aca="false">SUM(Vehiculos!R9:S9)</f>
        <v>509</v>
      </c>
      <c r="S9" s="0" t="n">
        <f aca="false">SUM(Vehiculos!T9:W9)</f>
        <v>567</v>
      </c>
      <c r="T9" s="0" t="n">
        <f aca="false">SUM(Vehiculos!X9:AA9)</f>
        <v>394</v>
      </c>
      <c r="V9" s="0" t="n">
        <f aca="false">175*Q9/100</f>
        <v>738.5</v>
      </c>
      <c r="W9" s="0" t="n">
        <f aca="false">111*R9/100</f>
        <v>564.99</v>
      </c>
      <c r="X9" s="0" t="n">
        <f aca="false">111*S9/100</f>
        <v>629.37</v>
      </c>
      <c r="Y9" s="0" t="n">
        <f aca="false">111*T9/100</f>
        <v>437.34</v>
      </c>
      <c r="AA9" s="0" t="n">
        <v>391</v>
      </c>
      <c r="AB9" s="0" t="n">
        <v>31</v>
      </c>
      <c r="AC9" s="0" t="n">
        <v>441</v>
      </c>
      <c r="AD9" s="0" t="n">
        <v>68</v>
      </c>
      <c r="AE9" s="0" t="n">
        <v>420</v>
      </c>
      <c r="AF9" s="0" t="n">
        <v>13</v>
      </c>
      <c r="AG9" s="0" t="n">
        <v>105</v>
      </c>
      <c r="AH9" s="0" t="n">
        <v>29</v>
      </c>
      <c r="AI9" s="0" t="n">
        <v>294</v>
      </c>
      <c r="AJ9" s="0" t="n">
        <v>14</v>
      </c>
      <c r="AK9" s="0" t="n">
        <v>83</v>
      </c>
      <c r="AL9" s="0" t="n">
        <v>3</v>
      </c>
      <c r="AN9" s="0" t="n">
        <f aca="false">AA9*100/$Q9</f>
        <v>92.654028436019</v>
      </c>
      <c r="AO9" s="0" t="n">
        <f aca="false">AB9*100/$Q9</f>
        <v>7.34597156398104</v>
      </c>
      <c r="AP9" s="0" t="n">
        <f aca="false">AC9*100/$R9</f>
        <v>86.6404715127701</v>
      </c>
      <c r="AQ9" s="0" t="n">
        <f aca="false">AD9*100/$R9</f>
        <v>13.3595284872299</v>
      </c>
      <c r="AR9" s="0" t="n">
        <f aca="false">AE9*100/$S9</f>
        <v>74.0740740740741</v>
      </c>
      <c r="AS9" s="0" t="n">
        <f aca="false">AF9*100/$S9</f>
        <v>2.29276895943563</v>
      </c>
      <c r="AT9" s="0" t="n">
        <f aca="false">AG9*100/$S9</f>
        <v>18.5185185185185</v>
      </c>
      <c r="AU9" s="0" t="n">
        <f aca="false">AH9*100/$S9</f>
        <v>5.11463844797178</v>
      </c>
      <c r="AV9" s="0" t="n">
        <f aca="false">AI9*100/$T9</f>
        <v>74.6192893401015</v>
      </c>
      <c r="AW9" s="0" t="n">
        <f aca="false">AJ9*100/$T9</f>
        <v>3.55329949238579</v>
      </c>
      <c r="AX9" s="0" t="n">
        <f aca="false">AK9*100/$T9</f>
        <v>21.0659898477157</v>
      </c>
      <c r="AY9" s="0" t="n">
        <f aca="false">AL9*100/$T9</f>
        <v>0.761421319796954</v>
      </c>
      <c r="BB9" s="0" t="n">
        <f aca="false">AN9*V9/100</f>
        <v>684.25</v>
      </c>
      <c r="BC9" s="0" t="n">
        <f aca="false">AO9*$V9/100</f>
        <v>54.25</v>
      </c>
      <c r="BD9" s="0" t="n">
        <f aca="false">AP9*$W9/100</f>
        <v>489.51</v>
      </c>
      <c r="BE9" s="0" t="n">
        <f aca="false">AQ9*$W9/100</f>
        <v>75.48</v>
      </c>
      <c r="BF9" s="0" t="n">
        <f aca="false">AR9*$X9/100</f>
        <v>466.2</v>
      </c>
      <c r="BG9" s="0" t="n">
        <f aca="false">AS9*$X9/100</f>
        <v>14.43</v>
      </c>
      <c r="BH9" s="0" t="n">
        <f aca="false">AT9*$X9/100</f>
        <v>116.55</v>
      </c>
      <c r="BI9" s="0" t="n">
        <f aca="false">AU9*$X9/100</f>
        <v>32.19</v>
      </c>
      <c r="BJ9" s="0" t="n">
        <f aca="false">AV9*$Y9/100</f>
        <v>326.34</v>
      </c>
      <c r="BK9" s="0" t="n">
        <f aca="false">AW9*$Y9/100</f>
        <v>15.54</v>
      </c>
      <c r="BL9" s="0" t="n">
        <f aca="false">AX9*$Y9/100</f>
        <v>92.13</v>
      </c>
      <c r="BM9" s="0" t="n">
        <f aca="false">AY9*$Y9/100</f>
        <v>3.33</v>
      </c>
      <c r="BO9" s="0" t="n">
        <f aca="false">com.sun.star.sheet.addin.Analysis.getMround(BB9,2)</f>
        <v>684</v>
      </c>
      <c r="BP9" s="0" t="n">
        <f aca="false">com.sun.star.sheet.addin.Analysis.getMround(BC9,2)</f>
        <v>54</v>
      </c>
      <c r="BQ9" s="0" t="n">
        <f aca="false">com.sun.star.sheet.addin.Analysis.getMround(BD9,2)</f>
        <v>490</v>
      </c>
      <c r="BR9" s="0" t="n">
        <f aca="false">com.sun.star.sheet.addin.Analysis.getMround(BE9,2)</f>
        <v>76</v>
      </c>
      <c r="BS9" s="0" t="n">
        <f aca="false">com.sun.star.sheet.addin.Analysis.getMround(BF9,2)</f>
        <v>466</v>
      </c>
      <c r="BT9" s="0" t="n">
        <f aca="false">com.sun.star.sheet.addin.Analysis.getMround(BG9,2)</f>
        <v>14</v>
      </c>
      <c r="BU9" s="0" t="n">
        <f aca="false">com.sun.star.sheet.addin.Analysis.getMround(BH9,2)</f>
        <v>116</v>
      </c>
      <c r="BV9" s="0" t="n">
        <f aca="false">com.sun.star.sheet.addin.Analysis.getMround(BI9,2)</f>
        <v>32</v>
      </c>
      <c r="BW9" s="0" t="n">
        <f aca="false">com.sun.star.sheet.addin.Analysis.getMround(BJ9,2)</f>
        <v>326</v>
      </c>
      <c r="BX9" s="0" t="n">
        <f aca="false">com.sun.star.sheet.addin.Analysis.getMround(BK9,2)</f>
        <v>16</v>
      </c>
      <c r="BY9" s="0" t="n">
        <f aca="false">com.sun.star.sheet.addin.Analysis.getMround(BL9,2)</f>
        <v>92</v>
      </c>
      <c r="BZ9" s="0" t="n">
        <f aca="false">com.sun.star.sheet.addin.Analysis.getMround(BM9,2)</f>
        <v>4</v>
      </c>
    </row>
    <row r="10" customFormat="false" ht="12.8" hidden="false" customHeight="false" outlineLevel="0" collapsed="false">
      <c r="Q10" s="0" t="n">
        <f aca="false">SUM(Vehiculos!P10:Q10)</f>
        <v>457</v>
      </c>
      <c r="R10" s="0" t="n">
        <f aca="false">SUM(Vehiculos!R10:S10)</f>
        <v>458</v>
      </c>
      <c r="S10" s="0" t="n">
        <f aca="false">SUM(Vehiculos!T10:W10)</f>
        <v>627</v>
      </c>
      <c r="T10" s="0" t="n">
        <f aca="false">SUM(Vehiculos!X10:AA10)</f>
        <v>332</v>
      </c>
      <c r="V10" s="0" t="n">
        <f aca="false">175*Q10/100</f>
        <v>799.75</v>
      </c>
      <c r="W10" s="0" t="n">
        <f aca="false">111*R10/100</f>
        <v>508.38</v>
      </c>
      <c r="X10" s="0" t="n">
        <f aca="false">111*S10/100</f>
        <v>695.97</v>
      </c>
      <c r="Y10" s="0" t="n">
        <f aca="false">111*T10/100</f>
        <v>368.52</v>
      </c>
      <c r="AA10" s="0" t="n">
        <v>425</v>
      </c>
      <c r="AB10" s="0" t="n">
        <v>32</v>
      </c>
      <c r="AC10" s="0" t="n">
        <v>396</v>
      </c>
      <c r="AD10" s="0" t="n">
        <v>62</v>
      </c>
      <c r="AE10" s="0" t="n">
        <v>466</v>
      </c>
      <c r="AF10" s="0" t="n">
        <v>14</v>
      </c>
      <c r="AG10" s="0" t="n">
        <v>125</v>
      </c>
      <c r="AH10" s="0" t="n">
        <v>22</v>
      </c>
      <c r="AI10" s="0" t="n">
        <v>245</v>
      </c>
      <c r="AJ10" s="0" t="n">
        <v>13</v>
      </c>
      <c r="AK10" s="0" t="n">
        <v>72</v>
      </c>
      <c r="AL10" s="0" t="n">
        <v>2</v>
      </c>
      <c r="AN10" s="0" t="n">
        <f aca="false">AA10*100/$Q10</f>
        <v>92.9978118161926</v>
      </c>
      <c r="AO10" s="0" t="n">
        <f aca="false">AB10*100/$Q10</f>
        <v>7.00218818380744</v>
      </c>
      <c r="AP10" s="0" t="n">
        <f aca="false">AC10*100/$R10</f>
        <v>86.4628820960699</v>
      </c>
      <c r="AQ10" s="0" t="n">
        <f aca="false">AD10*100/$R10</f>
        <v>13.5371179039301</v>
      </c>
      <c r="AR10" s="0" t="n">
        <f aca="false">AE10*100/$S10</f>
        <v>74.3221690590112</v>
      </c>
      <c r="AS10" s="0" t="n">
        <f aca="false">AF10*100/$S10</f>
        <v>2.23285486443381</v>
      </c>
      <c r="AT10" s="0" t="n">
        <f aca="false">AG10*100/$S10</f>
        <v>19.9362041467305</v>
      </c>
      <c r="AU10" s="0" t="n">
        <f aca="false">AH10*100/$S10</f>
        <v>3.50877192982456</v>
      </c>
      <c r="AV10" s="0" t="n">
        <f aca="false">AI10*100/$T10</f>
        <v>73.7951807228916</v>
      </c>
      <c r="AW10" s="0" t="n">
        <f aca="false">AJ10*100/$T10</f>
        <v>3.91566265060241</v>
      </c>
      <c r="AX10" s="0" t="n">
        <f aca="false">AK10*100/$T10</f>
        <v>21.6867469879518</v>
      </c>
      <c r="AY10" s="0" t="n">
        <f aca="false">AL10*100/$T10</f>
        <v>0.602409638554217</v>
      </c>
      <c r="BB10" s="0" t="n">
        <f aca="false">AN10*V10/100</f>
        <v>743.75</v>
      </c>
      <c r="BC10" s="0" t="n">
        <f aca="false">AO10*$V10/100</f>
        <v>56</v>
      </c>
      <c r="BD10" s="0" t="n">
        <f aca="false">AP10*$W10/100</f>
        <v>439.56</v>
      </c>
      <c r="BE10" s="0" t="n">
        <f aca="false">AQ10*$W10/100</f>
        <v>68.82</v>
      </c>
      <c r="BF10" s="0" t="n">
        <f aca="false">AR10*$X10/100</f>
        <v>517.26</v>
      </c>
      <c r="BG10" s="0" t="n">
        <f aca="false">AS10*$X10/100</f>
        <v>15.54</v>
      </c>
      <c r="BH10" s="0" t="n">
        <f aca="false">AT10*$X10/100</f>
        <v>138.75</v>
      </c>
      <c r="BI10" s="0" t="n">
        <f aca="false">AU10*$X10/100</f>
        <v>24.42</v>
      </c>
      <c r="BJ10" s="0" t="n">
        <f aca="false">AV10*$Y10/100</f>
        <v>271.95</v>
      </c>
      <c r="BK10" s="0" t="n">
        <f aca="false">AW10*$Y10/100</f>
        <v>14.43</v>
      </c>
      <c r="BL10" s="0" t="n">
        <f aca="false">AX10*$Y10/100</f>
        <v>79.92</v>
      </c>
      <c r="BM10" s="0" t="n">
        <f aca="false">AY10*$Y10/100</f>
        <v>2.22</v>
      </c>
      <c r="BO10" s="0" t="n">
        <f aca="false">com.sun.star.sheet.addin.Analysis.getMround(BB10,2)</f>
        <v>744</v>
      </c>
      <c r="BP10" s="0" t="n">
        <f aca="false">com.sun.star.sheet.addin.Analysis.getMround(BC10,2)</f>
        <v>56</v>
      </c>
      <c r="BQ10" s="0" t="n">
        <f aca="false">com.sun.star.sheet.addin.Analysis.getMround(BD10,2)</f>
        <v>440</v>
      </c>
      <c r="BR10" s="0" t="n">
        <f aca="false">com.sun.star.sheet.addin.Analysis.getMround(BE10,2)</f>
        <v>68</v>
      </c>
      <c r="BS10" s="0" t="n">
        <f aca="false">com.sun.star.sheet.addin.Analysis.getMround(BF10,2)</f>
        <v>518</v>
      </c>
      <c r="BT10" s="0" t="n">
        <f aca="false">com.sun.star.sheet.addin.Analysis.getMround(BG10,2)</f>
        <v>16</v>
      </c>
      <c r="BU10" s="0" t="n">
        <f aca="false">com.sun.star.sheet.addin.Analysis.getMround(BH10,2)</f>
        <v>138</v>
      </c>
      <c r="BV10" s="0" t="n">
        <f aca="false">com.sun.star.sheet.addin.Analysis.getMround(BI10,2)</f>
        <v>24</v>
      </c>
      <c r="BW10" s="0" t="n">
        <f aca="false">com.sun.star.sheet.addin.Analysis.getMround(BJ10,2)</f>
        <v>272</v>
      </c>
      <c r="BX10" s="0" t="n">
        <f aca="false">com.sun.star.sheet.addin.Analysis.getMround(BK10,2)</f>
        <v>14</v>
      </c>
      <c r="BY10" s="0" t="n">
        <f aca="false">com.sun.star.sheet.addin.Analysis.getMround(BL10,2)</f>
        <v>80</v>
      </c>
      <c r="BZ10" s="0" t="n">
        <f aca="false">com.sun.star.sheet.addin.Analysis.getMround(BM10,2)</f>
        <v>2</v>
      </c>
    </row>
    <row r="11" customFormat="false" ht="12.8" hidden="false" customHeight="false" outlineLevel="0" collapsed="false">
      <c r="Q11" s="0" t="n">
        <f aca="false">SUM(Vehiculos!P11:Q11)</f>
        <v>539</v>
      </c>
      <c r="R11" s="0" t="n">
        <f aca="false">SUM(Vehiculos!R11:S11)</f>
        <v>466</v>
      </c>
      <c r="S11" s="0" t="n">
        <f aca="false">SUM(Vehiculos!T11:W11)</f>
        <v>715</v>
      </c>
      <c r="T11" s="0" t="n">
        <f aca="false">SUM(Vehiculos!X11:AA11)</f>
        <v>364</v>
      </c>
      <c r="V11" s="0" t="n">
        <f aca="false">175*Q11/100</f>
        <v>943.25</v>
      </c>
      <c r="W11" s="0" t="n">
        <f aca="false">111*R11/100</f>
        <v>517.26</v>
      </c>
      <c r="X11" s="0" t="n">
        <f aca="false">111*S11/100</f>
        <v>793.65</v>
      </c>
      <c r="Y11" s="0" t="n">
        <f aca="false">111*T11/100</f>
        <v>404.04</v>
      </c>
      <c r="AA11" s="0" t="n">
        <v>509</v>
      </c>
      <c r="AB11" s="0" t="n">
        <v>30</v>
      </c>
      <c r="AC11" s="0" t="n">
        <v>400</v>
      </c>
      <c r="AD11" s="0" t="n">
        <v>66</v>
      </c>
      <c r="AE11" s="0" t="n">
        <v>537</v>
      </c>
      <c r="AF11" s="0" t="n">
        <v>13</v>
      </c>
      <c r="AG11" s="0" t="n">
        <v>143</v>
      </c>
      <c r="AH11" s="0" t="n">
        <v>22</v>
      </c>
      <c r="AI11" s="0" t="n">
        <v>261</v>
      </c>
      <c r="AJ11" s="0" t="n">
        <v>15</v>
      </c>
      <c r="AK11" s="0" t="n">
        <v>86</v>
      </c>
      <c r="AL11" s="0" t="n">
        <v>2</v>
      </c>
      <c r="AN11" s="0" t="n">
        <f aca="false">AA11*100/$Q11</f>
        <v>94.4341372912801</v>
      </c>
      <c r="AO11" s="0" t="n">
        <f aca="false">AB11*100/$Q11</f>
        <v>5.56586270871985</v>
      </c>
      <c r="AP11" s="0" t="n">
        <f aca="false">AC11*100/$R11</f>
        <v>85.8369098712446</v>
      </c>
      <c r="AQ11" s="0" t="n">
        <f aca="false">AD11*100/$R11</f>
        <v>14.1630901287554</v>
      </c>
      <c r="AR11" s="0" t="n">
        <f aca="false">AE11*100/$S11</f>
        <v>75.1048951048951</v>
      </c>
      <c r="AS11" s="0" t="n">
        <f aca="false">AF11*100/$S11</f>
        <v>1.81818181818182</v>
      </c>
      <c r="AT11" s="0" t="n">
        <f aca="false">AG11*100/$S11</f>
        <v>20</v>
      </c>
      <c r="AU11" s="0" t="n">
        <f aca="false">AH11*100/$S11</f>
        <v>3.07692307692308</v>
      </c>
      <c r="AV11" s="0" t="n">
        <f aca="false">AI11*100/$T11</f>
        <v>71.7032967032967</v>
      </c>
      <c r="AW11" s="0" t="n">
        <f aca="false">AJ11*100/$T11</f>
        <v>4.12087912087912</v>
      </c>
      <c r="AX11" s="0" t="n">
        <f aca="false">AK11*100/$T11</f>
        <v>23.6263736263736</v>
      </c>
      <c r="AY11" s="0" t="n">
        <f aca="false">AL11*100/$T11</f>
        <v>0.549450549450549</v>
      </c>
      <c r="BB11" s="0" t="n">
        <f aca="false">AN11*V11/100</f>
        <v>890.75</v>
      </c>
      <c r="BC11" s="0" t="n">
        <f aca="false">AO11*$V11/100</f>
        <v>52.5</v>
      </c>
      <c r="BD11" s="0" t="n">
        <f aca="false">AP11*$W11/100</f>
        <v>444</v>
      </c>
      <c r="BE11" s="0" t="n">
        <f aca="false">AQ11*$W11/100</f>
        <v>73.26</v>
      </c>
      <c r="BF11" s="0" t="n">
        <f aca="false">AR11*$X11/100</f>
        <v>596.07</v>
      </c>
      <c r="BG11" s="0" t="n">
        <f aca="false">AS11*$X11/100</f>
        <v>14.43</v>
      </c>
      <c r="BH11" s="0" t="n">
        <f aca="false">AT11*$X11/100</f>
        <v>158.73</v>
      </c>
      <c r="BI11" s="0" t="n">
        <f aca="false">AU11*$X11/100</f>
        <v>24.42</v>
      </c>
      <c r="BJ11" s="0" t="n">
        <f aca="false">AV11*$Y11/100</f>
        <v>289.71</v>
      </c>
      <c r="BK11" s="0" t="n">
        <f aca="false">AW11*$Y11/100</f>
        <v>16.65</v>
      </c>
      <c r="BL11" s="0" t="n">
        <f aca="false">AX11*$Y11/100</f>
        <v>95.46</v>
      </c>
      <c r="BM11" s="0" t="n">
        <f aca="false">AY11*$Y11/100</f>
        <v>2.22</v>
      </c>
      <c r="BO11" s="0" t="n">
        <f aca="false">com.sun.star.sheet.addin.Analysis.getMround(BB11,2)</f>
        <v>890</v>
      </c>
      <c r="BP11" s="0" t="n">
        <f aca="false">com.sun.star.sheet.addin.Analysis.getMround(BC11,2)</f>
        <v>52</v>
      </c>
      <c r="BQ11" s="0" t="n">
        <f aca="false">com.sun.star.sheet.addin.Analysis.getMround(BD11,2)</f>
        <v>444</v>
      </c>
      <c r="BR11" s="0" t="n">
        <f aca="false">com.sun.star.sheet.addin.Analysis.getMround(BE11,2)</f>
        <v>74</v>
      </c>
      <c r="BS11" s="0" t="n">
        <f aca="false">com.sun.star.sheet.addin.Analysis.getMround(BF11,2)</f>
        <v>596</v>
      </c>
      <c r="BT11" s="0" t="n">
        <f aca="false">com.sun.star.sheet.addin.Analysis.getMround(BG11,2)</f>
        <v>14</v>
      </c>
      <c r="BU11" s="0" t="n">
        <f aca="false">com.sun.star.sheet.addin.Analysis.getMround(BH11,2)</f>
        <v>158</v>
      </c>
      <c r="BV11" s="0" t="n">
        <f aca="false">com.sun.star.sheet.addin.Analysis.getMround(BI11,2)</f>
        <v>24</v>
      </c>
      <c r="BW11" s="0" t="n">
        <f aca="false">com.sun.star.sheet.addin.Analysis.getMround(BJ11,2)</f>
        <v>290</v>
      </c>
      <c r="BX11" s="0" t="n">
        <f aca="false">com.sun.star.sheet.addin.Analysis.getMround(BK11,2)</f>
        <v>16</v>
      </c>
      <c r="BY11" s="0" t="n">
        <f aca="false">com.sun.star.sheet.addin.Analysis.getMround(BL11,2)</f>
        <v>96</v>
      </c>
      <c r="BZ11" s="0" t="n">
        <f aca="false">com.sun.star.sheet.addin.Analysis.getMround(BM11,2)</f>
        <v>2</v>
      </c>
    </row>
    <row r="12" customFormat="false" ht="12.8" hidden="false" customHeight="false" outlineLevel="0" collapsed="false">
      <c r="Q12" s="0" t="n">
        <f aca="false">SUM(Vehiculos!P12:Q12)</f>
        <v>549</v>
      </c>
      <c r="R12" s="0" t="n">
        <f aca="false">SUM(Vehiculos!R12:S12)</f>
        <v>494</v>
      </c>
      <c r="S12" s="0" t="n">
        <f aca="false">SUM(Vehiculos!T12:W12)</f>
        <v>703</v>
      </c>
      <c r="T12" s="0" t="n">
        <f aca="false">SUM(Vehiculos!X12:AA12)</f>
        <v>379</v>
      </c>
      <c r="V12" s="0" t="n">
        <f aca="false">175*Q12/100</f>
        <v>960.75</v>
      </c>
      <c r="W12" s="0" t="n">
        <f aca="false">111*R12/100</f>
        <v>548.34</v>
      </c>
      <c r="X12" s="0" t="n">
        <f aca="false">111*S12/100</f>
        <v>780.33</v>
      </c>
      <c r="Y12" s="0" t="n">
        <f aca="false">111*T12/100</f>
        <v>420.69</v>
      </c>
      <c r="AA12" s="0" t="n">
        <v>519</v>
      </c>
      <c r="AB12" s="0" t="n">
        <v>30</v>
      </c>
      <c r="AC12" s="0" t="n">
        <v>440</v>
      </c>
      <c r="AD12" s="0" t="n">
        <v>54</v>
      </c>
      <c r="AE12" s="0" t="n">
        <v>496</v>
      </c>
      <c r="AF12" s="0" t="n">
        <v>17</v>
      </c>
      <c r="AG12" s="0" t="n">
        <v>163</v>
      </c>
      <c r="AH12" s="0" t="n">
        <v>27</v>
      </c>
      <c r="AI12" s="0" t="n">
        <v>293</v>
      </c>
      <c r="AJ12" s="0" t="n">
        <v>14</v>
      </c>
      <c r="AK12" s="0" t="n">
        <v>69</v>
      </c>
      <c r="AL12" s="0" t="n">
        <v>3</v>
      </c>
      <c r="AN12" s="0" t="n">
        <f aca="false">AA12*100/$Q12</f>
        <v>94.5355191256831</v>
      </c>
      <c r="AO12" s="0" t="n">
        <f aca="false">AB12*100/$Q12</f>
        <v>5.46448087431694</v>
      </c>
      <c r="AP12" s="0" t="n">
        <f aca="false">AC12*100/$R12</f>
        <v>89.0688259109312</v>
      </c>
      <c r="AQ12" s="0" t="n">
        <f aca="false">AD12*100/$R12</f>
        <v>10.9311740890688</v>
      </c>
      <c r="AR12" s="0" t="n">
        <f aca="false">AE12*100/$S12</f>
        <v>70.5547652916074</v>
      </c>
      <c r="AS12" s="0" t="n">
        <f aca="false">AF12*100/$S12</f>
        <v>2.41820768136558</v>
      </c>
      <c r="AT12" s="0" t="n">
        <f aca="false">AG12*100/$S12</f>
        <v>23.1863442389758</v>
      </c>
      <c r="AU12" s="0" t="n">
        <f aca="false">AH12*100/$S12</f>
        <v>3.84068278805121</v>
      </c>
      <c r="AV12" s="0" t="n">
        <f aca="false">AI12*100/$T12</f>
        <v>77.3087071240106</v>
      </c>
      <c r="AW12" s="0" t="n">
        <f aca="false">AJ12*100/$T12</f>
        <v>3.69393139841689</v>
      </c>
      <c r="AX12" s="0" t="n">
        <f aca="false">AK12*100/$T12</f>
        <v>18.2058047493404</v>
      </c>
      <c r="AY12" s="0" t="n">
        <f aca="false">AL12*100/$T12</f>
        <v>0.79155672823219</v>
      </c>
      <c r="BB12" s="0" t="n">
        <f aca="false">AN12*V12/100</f>
        <v>908.25</v>
      </c>
      <c r="BC12" s="0" t="n">
        <f aca="false">AO12*$V12/100</f>
        <v>52.5</v>
      </c>
      <c r="BD12" s="0" t="n">
        <f aca="false">AP12*$W12/100</f>
        <v>488.4</v>
      </c>
      <c r="BE12" s="0" t="n">
        <f aca="false">AQ12*$W12/100</f>
        <v>59.94</v>
      </c>
      <c r="BF12" s="0" t="n">
        <f aca="false">AR12*$X12/100</f>
        <v>550.56</v>
      </c>
      <c r="BG12" s="0" t="n">
        <f aca="false">AS12*$X12/100</f>
        <v>18.87</v>
      </c>
      <c r="BH12" s="0" t="n">
        <f aca="false">AT12*$X12/100</f>
        <v>180.93</v>
      </c>
      <c r="BI12" s="0" t="n">
        <f aca="false">AU12*$X12/100</f>
        <v>29.97</v>
      </c>
      <c r="BJ12" s="0" t="n">
        <f aca="false">AV12*$Y12/100</f>
        <v>325.23</v>
      </c>
      <c r="BK12" s="0" t="n">
        <f aca="false">AW12*$Y12/100</f>
        <v>15.54</v>
      </c>
      <c r="BL12" s="0" t="n">
        <f aca="false">AX12*$Y12/100</f>
        <v>76.59</v>
      </c>
      <c r="BM12" s="0" t="n">
        <f aca="false">AY12*$Y12/100</f>
        <v>3.33</v>
      </c>
      <c r="BO12" s="0" t="n">
        <f aca="false">com.sun.star.sheet.addin.Analysis.getMround(BB12,2)</f>
        <v>908</v>
      </c>
      <c r="BP12" s="0" t="n">
        <f aca="false">com.sun.star.sheet.addin.Analysis.getMround(BC12,2)</f>
        <v>52</v>
      </c>
      <c r="BQ12" s="0" t="n">
        <f aca="false">com.sun.star.sheet.addin.Analysis.getMround(BD12,2)</f>
        <v>488</v>
      </c>
      <c r="BR12" s="0" t="n">
        <f aca="false">com.sun.star.sheet.addin.Analysis.getMround(BE12,2)</f>
        <v>60</v>
      </c>
      <c r="BS12" s="0" t="n">
        <f aca="false">com.sun.star.sheet.addin.Analysis.getMround(BF12,2)</f>
        <v>550</v>
      </c>
      <c r="BT12" s="0" t="n">
        <f aca="false">com.sun.star.sheet.addin.Analysis.getMround(BG12,2)</f>
        <v>18</v>
      </c>
      <c r="BU12" s="0" t="n">
        <f aca="false">com.sun.star.sheet.addin.Analysis.getMround(BH12,2)</f>
        <v>180</v>
      </c>
      <c r="BV12" s="0" t="n">
        <f aca="false">com.sun.star.sheet.addin.Analysis.getMround(BI12,2)</f>
        <v>30</v>
      </c>
      <c r="BW12" s="0" t="n">
        <f aca="false">com.sun.star.sheet.addin.Analysis.getMround(BJ12,2)</f>
        <v>326</v>
      </c>
      <c r="BX12" s="0" t="n">
        <f aca="false">com.sun.star.sheet.addin.Analysis.getMround(BK12,2)</f>
        <v>16</v>
      </c>
      <c r="BY12" s="0" t="n">
        <f aca="false">com.sun.star.sheet.addin.Analysis.getMround(BL12,2)</f>
        <v>76</v>
      </c>
      <c r="BZ12" s="0" t="n">
        <f aca="false">com.sun.star.sheet.addin.Analysis.getMround(BM12,2)</f>
        <v>4</v>
      </c>
    </row>
    <row r="13" customFormat="false" ht="12.8" hidden="false" customHeight="false" outlineLevel="0" collapsed="false">
      <c r="Q13" s="0" t="n">
        <f aca="false">SUM(Vehiculos!P13:Q13)</f>
        <v>572</v>
      </c>
      <c r="R13" s="0" t="n">
        <f aca="false">SUM(Vehiculos!R13:S13)</f>
        <v>533</v>
      </c>
      <c r="S13" s="0" t="n">
        <f aca="false">SUM(Vehiculos!T13:W13)</f>
        <v>694</v>
      </c>
      <c r="T13" s="0" t="n">
        <f aca="false">SUM(Vehiculos!X13:AA13)</f>
        <v>329</v>
      </c>
      <c r="V13" s="0" t="n">
        <f aca="false">175*Q13/100</f>
        <v>1001</v>
      </c>
      <c r="W13" s="0" t="n">
        <f aca="false">111*R13/100</f>
        <v>591.63</v>
      </c>
      <c r="X13" s="0" t="n">
        <f aca="false">111*S13/100</f>
        <v>770.34</v>
      </c>
      <c r="Y13" s="0" t="n">
        <f aca="false">111*T13/100</f>
        <v>365.19</v>
      </c>
      <c r="AA13" s="0" t="n">
        <v>541</v>
      </c>
      <c r="AB13" s="0" t="n">
        <v>31</v>
      </c>
      <c r="AC13" s="0" t="n">
        <v>485</v>
      </c>
      <c r="AD13" s="0" t="n">
        <v>48</v>
      </c>
      <c r="AE13" s="0" t="n">
        <v>487</v>
      </c>
      <c r="AF13" s="0" t="n">
        <v>12</v>
      </c>
      <c r="AG13" s="0" t="n">
        <v>170</v>
      </c>
      <c r="AH13" s="0" t="n">
        <v>25</v>
      </c>
      <c r="AI13" s="0" t="n">
        <v>283</v>
      </c>
      <c r="AJ13" s="0" t="n">
        <v>13</v>
      </c>
      <c r="AK13" s="0" t="n">
        <v>31</v>
      </c>
      <c r="AL13" s="0" t="n">
        <v>2</v>
      </c>
      <c r="AN13" s="0" t="n">
        <f aca="false">AA13*100/$Q13</f>
        <v>94.5804195804196</v>
      </c>
      <c r="AO13" s="0" t="n">
        <f aca="false">AB13*100/$Q13</f>
        <v>5.41958041958042</v>
      </c>
      <c r="AP13" s="0" t="n">
        <f aca="false">AC13*100/$R13</f>
        <v>90.9943714821764</v>
      </c>
      <c r="AQ13" s="0" t="n">
        <f aca="false">AD13*100/$R13</f>
        <v>9.00562851782364</v>
      </c>
      <c r="AR13" s="0" t="n">
        <f aca="false">AE13*100/$S13</f>
        <v>70.1729106628242</v>
      </c>
      <c r="AS13" s="0" t="n">
        <f aca="false">AF13*100/$S13</f>
        <v>1.72910662824207</v>
      </c>
      <c r="AT13" s="0" t="n">
        <f aca="false">AG13*100/$S13</f>
        <v>24.4956772334294</v>
      </c>
      <c r="AU13" s="0" t="n">
        <f aca="false">AH13*100/$S13</f>
        <v>3.60230547550432</v>
      </c>
      <c r="AV13" s="0" t="n">
        <f aca="false">AI13*100/$T13</f>
        <v>86.0182370820669</v>
      </c>
      <c r="AW13" s="0" t="n">
        <f aca="false">AJ13*100/$T13</f>
        <v>3.95136778115502</v>
      </c>
      <c r="AX13" s="0" t="n">
        <f aca="false">AK13*100/$T13</f>
        <v>9.42249240121581</v>
      </c>
      <c r="AY13" s="0" t="n">
        <f aca="false">AL13*100/$T13</f>
        <v>0.60790273556231</v>
      </c>
      <c r="BB13" s="0" t="n">
        <f aca="false">AN13*V13/100</f>
        <v>946.75</v>
      </c>
      <c r="BC13" s="0" t="n">
        <f aca="false">AO13*$V13/100</f>
        <v>54.25</v>
      </c>
      <c r="BD13" s="0" t="n">
        <f aca="false">AP13*$W13/100</f>
        <v>538.35</v>
      </c>
      <c r="BE13" s="0" t="n">
        <f aca="false">AQ13*$W13/100</f>
        <v>53.28</v>
      </c>
      <c r="BF13" s="0" t="n">
        <f aca="false">AR13*$X13/100</f>
        <v>540.57</v>
      </c>
      <c r="BG13" s="0" t="n">
        <f aca="false">AS13*$X13/100</f>
        <v>13.32</v>
      </c>
      <c r="BH13" s="0" t="n">
        <f aca="false">AT13*$X13/100</f>
        <v>188.7</v>
      </c>
      <c r="BI13" s="0" t="n">
        <f aca="false">AU13*$X13/100</f>
        <v>27.75</v>
      </c>
      <c r="BJ13" s="0" t="n">
        <f aca="false">AV13*$Y13/100</f>
        <v>314.13</v>
      </c>
      <c r="BK13" s="0" t="n">
        <f aca="false">AW13*$Y13/100</f>
        <v>14.43</v>
      </c>
      <c r="BL13" s="0" t="n">
        <f aca="false">AX13*$Y13/100</f>
        <v>34.41</v>
      </c>
      <c r="BM13" s="0" t="n">
        <f aca="false">AY13*$Y13/100</f>
        <v>2.22</v>
      </c>
      <c r="BO13" s="0" t="n">
        <f aca="false">com.sun.star.sheet.addin.Analysis.getMround(BB13,2)</f>
        <v>946</v>
      </c>
      <c r="BP13" s="0" t="n">
        <f aca="false">com.sun.star.sheet.addin.Analysis.getMround(BC13,2)</f>
        <v>54</v>
      </c>
      <c r="BQ13" s="0" t="n">
        <f aca="false">com.sun.star.sheet.addin.Analysis.getMround(BD13,2)</f>
        <v>538</v>
      </c>
      <c r="BR13" s="0" t="n">
        <f aca="false">com.sun.star.sheet.addin.Analysis.getMround(BE13,2)</f>
        <v>54</v>
      </c>
      <c r="BS13" s="0" t="n">
        <f aca="false">com.sun.star.sheet.addin.Analysis.getMround(BF13,2)</f>
        <v>540</v>
      </c>
      <c r="BT13" s="0" t="n">
        <f aca="false">com.sun.star.sheet.addin.Analysis.getMround(BG13,2)</f>
        <v>14</v>
      </c>
      <c r="BU13" s="0" t="n">
        <f aca="false">com.sun.star.sheet.addin.Analysis.getMround(BH13,2)</f>
        <v>188</v>
      </c>
      <c r="BV13" s="0" t="n">
        <f aca="false">com.sun.star.sheet.addin.Analysis.getMround(BI13,2)</f>
        <v>28</v>
      </c>
      <c r="BW13" s="0" t="n">
        <f aca="false">com.sun.star.sheet.addin.Analysis.getMround(BJ13,2)</f>
        <v>314</v>
      </c>
      <c r="BX13" s="0" t="n">
        <f aca="false">com.sun.star.sheet.addin.Analysis.getMround(BK13,2)</f>
        <v>14</v>
      </c>
      <c r="BY13" s="0" t="n">
        <f aca="false">com.sun.star.sheet.addin.Analysis.getMround(BL13,2)</f>
        <v>34</v>
      </c>
      <c r="BZ13" s="0" t="n">
        <f aca="false">com.sun.star.sheet.addin.Analysis.getMround(BM13,2)</f>
        <v>2</v>
      </c>
    </row>
    <row r="14" customFormat="false" ht="12.8" hidden="false" customHeight="false" outlineLevel="0" collapsed="false">
      <c r="Q14" s="0" t="n">
        <f aca="false">SUM(Vehiculos!P14:Q14)</f>
        <v>550</v>
      </c>
      <c r="R14" s="0" t="n">
        <f aca="false">SUM(Vehiculos!R14:S14)</f>
        <v>512</v>
      </c>
      <c r="S14" s="0" t="n">
        <f aca="false">SUM(Vehiculos!T14:W14)</f>
        <v>680</v>
      </c>
      <c r="T14" s="0" t="n">
        <f aca="false">SUM(Vehiculos!X14:AA14)</f>
        <v>370</v>
      </c>
      <c r="V14" s="0" t="n">
        <f aca="false">175*Q14/100</f>
        <v>962.5</v>
      </c>
      <c r="W14" s="0" t="n">
        <f aca="false">111*R14/100</f>
        <v>568.32</v>
      </c>
      <c r="X14" s="0" t="n">
        <f aca="false">111*S14/100</f>
        <v>754.8</v>
      </c>
      <c r="Y14" s="0" t="n">
        <f aca="false">111*T14/100</f>
        <v>410.7</v>
      </c>
      <c r="AA14" s="0" t="n">
        <v>516</v>
      </c>
      <c r="AB14" s="0" t="n">
        <v>34</v>
      </c>
      <c r="AC14" s="0" t="n">
        <v>437</v>
      </c>
      <c r="AD14" s="0" t="n">
        <v>75</v>
      </c>
      <c r="AE14" s="0" t="n">
        <v>517</v>
      </c>
      <c r="AF14" s="0" t="n">
        <v>12</v>
      </c>
      <c r="AG14" s="0" t="n">
        <v>129</v>
      </c>
      <c r="AH14" s="0" t="n">
        <v>22</v>
      </c>
      <c r="AI14" s="0" t="n">
        <v>305</v>
      </c>
      <c r="AJ14" s="0" t="n">
        <v>16</v>
      </c>
      <c r="AK14" s="0" t="n">
        <v>47</v>
      </c>
      <c r="AL14" s="0" t="n">
        <v>2</v>
      </c>
      <c r="AN14" s="0" t="n">
        <f aca="false">AA14*100/$Q14</f>
        <v>93.8181818181818</v>
      </c>
      <c r="AO14" s="0" t="n">
        <f aca="false">AB14*100/$Q14</f>
        <v>6.18181818181818</v>
      </c>
      <c r="AP14" s="0" t="n">
        <f aca="false">AC14*100/$R14</f>
        <v>85.3515625</v>
      </c>
      <c r="AQ14" s="0" t="n">
        <f aca="false">AD14*100/$R14</f>
        <v>14.6484375</v>
      </c>
      <c r="AR14" s="0" t="n">
        <f aca="false">AE14*100/$S14</f>
        <v>76.0294117647059</v>
      </c>
      <c r="AS14" s="0" t="n">
        <f aca="false">AF14*100/$S14</f>
        <v>1.76470588235294</v>
      </c>
      <c r="AT14" s="0" t="n">
        <f aca="false">AG14*100/$S14</f>
        <v>18.9705882352941</v>
      </c>
      <c r="AU14" s="0" t="n">
        <f aca="false">AH14*100/$S14</f>
        <v>3.23529411764706</v>
      </c>
      <c r="AV14" s="0" t="n">
        <f aca="false">AI14*100/$T14</f>
        <v>82.4324324324324</v>
      </c>
      <c r="AW14" s="0" t="n">
        <f aca="false">AJ14*100/$T14</f>
        <v>4.32432432432432</v>
      </c>
      <c r="AX14" s="0" t="n">
        <f aca="false">AK14*100/$T14</f>
        <v>12.7027027027027</v>
      </c>
      <c r="AY14" s="0" t="n">
        <f aca="false">AL14*100/$T14</f>
        <v>0.540540540540541</v>
      </c>
      <c r="BB14" s="0" t="n">
        <f aca="false">AN14*V14/100</f>
        <v>903</v>
      </c>
      <c r="BC14" s="0" t="n">
        <f aca="false">AO14*$V14/100</f>
        <v>59.5</v>
      </c>
      <c r="BD14" s="0" t="n">
        <f aca="false">AP14*$W14/100</f>
        <v>485.07</v>
      </c>
      <c r="BE14" s="0" t="n">
        <f aca="false">AQ14*$W14/100</f>
        <v>83.25</v>
      </c>
      <c r="BF14" s="0" t="n">
        <f aca="false">AR14*$X14/100</f>
        <v>573.87</v>
      </c>
      <c r="BG14" s="0" t="n">
        <f aca="false">AS14*$X14/100</f>
        <v>13.32</v>
      </c>
      <c r="BH14" s="0" t="n">
        <f aca="false">AT14*$X14/100</f>
        <v>143.19</v>
      </c>
      <c r="BI14" s="0" t="n">
        <f aca="false">AU14*$X14/100</f>
        <v>24.42</v>
      </c>
      <c r="BJ14" s="0" t="n">
        <f aca="false">AV14*$Y14/100</f>
        <v>338.55</v>
      </c>
      <c r="BK14" s="0" t="n">
        <f aca="false">AW14*$Y14/100</f>
        <v>17.76</v>
      </c>
      <c r="BL14" s="0" t="n">
        <f aca="false">AX14*$Y14/100</f>
        <v>52.17</v>
      </c>
      <c r="BM14" s="0" t="n">
        <f aca="false">AY14*$Y14/100</f>
        <v>2.22</v>
      </c>
      <c r="BO14" s="0" t="n">
        <f aca="false">com.sun.star.sheet.addin.Analysis.getMround(BB14,2)</f>
        <v>902</v>
      </c>
      <c r="BP14" s="0" t="n">
        <f aca="false">com.sun.star.sheet.addin.Analysis.getMround(BC14,2)</f>
        <v>60</v>
      </c>
      <c r="BQ14" s="0" t="n">
        <f aca="false">com.sun.star.sheet.addin.Analysis.getMround(BD14,2)</f>
        <v>486</v>
      </c>
      <c r="BR14" s="0" t="n">
        <f aca="false">com.sun.star.sheet.addin.Analysis.getMround(BE14,2)</f>
        <v>84</v>
      </c>
      <c r="BS14" s="0" t="n">
        <f aca="false">com.sun.star.sheet.addin.Analysis.getMround(BF14,2)</f>
        <v>574</v>
      </c>
      <c r="BT14" s="0" t="n">
        <f aca="false">com.sun.star.sheet.addin.Analysis.getMround(BG14,2)</f>
        <v>14</v>
      </c>
      <c r="BU14" s="0" t="n">
        <f aca="false">com.sun.star.sheet.addin.Analysis.getMround(BH14,2)</f>
        <v>144</v>
      </c>
      <c r="BV14" s="0" t="n">
        <f aca="false">com.sun.star.sheet.addin.Analysis.getMround(BI14,2)</f>
        <v>24</v>
      </c>
      <c r="BW14" s="0" t="n">
        <f aca="false">com.sun.star.sheet.addin.Analysis.getMround(BJ14,2)</f>
        <v>338</v>
      </c>
      <c r="BX14" s="0" t="n">
        <f aca="false">com.sun.star.sheet.addin.Analysis.getMround(BK14,2)</f>
        <v>18</v>
      </c>
      <c r="BY14" s="0" t="n">
        <f aca="false">com.sun.star.sheet.addin.Analysis.getMround(BL14,2)</f>
        <v>52</v>
      </c>
      <c r="BZ14" s="0" t="n">
        <f aca="false">com.sun.star.sheet.addin.Analysis.getMround(BM14,2)</f>
        <v>2</v>
      </c>
    </row>
    <row r="15" customFormat="false" ht="12.8" hidden="false" customHeight="false" outlineLevel="0" collapsed="false">
      <c r="Q15" s="0" t="n">
        <f aca="false">SUM(Vehiculos!P15:Q15)</f>
        <v>436</v>
      </c>
      <c r="R15" s="0" t="n">
        <f aca="false">SUM(Vehiculos!R15:S15)</f>
        <v>412</v>
      </c>
      <c r="S15" s="0" t="n">
        <f aca="false">SUM(Vehiculos!T15:W15)</f>
        <v>591</v>
      </c>
      <c r="T15" s="0" t="n">
        <f aca="false">SUM(Vehiculos!X15:AA15)</f>
        <v>386</v>
      </c>
      <c r="V15" s="0" t="n">
        <f aca="false">175*Q15/100</f>
        <v>763</v>
      </c>
      <c r="W15" s="0" t="n">
        <f aca="false">111*R15/100</f>
        <v>457.32</v>
      </c>
      <c r="X15" s="0" t="n">
        <f aca="false">111*S15/100</f>
        <v>656.01</v>
      </c>
      <c r="Y15" s="0" t="n">
        <f aca="false">111*T15/100</f>
        <v>428.46</v>
      </c>
      <c r="AA15" s="0" t="n">
        <v>403</v>
      </c>
      <c r="AB15" s="0" t="n">
        <v>33</v>
      </c>
      <c r="AC15" s="0" t="n">
        <v>364</v>
      </c>
      <c r="AD15" s="0" t="n">
        <v>48</v>
      </c>
      <c r="AE15" s="0" t="n">
        <v>451</v>
      </c>
      <c r="AF15" s="0" t="n">
        <v>9</v>
      </c>
      <c r="AG15" s="0" t="n">
        <v>113</v>
      </c>
      <c r="AH15" s="0" t="n">
        <v>18</v>
      </c>
      <c r="AI15" s="0" t="n">
        <v>336</v>
      </c>
      <c r="AJ15" s="0" t="n">
        <v>15</v>
      </c>
      <c r="AK15" s="0" t="n">
        <v>34</v>
      </c>
      <c r="AL15" s="0" t="n">
        <v>1</v>
      </c>
      <c r="AN15" s="0" t="n">
        <f aca="false">AA15*100/$Q15</f>
        <v>92.4311926605505</v>
      </c>
      <c r="AO15" s="0" t="n">
        <f aca="false">AB15*100/$Q15</f>
        <v>7.56880733944954</v>
      </c>
      <c r="AP15" s="0" t="n">
        <f aca="false">AC15*100/$R15</f>
        <v>88.3495145631068</v>
      </c>
      <c r="AQ15" s="0" t="n">
        <f aca="false">AD15*100/$R15</f>
        <v>11.6504854368932</v>
      </c>
      <c r="AR15" s="0" t="n">
        <f aca="false">AE15*100/$S15</f>
        <v>76.3113367174281</v>
      </c>
      <c r="AS15" s="0" t="n">
        <f aca="false">AF15*100/$S15</f>
        <v>1.52284263959391</v>
      </c>
      <c r="AT15" s="0" t="n">
        <f aca="false">AG15*100/$S15</f>
        <v>19.1201353637902</v>
      </c>
      <c r="AU15" s="0" t="n">
        <f aca="false">AH15*100/$S15</f>
        <v>3.04568527918782</v>
      </c>
      <c r="AV15" s="0" t="n">
        <f aca="false">AI15*100/$T15</f>
        <v>87.0466321243523</v>
      </c>
      <c r="AW15" s="0" t="n">
        <f aca="false">AJ15*100/$T15</f>
        <v>3.8860103626943</v>
      </c>
      <c r="AX15" s="0" t="n">
        <f aca="false">AK15*100/$T15</f>
        <v>8.80829015544041</v>
      </c>
      <c r="AY15" s="0" t="n">
        <f aca="false">AL15*100/$T15</f>
        <v>0.259067357512953</v>
      </c>
      <c r="BB15" s="0" t="n">
        <f aca="false">AN15*V15/100</f>
        <v>705.25</v>
      </c>
      <c r="BC15" s="0" t="n">
        <f aca="false">AO15*$V15/100</f>
        <v>57.75</v>
      </c>
      <c r="BD15" s="0" t="n">
        <f aca="false">AP15*$W15/100</f>
        <v>404.04</v>
      </c>
      <c r="BE15" s="0" t="n">
        <f aca="false">AQ15*$W15/100</f>
        <v>53.28</v>
      </c>
      <c r="BF15" s="0" t="n">
        <f aca="false">AR15*$X15/100</f>
        <v>500.61</v>
      </c>
      <c r="BG15" s="0" t="n">
        <f aca="false">AS15*$X15/100</f>
        <v>9.99</v>
      </c>
      <c r="BH15" s="0" t="n">
        <f aca="false">AT15*$X15/100</f>
        <v>125.43</v>
      </c>
      <c r="BI15" s="0" t="n">
        <f aca="false">AU15*$X15/100</f>
        <v>19.98</v>
      </c>
      <c r="BJ15" s="0" t="n">
        <f aca="false">AV15*$Y15/100</f>
        <v>372.96</v>
      </c>
      <c r="BK15" s="0" t="n">
        <f aca="false">AW15*$Y15/100</f>
        <v>16.65</v>
      </c>
      <c r="BL15" s="0" t="n">
        <f aca="false">AX15*$Y15/100</f>
        <v>37.74</v>
      </c>
      <c r="BM15" s="0" t="n">
        <f aca="false">AY15*$Y15/100</f>
        <v>1.11</v>
      </c>
      <c r="BO15" s="0" t="n">
        <f aca="false">com.sun.star.sheet.addin.Analysis.getMround(BB15,2)</f>
        <v>706</v>
      </c>
      <c r="BP15" s="0" t="n">
        <f aca="false">com.sun.star.sheet.addin.Analysis.getMround(BC15,2)</f>
        <v>58</v>
      </c>
      <c r="BQ15" s="0" t="n">
        <f aca="false">com.sun.star.sheet.addin.Analysis.getMround(BD15,2)</f>
        <v>404</v>
      </c>
      <c r="BR15" s="0" t="n">
        <f aca="false">com.sun.star.sheet.addin.Analysis.getMround(BE15,2)</f>
        <v>54</v>
      </c>
      <c r="BS15" s="0" t="n">
        <f aca="false">com.sun.star.sheet.addin.Analysis.getMround(BF15,2)</f>
        <v>500</v>
      </c>
      <c r="BT15" s="0" t="n">
        <f aca="false">com.sun.star.sheet.addin.Analysis.getMround(BG15,2)</f>
        <v>10</v>
      </c>
      <c r="BU15" s="0" t="n">
        <f aca="false">com.sun.star.sheet.addin.Analysis.getMround(BH15,2)</f>
        <v>126</v>
      </c>
      <c r="BV15" s="0" t="n">
        <f aca="false">com.sun.star.sheet.addin.Analysis.getMround(BI15,2)</f>
        <v>20</v>
      </c>
      <c r="BW15" s="0" t="n">
        <f aca="false">com.sun.star.sheet.addin.Analysis.getMround(BJ15,2)</f>
        <v>372</v>
      </c>
      <c r="BX15" s="0" t="n">
        <f aca="false">com.sun.star.sheet.addin.Analysis.getMround(BK15,2)</f>
        <v>16</v>
      </c>
      <c r="BY15" s="0" t="n">
        <f aca="false">com.sun.star.sheet.addin.Analysis.getMround(BL15,2)</f>
        <v>38</v>
      </c>
      <c r="BZ15" s="0" t="n">
        <f aca="false">com.sun.star.sheet.addin.Analysis.getMround(BM15,2)</f>
        <v>2</v>
      </c>
    </row>
    <row r="18" customFormat="false" ht="12.8" hidden="false" customHeight="false" outlineLevel="0" collapsed="false">
      <c r="BO18" s="0" t="n">
        <v>145</v>
      </c>
      <c r="BP18" s="0" t="n">
        <v>27</v>
      </c>
      <c r="BQ18" s="0" t="n">
        <v>92</v>
      </c>
      <c r="BR18" s="0" t="n">
        <v>15</v>
      </c>
      <c r="BS18" s="0" t="n">
        <v>170</v>
      </c>
      <c r="BT18" s="0" t="n">
        <v>10</v>
      </c>
      <c r="BU18" s="0" t="n">
        <v>35</v>
      </c>
      <c r="BV18" s="0" t="n">
        <v>16</v>
      </c>
      <c r="BW18" s="0" t="n">
        <v>64</v>
      </c>
      <c r="BX18" s="0" t="n">
        <v>15</v>
      </c>
      <c r="BY18" s="0" t="n">
        <v>9</v>
      </c>
      <c r="BZ18" s="0" t="n">
        <v>3</v>
      </c>
    </row>
    <row r="19" customFormat="false" ht="12.8" hidden="false" customHeight="false" outlineLevel="0" collapsed="false">
      <c r="BO19" s="0" t="n">
        <v>365</v>
      </c>
      <c r="BP19" s="0" t="n">
        <v>30</v>
      </c>
      <c r="BQ19" s="0" t="n">
        <v>265</v>
      </c>
      <c r="BR19" s="0" t="n">
        <v>44</v>
      </c>
      <c r="BS19" s="0" t="n">
        <v>320</v>
      </c>
      <c r="BT19" s="0" t="n">
        <v>13</v>
      </c>
      <c r="BU19" s="0" t="n">
        <v>123</v>
      </c>
      <c r="BV19" s="0" t="n">
        <v>22</v>
      </c>
      <c r="BW19" s="0" t="n">
        <v>153</v>
      </c>
      <c r="BX19" s="0" t="n">
        <v>17</v>
      </c>
      <c r="BY19" s="0" t="n">
        <v>26</v>
      </c>
      <c r="BZ19" s="0" t="n">
        <v>4</v>
      </c>
    </row>
    <row r="20" customFormat="false" ht="12.8" hidden="false" customHeight="false" outlineLevel="0" collapsed="false">
      <c r="BO20" s="0" t="n">
        <v>519</v>
      </c>
      <c r="BP20" s="0" t="n">
        <v>34</v>
      </c>
      <c r="BQ20" s="0" t="n">
        <v>424</v>
      </c>
      <c r="BR20" s="0" t="n">
        <v>70</v>
      </c>
      <c r="BS20" s="0" t="n">
        <v>427</v>
      </c>
      <c r="BT20" s="0" t="n">
        <v>15</v>
      </c>
      <c r="BU20" s="0" t="n">
        <v>156</v>
      </c>
      <c r="BV20" s="0" t="n">
        <v>23</v>
      </c>
      <c r="BW20" s="0" t="n">
        <v>274</v>
      </c>
      <c r="BX20" s="0" t="n">
        <v>15</v>
      </c>
      <c r="BY20" s="0" t="n">
        <v>50</v>
      </c>
      <c r="BZ20" s="0" t="n">
        <v>2</v>
      </c>
    </row>
    <row r="21" customFormat="false" ht="12.8" hidden="false" customHeight="false" outlineLevel="0" collapsed="false">
      <c r="BO21" s="0" t="n">
        <v>511</v>
      </c>
      <c r="BP21" s="0" t="n">
        <v>31</v>
      </c>
      <c r="BQ21" s="0" t="n">
        <v>469</v>
      </c>
      <c r="BR21" s="0" t="n">
        <v>49</v>
      </c>
      <c r="BS21" s="0" t="n">
        <v>438</v>
      </c>
      <c r="BT21" s="0" t="n">
        <v>11</v>
      </c>
      <c r="BU21" s="0" t="n">
        <v>181</v>
      </c>
      <c r="BV21" s="0" t="n">
        <v>21</v>
      </c>
      <c r="BW21" s="0" t="n">
        <v>307</v>
      </c>
      <c r="BX21" s="0" t="n">
        <v>13</v>
      </c>
      <c r="BY21" s="0" t="n">
        <v>77</v>
      </c>
      <c r="BZ21" s="0" t="n">
        <v>2</v>
      </c>
    </row>
    <row r="22" customFormat="false" ht="12.8" hidden="false" customHeight="false" outlineLevel="0" collapsed="false">
      <c r="BO22" s="0" t="n">
        <v>536</v>
      </c>
      <c r="BP22" s="0" t="n">
        <v>29</v>
      </c>
      <c r="BQ22" s="0" t="n">
        <v>456</v>
      </c>
      <c r="BR22" s="0" t="n">
        <v>50</v>
      </c>
      <c r="BS22" s="0" t="n">
        <v>411</v>
      </c>
      <c r="BT22" s="0" t="n">
        <v>15</v>
      </c>
      <c r="BU22" s="0" t="n">
        <v>169</v>
      </c>
      <c r="BV22" s="0" t="n">
        <v>21</v>
      </c>
      <c r="BW22" s="0" t="n">
        <v>342</v>
      </c>
      <c r="BX22" s="0" t="n">
        <v>15</v>
      </c>
      <c r="BY22" s="0" t="n">
        <v>77</v>
      </c>
      <c r="BZ22" s="0" t="n">
        <v>3</v>
      </c>
    </row>
    <row r="23" customFormat="false" ht="12.8" hidden="false" customHeight="false" outlineLevel="0" collapsed="false">
      <c r="BO23" s="0" t="n">
        <v>511</v>
      </c>
      <c r="BP23" s="0" t="n">
        <v>33</v>
      </c>
      <c r="BQ23" s="0" t="n">
        <v>421</v>
      </c>
      <c r="BR23" s="0" t="n">
        <v>54</v>
      </c>
      <c r="BS23" s="0" t="n">
        <v>402</v>
      </c>
      <c r="BT23" s="0" t="n">
        <v>16</v>
      </c>
      <c r="BU23" s="0" t="n">
        <v>178</v>
      </c>
      <c r="BV23" s="0" t="n">
        <v>19</v>
      </c>
      <c r="BW23" s="0" t="n">
        <v>309</v>
      </c>
      <c r="BX23" s="0" t="n">
        <v>15</v>
      </c>
      <c r="BY23" s="0" t="n">
        <v>90</v>
      </c>
      <c r="BZ23" s="0" t="n">
        <v>2</v>
      </c>
    </row>
    <row r="24" customFormat="false" ht="12.8" hidden="false" customHeight="false" outlineLevel="0" collapsed="false">
      <c r="BO24" s="0" t="n">
        <v>486</v>
      </c>
      <c r="BP24" s="0" t="n">
        <v>33</v>
      </c>
      <c r="BQ24" s="0" t="n">
        <v>492</v>
      </c>
      <c r="BR24" s="0" t="n">
        <v>75</v>
      </c>
      <c r="BS24" s="0" t="n">
        <v>486</v>
      </c>
      <c r="BT24" s="0" t="n">
        <v>13</v>
      </c>
      <c r="BU24" s="0" t="n">
        <v>17</v>
      </c>
      <c r="BV24" s="0" t="n">
        <v>24</v>
      </c>
      <c r="BW24" s="0" t="n">
        <v>304</v>
      </c>
      <c r="BX24" s="0" t="n">
        <v>14</v>
      </c>
      <c r="BY24" s="0" t="n">
        <v>94</v>
      </c>
      <c r="BZ24" s="0" t="n">
        <v>2</v>
      </c>
    </row>
    <row r="25" customFormat="false" ht="12.8" hidden="false" customHeight="false" outlineLevel="0" collapsed="false">
      <c r="BO25" s="0" t="n">
        <v>391</v>
      </c>
      <c r="BP25" s="0" t="n">
        <v>31</v>
      </c>
      <c r="BQ25" s="0" t="n">
        <v>441</v>
      </c>
      <c r="BR25" s="0" t="n">
        <v>68</v>
      </c>
      <c r="BS25" s="0" t="n">
        <v>420</v>
      </c>
      <c r="BT25" s="0" t="n">
        <v>13</v>
      </c>
      <c r="BU25" s="0" t="n">
        <v>105</v>
      </c>
      <c r="BV25" s="0" t="n">
        <v>29</v>
      </c>
      <c r="BW25" s="0" t="n">
        <v>294</v>
      </c>
      <c r="BX25" s="0" t="n">
        <v>14</v>
      </c>
      <c r="BY25" s="0" t="n">
        <v>83</v>
      </c>
      <c r="BZ25" s="0" t="n">
        <v>3</v>
      </c>
    </row>
    <row r="26" customFormat="false" ht="12.8" hidden="false" customHeight="false" outlineLevel="0" collapsed="false">
      <c r="BO26" s="0" t="n">
        <v>425</v>
      </c>
      <c r="BP26" s="0" t="n">
        <v>32</v>
      </c>
      <c r="BQ26" s="0" t="n">
        <v>396</v>
      </c>
      <c r="BR26" s="0" t="n">
        <v>62</v>
      </c>
      <c r="BS26" s="0" t="n">
        <v>466</v>
      </c>
      <c r="BT26" s="0" t="n">
        <v>14</v>
      </c>
      <c r="BU26" s="0" t="n">
        <v>125</v>
      </c>
      <c r="BV26" s="0" t="n">
        <v>22</v>
      </c>
      <c r="BW26" s="0" t="n">
        <v>245</v>
      </c>
      <c r="BX26" s="0" t="n">
        <v>13</v>
      </c>
      <c r="BY26" s="0" t="n">
        <v>72</v>
      </c>
      <c r="BZ26" s="0" t="n">
        <v>2</v>
      </c>
    </row>
    <row r="27" customFormat="false" ht="12.8" hidden="false" customHeight="false" outlineLevel="0" collapsed="false">
      <c r="BO27" s="0" t="n">
        <v>509</v>
      </c>
      <c r="BP27" s="0" t="n">
        <v>30</v>
      </c>
      <c r="BQ27" s="0" t="n">
        <v>400</v>
      </c>
      <c r="BR27" s="0" t="n">
        <v>66</v>
      </c>
      <c r="BS27" s="0" t="n">
        <v>537</v>
      </c>
      <c r="BT27" s="0" t="n">
        <v>13</v>
      </c>
      <c r="BU27" s="0" t="n">
        <v>143</v>
      </c>
      <c r="BV27" s="0" t="n">
        <v>22</v>
      </c>
      <c r="BW27" s="0" t="n">
        <v>261</v>
      </c>
      <c r="BX27" s="0" t="n">
        <v>15</v>
      </c>
      <c r="BY27" s="0" t="n">
        <v>86</v>
      </c>
      <c r="BZ27" s="0" t="n">
        <v>2</v>
      </c>
    </row>
    <row r="28" customFormat="false" ht="12.8" hidden="false" customHeight="false" outlineLevel="0" collapsed="false">
      <c r="BO28" s="0" t="n">
        <v>519</v>
      </c>
      <c r="BP28" s="0" t="n">
        <v>30</v>
      </c>
      <c r="BQ28" s="0" t="n">
        <v>440</v>
      </c>
      <c r="BR28" s="0" t="n">
        <v>54</v>
      </c>
      <c r="BS28" s="0" t="n">
        <v>496</v>
      </c>
      <c r="BT28" s="0" t="n">
        <v>17</v>
      </c>
      <c r="BU28" s="0" t="n">
        <v>163</v>
      </c>
      <c r="BV28" s="0" t="n">
        <v>27</v>
      </c>
      <c r="BW28" s="0" t="n">
        <v>293</v>
      </c>
      <c r="BX28" s="0" t="n">
        <v>14</v>
      </c>
      <c r="BY28" s="0" t="n">
        <v>69</v>
      </c>
      <c r="BZ28" s="0" t="n">
        <v>3</v>
      </c>
    </row>
    <row r="29" customFormat="false" ht="12.8" hidden="false" customHeight="false" outlineLevel="0" collapsed="false">
      <c r="BO29" s="0" t="n">
        <v>541</v>
      </c>
      <c r="BP29" s="0" t="n">
        <v>31</v>
      </c>
      <c r="BQ29" s="0" t="n">
        <v>485</v>
      </c>
      <c r="BR29" s="0" t="n">
        <v>48</v>
      </c>
      <c r="BS29" s="0" t="n">
        <v>487</v>
      </c>
      <c r="BT29" s="0" t="n">
        <v>12</v>
      </c>
      <c r="BU29" s="0" t="n">
        <v>170</v>
      </c>
      <c r="BV29" s="0" t="n">
        <v>25</v>
      </c>
      <c r="BW29" s="0" t="n">
        <v>283</v>
      </c>
      <c r="BX29" s="0" t="n">
        <v>13</v>
      </c>
      <c r="BY29" s="0" t="n">
        <v>31</v>
      </c>
      <c r="BZ29" s="0" t="n">
        <v>2</v>
      </c>
    </row>
    <row r="30" customFormat="false" ht="12.8" hidden="false" customHeight="false" outlineLevel="0" collapsed="false">
      <c r="BO30" s="0" t="n">
        <v>516</v>
      </c>
      <c r="BP30" s="0" t="n">
        <v>34</v>
      </c>
      <c r="BQ30" s="0" t="n">
        <v>437</v>
      </c>
      <c r="BR30" s="0" t="n">
        <v>75</v>
      </c>
      <c r="BS30" s="0" t="n">
        <v>517</v>
      </c>
      <c r="BT30" s="0" t="n">
        <v>12</v>
      </c>
      <c r="BU30" s="0" t="n">
        <v>129</v>
      </c>
      <c r="BV30" s="0" t="n">
        <v>22</v>
      </c>
      <c r="BW30" s="0" t="n">
        <v>305</v>
      </c>
      <c r="BX30" s="0" t="n">
        <v>16</v>
      </c>
      <c r="BY30" s="0" t="n">
        <v>47</v>
      </c>
      <c r="BZ30" s="0" t="n">
        <v>2</v>
      </c>
    </row>
    <row r="31" customFormat="false" ht="12.8" hidden="false" customHeight="false" outlineLevel="0" collapsed="false">
      <c r="BO31" s="0" t="n">
        <v>403</v>
      </c>
      <c r="BP31" s="0" t="n">
        <v>33</v>
      </c>
      <c r="BQ31" s="0" t="n">
        <v>364</v>
      </c>
      <c r="BR31" s="0" t="n">
        <v>48</v>
      </c>
      <c r="BS31" s="0" t="n">
        <v>451</v>
      </c>
      <c r="BT31" s="0" t="n">
        <v>9</v>
      </c>
      <c r="BU31" s="0" t="n">
        <v>113</v>
      </c>
      <c r="BV31" s="0" t="n">
        <v>18</v>
      </c>
      <c r="BW31" s="0" t="n">
        <v>336</v>
      </c>
      <c r="BX31" s="0" t="n">
        <v>15</v>
      </c>
      <c r="BY31" s="0" t="n">
        <v>34</v>
      </c>
      <c r="BZ3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2024-05-30T20:54:31Z</dcterms:created>
  <dc:creator>User</dc:creator>
  <dc:description/>
  <dc:language>es-EC</dc:language>
  <cp:lastModifiedBy/>
  <dcterms:modified xsi:type="dcterms:W3CDTF">2024-07-05T19:51:50Z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