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ês Carvalho\Desktop\"/>
    </mc:Choice>
  </mc:AlternateContent>
  <xr:revisionPtr revIDLastSave="0" documentId="13_ncr:1_{20F777ED-0C12-4873-BF84-7FC5CB57C1D2}" xr6:coauthVersionLast="47" xr6:coauthVersionMax="47" xr10:uidLastSave="{00000000-0000-0000-0000-000000000000}"/>
  <bookViews>
    <workbookView xWindow="-120" yWindow="-120" windowWidth="29040" windowHeight="15720" tabRatio="691" activeTab="9" xr2:uid="{D988F801-A7F7-49C6-AEE8-2BD3D62446A2}"/>
  </bookViews>
  <sheets>
    <sheet name="Workloads" sheetId="9" r:id="rId1"/>
    <sheet name="Load" sheetId="1" r:id="rId2"/>
    <sheet name="Workload A" sheetId="2" r:id="rId3"/>
    <sheet name="Workload B" sheetId="24" r:id="rId4"/>
    <sheet name="Workload C" sheetId="13" r:id="rId5"/>
    <sheet name="Workload D" sheetId="14" r:id="rId6"/>
    <sheet name="Workload E" sheetId="15" r:id="rId7"/>
    <sheet name="Workload F" sheetId="16" r:id="rId8"/>
    <sheet name="Workload G" sheetId="17" r:id="rId9"/>
    <sheet name="Workload H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6" i="2" l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5" i="2"/>
  <c r="T235" i="16"/>
  <c r="T193" i="18"/>
  <c r="T192" i="18"/>
  <c r="T191" i="18"/>
  <c r="T190" i="18"/>
  <c r="T189" i="18"/>
  <c r="T188" i="18"/>
  <c r="T187" i="18"/>
  <c r="T186" i="18"/>
  <c r="T185" i="18"/>
  <c r="T184" i="18"/>
  <c r="T183" i="18"/>
  <c r="T182" i="18"/>
  <c r="T181" i="18"/>
  <c r="T180" i="18"/>
  <c r="T179" i="18"/>
  <c r="T172" i="18"/>
  <c r="T171" i="18"/>
  <c r="T170" i="18"/>
  <c r="T169" i="18"/>
  <c r="T168" i="18"/>
  <c r="T167" i="18"/>
  <c r="T166" i="18"/>
  <c r="T165" i="18"/>
  <c r="T164" i="18"/>
  <c r="T163" i="18"/>
  <c r="T162" i="18"/>
  <c r="T161" i="18"/>
  <c r="T160" i="18"/>
  <c r="T159" i="18"/>
  <c r="T158" i="18"/>
  <c r="T151" i="18"/>
  <c r="T150" i="18"/>
  <c r="T149" i="18"/>
  <c r="T148" i="18"/>
  <c r="T147" i="18"/>
  <c r="T146" i="18"/>
  <c r="T145" i="18"/>
  <c r="T144" i="18"/>
  <c r="T143" i="18"/>
  <c r="T142" i="18"/>
  <c r="T141" i="18"/>
  <c r="T140" i="18"/>
  <c r="T139" i="18"/>
  <c r="T138" i="18"/>
  <c r="T137" i="18"/>
  <c r="T128" i="18"/>
  <c r="T127" i="18"/>
  <c r="T126" i="18"/>
  <c r="T125" i="18"/>
  <c r="T124" i="18"/>
  <c r="T123" i="18"/>
  <c r="T122" i="18"/>
  <c r="T121" i="18"/>
  <c r="T120" i="18"/>
  <c r="T119" i="18"/>
  <c r="T118" i="18"/>
  <c r="T117" i="18"/>
  <c r="T116" i="18"/>
  <c r="T115" i="18"/>
  <c r="T114" i="18"/>
  <c r="T107" i="18"/>
  <c r="T106" i="18"/>
  <c r="T105" i="18"/>
  <c r="T104" i="18"/>
  <c r="T103" i="18"/>
  <c r="T102" i="18"/>
  <c r="T101" i="18"/>
  <c r="T100" i="18"/>
  <c r="T99" i="18"/>
  <c r="T98" i="18"/>
  <c r="T97" i="18"/>
  <c r="T96" i="18"/>
  <c r="T95" i="18"/>
  <c r="T94" i="18"/>
  <c r="T93" i="18"/>
  <c r="T86" i="18"/>
  <c r="T85" i="18"/>
  <c r="T84" i="18"/>
  <c r="T83" i="18"/>
  <c r="T82" i="18"/>
  <c r="T81" i="18"/>
  <c r="T80" i="18"/>
  <c r="T79" i="18"/>
  <c r="T78" i="18"/>
  <c r="T77" i="18"/>
  <c r="T76" i="18"/>
  <c r="T75" i="18"/>
  <c r="T74" i="18"/>
  <c r="T73" i="18"/>
  <c r="T72" i="18"/>
  <c r="T63" i="18"/>
  <c r="T62" i="18"/>
  <c r="T61" i="18"/>
  <c r="T60" i="18"/>
  <c r="T59" i="18"/>
  <c r="T58" i="18"/>
  <c r="T57" i="18"/>
  <c r="T56" i="18"/>
  <c r="T55" i="18"/>
  <c r="T54" i="18"/>
  <c r="T53" i="18"/>
  <c r="T52" i="18"/>
  <c r="T51" i="18"/>
  <c r="T50" i="18"/>
  <c r="T49" i="18"/>
  <c r="T42" i="18"/>
  <c r="T41" i="18"/>
  <c r="T40" i="18"/>
  <c r="T39" i="18"/>
  <c r="T38" i="18"/>
  <c r="T37" i="18"/>
  <c r="T36" i="18"/>
  <c r="T35" i="18"/>
  <c r="T34" i="18"/>
  <c r="T33" i="18"/>
  <c r="T32" i="18"/>
  <c r="T31" i="18"/>
  <c r="T30" i="18"/>
  <c r="T29" i="18"/>
  <c r="T28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M193" i="18"/>
  <c r="M192" i="18"/>
  <c r="M191" i="18"/>
  <c r="M190" i="18"/>
  <c r="M189" i="18"/>
  <c r="M188" i="18"/>
  <c r="M187" i="18"/>
  <c r="M186" i="18"/>
  <c r="M185" i="18"/>
  <c r="M184" i="18"/>
  <c r="M183" i="18"/>
  <c r="M182" i="18"/>
  <c r="M181" i="18"/>
  <c r="M180" i="18"/>
  <c r="M179" i="18"/>
  <c r="M172" i="18"/>
  <c r="M171" i="18"/>
  <c r="M170" i="18"/>
  <c r="M169" i="18"/>
  <c r="M168" i="18"/>
  <c r="M167" i="18"/>
  <c r="M166" i="18"/>
  <c r="M165" i="18"/>
  <c r="M164" i="18"/>
  <c r="M163" i="18"/>
  <c r="M162" i="18"/>
  <c r="M161" i="18"/>
  <c r="M160" i="18"/>
  <c r="M159" i="18"/>
  <c r="M158" i="18"/>
  <c r="M151" i="18"/>
  <c r="M150" i="18"/>
  <c r="M149" i="18"/>
  <c r="M148" i="18"/>
  <c r="M147" i="18"/>
  <c r="M146" i="18"/>
  <c r="M145" i="18"/>
  <c r="M144" i="18"/>
  <c r="M143" i="18"/>
  <c r="M142" i="18"/>
  <c r="M141" i="18"/>
  <c r="M140" i="18"/>
  <c r="M139" i="18"/>
  <c r="M138" i="18"/>
  <c r="M137" i="18"/>
  <c r="M128" i="18"/>
  <c r="M127" i="18"/>
  <c r="M126" i="18"/>
  <c r="M125" i="18"/>
  <c r="M124" i="18"/>
  <c r="M123" i="18"/>
  <c r="M122" i="18"/>
  <c r="M121" i="18"/>
  <c r="M120" i="18"/>
  <c r="M119" i="18"/>
  <c r="M118" i="18"/>
  <c r="M117" i="18"/>
  <c r="M116" i="18"/>
  <c r="M115" i="18"/>
  <c r="M114" i="18"/>
  <c r="M107" i="18"/>
  <c r="M106" i="18"/>
  <c r="M105" i="18"/>
  <c r="M104" i="18"/>
  <c r="M103" i="18"/>
  <c r="M102" i="18"/>
  <c r="M101" i="18"/>
  <c r="M100" i="18"/>
  <c r="M99" i="18"/>
  <c r="M98" i="18"/>
  <c r="M97" i="18"/>
  <c r="M96" i="18"/>
  <c r="M95" i="18"/>
  <c r="M94" i="18"/>
  <c r="M93" i="18"/>
  <c r="M86" i="18"/>
  <c r="M85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63" i="18"/>
  <c r="M62" i="18"/>
  <c r="M61" i="18"/>
  <c r="M60" i="18"/>
  <c r="M59" i="18"/>
  <c r="M58" i="18"/>
  <c r="M57" i="18"/>
  <c r="M56" i="18"/>
  <c r="M55" i="18"/>
  <c r="M54" i="18"/>
  <c r="M53" i="18"/>
  <c r="M52" i="18"/>
  <c r="M51" i="18"/>
  <c r="M50" i="18"/>
  <c r="M49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T256" i="17"/>
  <c r="T255" i="17"/>
  <c r="T254" i="17"/>
  <c r="T253" i="17"/>
  <c r="T252" i="17"/>
  <c r="T251" i="17"/>
  <c r="T250" i="17"/>
  <c r="T249" i="17"/>
  <c r="T248" i="17"/>
  <c r="T247" i="17"/>
  <c r="T246" i="17"/>
  <c r="T245" i="17"/>
  <c r="T244" i="17"/>
  <c r="T243" i="17"/>
  <c r="T242" i="17"/>
  <c r="T241" i="17"/>
  <c r="T240" i="17"/>
  <c r="T239" i="17"/>
  <c r="T238" i="17"/>
  <c r="T237" i="17"/>
  <c r="T236" i="17"/>
  <c r="T235" i="17"/>
  <c r="T228" i="17"/>
  <c r="T227" i="17"/>
  <c r="T226" i="17"/>
  <c r="T225" i="17"/>
  <c r="T224" i="17"/>
  <c r="T223" i="17"/>
  <c r="T222" i="17"/>
  <c r="T221" i="17"/>
  <c r="T220" i="17"/>
  <c r="T219" i="17"/>
  <c r="T218" i="17"/>
  <c r="T217" i="17"/>
  <c r="T216" i="17"/>
  <c r="T215" i="17"/>
  <c r="T214" i="17"/>
  <c r="T213" i="17"/>
  <c r="T212" i="17"/>
  <c r="T211" i="17"/>
  <c r="T210" i="17"/>
  <c r="T209" i="17"/>
  <c r="T208" i="17"/>
  <c r="T207" i="17"/>
  <c r="T200" i="17"/>
  <c r="T199" i="17"/>
  <c r="T198" i="17"/>
  <c r="T197" i="17"/>
  <c r="T196" i="17"/>
  <c r="T195" i="17"/>
  <c r="T194" i="17"/>
  <c r="T193" i="17"/>
  <c r="T192" i="17"/>
  <c r="T191" i="17"/>
  <c r="T190" i="17"/>
  <c r="T189" i="17"/>
  <c r="T188" i="17"/>
  <c r="T187" i="17"/>
  <c r="T186" i="17"/>
  <c r="T185" i="17"/>
  <c r="T184" i="17"/>
  <c r="T183" i="17"/>
  <c r="T182" i="17"/>
  <c r="T181" i="17"/>
  <c r="T180" i="17"/>
  <c r="T179" i="17"/>
  <c r="T170" i="17"/>
  <c r="T169" i="17"/>
  <c r="T168" i="17"/>
  <c r="T167" i="17"/>
  <c r="T166" i="17"/>
  <c r="T165" i="17"/>
  <c r="T164" i="17"/>
  <c r="T163" i="17"/>
  <c r="T162" i="17"/>
  <c r="T161" i="17"/>
  <c r="T160" i="17"/>
  <c r="T159" i="17"/>
  <c r="T158" i="17"/>
  <c r="T157" i="17"/>
  <c r="T156" i="17"/>
  <c r="T155" i="17"/>
  <c r="T154" i="17"/>
  <c r="T153" i="17"/>
  <c r="T152" i="17"/>
  <c r="T151" i="17"/>
  <c r="T150" i="17"/>
  <c r="T149" i="17"/>
  <c r="T142" i="17"/>
  <c r="T141" i="17"/>
  <c r="T140" i="17"/>
  <c r="T139" i="17"/>
  <c r="T138" i="17"/>
  <c r="T137" i="17"/>
  <c r="T136" i="17"/>
  <c r="T135" i="17"/>
  <c r="T134" i="17"/>
  <c r="T133" i="17"/>
  <c r="T132" i="17"/>
  <c r="T131" i="17"/>
  <c r="T130" i="17"/>
  <c r="T129" i="17"/>
  <c r="T128" i="17"/>
  <c r="T127" i="17"/>
  <c r="T126" i="17"/>
  <c r="T125" i="17"/>
  <c r="T124" i="17"/>
  <c r="T123" i="17"/>
  <c r="T122" i="17"/>
  <c r="T121" i="17"/>
  <c r="T114" i="17"/>
  <c r="T113" i="17"/>
  <c r="T112" i="17"/>
  <c r="T111" i="17"/>
  <c r="T110" i="17"/>
  <c r="T109" i="17"/>
  <c r="T108" i="17"/>
  <c r="T107" i="17"/>
  <c r="T106" i="17"/>
  <c r="T105" i="17"/>
  <c r="T104" i="17"/>
  <c r="T103" i="17"/>
  <c r="T102" i="17"/>
  <c r="T101" i="17"/>
  <c r="T100" i="17"/>
  <c r="T99" i="17"/>
  <c r="T98" i="17"/>
  <c r="T97" i="17"/>
  <c r="T96" i="17"/>
  <c r="T95" i="17"/>
  <c r="T94" i="17"/>
  <c r="T93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M256" i="17"/>
  <c r="M255" i="17"/>
  <c r="M254" i="17"/>
  <c r="M253" i="17"/>
  <c r="M252" i="17"/>
  <c r="M251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0" i="17"/>
  <c r="M199" i="17"/>
  <c r="M198" i="17"/>
  <c r="M197" i="17"/>
  <c r="M196" i="17"/>
  <c r="M195" i="17"/>
  <c r="M194" i="17"/>
  <c r="M193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2" i="16"/>
  <c r="T241" i="16"/>
  <c r="T240" i="16"/>
  <c r="T239" i="16"/>
  <c r="T238" i="16"/>
  <c r="T237" i="16"/>
  <c r="T236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M310" i="16"/>
  <c r="M309" i="16"/>
  <c r="M308" i="16"/>
  <c r="M307" i="16"/>
  <c r="M306" i="16"/>
  <c r="M305" i="16"/>
  <c r="M304" i="16"/>
  <c r="M303" i="16"/>
  <c r="M302" i="16"/>
  <c r="M301" i="16"/>
  <c r="M300" i="16"/>
  <c r="M299" i="16"/>
  <c r="M298" i="16"/>
  <c r="M297" i="16"/>
  <c r="M296" i="16"/>
  <c r="M295" i="16"/>
  <c r="M294" i="16"/>
  <c r="M293" i="16"/>
  <c r="M292" i="16"/>
  <c r="M291" i="16"/>
  <c r="M290" i="16"/>
  <c r="M289" i="16"/>
  <c r="M288" i="16"/>
  <c r="M287" i="16"/>
  <c r="M286" i="16"/>
  <c r="M285" i="16"/>
  <c r="M284" i="16"/>
  <c r="M283" i="16"/>
  <c r="M276" i="16"/>
  <c r="M275" i="16"/>
  <c r="M274" i="16"/>
  <c r="M273" i="16"/>
  <c r="M272" i="16"/>
  <c r="M271" i="16"/>
  <c r="M270" i="16"/>
  <c r="M269" i="16"/>
  <c r="M268" i="16"/>
  <c r="M267" i="16"/>
  <c r="M266" i="16"/>
  <c r="M265" i="16"/>
  <c r="M264" i="16"/>
  <c r="M263" i="16"/>
  <c r="M262" i="16"/>
  <c r="M261" i="16"/>
  <c r="M260" i="16"/>
  <c r="M259" i="16"/>
  <c r="M258" i="16"/>
  <c r="M257" i="16"/>
  <c r="M256" i="16"/>
  <c r="M255" i="16"/>
  <c r="M254" i="16"/>
  <c r="M253" i="16"/>
  <c r="M252" i="16"/>
  <c r="M251" i="16"/>
  <c r="M250" i="16"/>
  <c r="M249" i="16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T256" i="15"/>
  <c r="T255" i="15"/>
  <c r="T254" i="15"/>
  <c r="T253" i="15"/>
  <c r="T252" i="15"/>
  <c r="T251" i="15"/>
  <c r="T250" i="15"/>
  <c r="T249" i="15"/>
  <c r="T248" i="15"/>
  <c r="T247" i="15"/>
  <c r="T246" i="15"/>
  <c r="T245" i="15"/>
  <c r="T244" i="15"/>
  <c r="T243" i="15"/>
  <c r="T242" i="15"/>
  <c r="T241" i="15"/>
  <c r="T240" i="15"/>
  <c r="T239" i="15"/>
  <c r="T238" i="15"/>
  <c r="T237" i="15"/>
  <c r="T236" i="15"/>
  <c r="T235" i="15"/>
  <c r="T228" i="15"/>
  <c r="T227" i="15"/>
  <c r="T226" i="15"/>
  <c r="T225" i="15"/>
  <c r="T224" i="15"/>
  <c r="T223" i="15"/>
  <c r="T222" i="15"/>
  <c r="T221" i="15"/>
  <c r="T220" i="15"/>
  <c r="T219" i="15"/>
  <c r="T218" i="15"/>
  <c r="T217" i="15"/>
  <c r="T216" i="15"/>
  <c r="T215" i="15"/>
  <c r="T214" i="15"/>
  <c r="T213" i="15"/>
  <c r="T212" i="15"/>
  <c r="T211" i="15"/>
  <c r="T210" i="15"/>
  <c r="T209" i="15"/>
  <c r="T208" i="15"/>
  <c r="T207" i="15"/>
  <c r="T200" i="15"/>
  <c r="T199" i="15"/>
  <c r="T198" i="15"/>
  <c r="T197" i="15"/>
  <c r="T196" i="15"/>
  <c r="T195" i="15"/>
  <c r="T194" i="15"/>
  <c r="T193" i="15"/>
  <c r="T192" i="15"/>
  <c r="T191" i="15"/>
  <c r="T190" i="15"/>
  <c r="T189" i="15"/>
  <c r="T188" i="15"/>
  <c r="T187" i="15"/>
  <c r="T186" i="15"/>
  <c r="T185" i="15"/>
  <c r="T184" i="15"/>
  <c r="T183" i="15"/>
  <c r="T182" i="15"/>
  <c r="T181" i="15"/>
  <c r="T180" i="15"/>
  <c r="T179" i="15"/>
  <c r="T170" i="15"/>
  <c r="T169" i="15"/>
  <c r="T168" i="15"/>
  <c r="T167" i="15"/>
  <c r="T166" i="15"/>
  <c r="T165" i="15"/>
  <c r="T164" i="15"/>
  <c r="T163" i="15"/>
  <c r="T162" i="15"/>
  <c r="T161" i="15"/>
  <c r="T160" i="15"/>
  <c r="T159" i="15"/>
  <c r="T158" i="15"/>
  <c r="T157" i="15"/>
  <c r="T156" i="15"/>
  <c r="T155" i="15"/>
  <c r="T154" i="15"/>
  <c r="T153" i="15"/>
  <c r="T152" i="15"/>
  <c r="T151" i="15"/>
  <c r="T150" i="15"/>
  <c r="T149" i="15"/>
  <c r="T142" i="15"/>
  <c r="T141" i="15"/>
  <c r="T140" i="15"/>
  <c r="T139" i="15"/>
  <c r="T138" i="15"/>
  <c r="T137" i="15"/>
  <c r="T136" i="15"/>
  <c r="T135" i="15"/>
  <c r="T134" i="15"/>
  <c r="T133" i="15"/>
  <c r="T132" i="15"/>
  <c r="T131" i="15"/>
  <c r="T130" i="15"/>
  <c r="T129" i="15"/>
  <c r="T128" i="15"/>
  <c r="T127" i="15"/>
  <c r="T126" i="15"/>
  <c r="T125" i="15"/>
  <c r="T124" i="15"/>
  <c r="T123" i="15"/>
  <c r="T122" i="15"/>
  <c r="T121" i="15"/>
  <c r="T114" i="15"/>
  <c r="T113" i="15"/>
  <c r="T112" i="15"/>
  <c r="T111" i="15"/>
  <c r="T110" i="15"/>
  <c r="T109" i="15"/>
  <c r="T108" i="15"/>
  <c r="T107" i="15"/>
  <c r="T106" i="15"/>
  <c r="T105" i="15"/>
  <c r="T104" i="15"/>
  <c r="T103" i="15"/>
  <c r="T102" i="15"/>
  <c r="T101" i="15"/>
  <c r="T100" i="15"/>
  <c r="T99" i="15"/>
  <c r="T98" i="15"/>
  <c r="T97" i="15"/>
  <c r="T96" i="15"/>
  <c r="T95" i="15"/>
  <c r="T94" i="15"/>
  <c r="T93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M256" i="15"/>
  <c r="M255" i="15"/>
  <c r="M254" i="15"/>
  <c r="M253" i="15"/>
  <c r="M252" i="15"/>
  <c r="M251" i="15"/>
  <c r="M250" i="15"/>
  <c r="M249" i="15"/>
  <c r="M248" i="15"/>
  <c r="M247" i="15"/>
  <c r="M246" i="15"/>
  <c r="M245" i="15"/>
  <c r="M244" i="15"/>
  <c r="M243" i="15"/>
  <c r="M242" i="15"/>
  <c r="M241" i="15"/>
  <c r="M240" i="15"/>
  <c r="M239" i="15"/>
  <c r="M238" i="15"/>
  <c r="M237" i="15"/>
  <c r="M236" i="15"/>
  <c r="M235" i="15"/>
  <c r="M228" i="15"/>
  <c r="M227" i="15"/>
  <c r="M226" i="15"/>
  <c r="M225" i="15"/>
  <c r="M224" i="15"/>
  <c r="M223" i="15"/>
  <c r="M222" i="15"/>
  <c r="M221" i="15"/>
  <c r="M220" i="15"/>
  <c r="M219" i="15"/>
  <c r="M218" i="15"/>
  <c r="M217" i="15"/>
  <c r="M216" i="15"/>
  <c r="M215" i="15"/>
  <c r="M214" i="15"/>
  <c r="M213" i="15"/>
  <c r="M212" i="15"/>
  <c r="M211" i="15"/>
  <c r="M210" i="15"/>
  <c r="M209" i="15"/>
  <c r="M208" i="15"/>
  <c r="M207" i="15"/>
  <c r="M200" i="15"/>
  <c r="M199" i="15"/>
  <c r="M198" i="15"/>
  <c r="M197" i="15"/>
  <c r="M196" i="15"/>
  <c r="M195" i="15"/>
  <c r="M194" i="15"/>
  <c r="M193" i="15"/>
  <c r="M192" i="15"/>
  <c r="M191" i="15"/>
  <c r="M190" i="15"/>
  <c r="M189" i="15"/>
  <c r="M188" i="15"/>
  <c r="M187" i="15"/>
  <c r="M186" i="15"/>
  <c r="M185" i="15"/>
  <c r="M184" i="15"/>
  <c r="M183" i="15"/>
  <c r="M182" i="15"/>
  <c r="M181" i="15"/>
  <c r="M180" i="15"/>
  <c r="M179" i="15"/>
  <c r="M170" i="15"/>
  <c r="M169" i="15"/>
  <c r="M168" i="15"/>
  <c r="M167" i="15"/>
  <c r="M166" i="15"/>
  <c r="M165" i="15"/>
  <c r="M164" i="15"/>
  <c r="M163" i="15"/>
  <c r="M162" i="15"/>
  <c r="M161" i="15"/>
  <c r="M160" i="15"/>
  <c r="M159" i="15"/>
  <c r="M158" i="15"/>
  <c r="M157" i="15"/>
  <c r="M156" i="15"/>
  <c r="M155" i="15"/>
  <c r="M154" i="15"/>
  <c r="M153" i="15"/>
  <c r="M152" i="15"/>
  <c r="M151" i="15"/>
  <c r="M150" i="15"/>
  <c r="M149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M129" i="15"/>
  <c r="M128" i="15"/>
  <c r="M127" i="15"/>
  <c r="M126" i="15"/>
  <c r="M125" i="15"/>
  <c r="M124" i="15"/>
  <c r="M123" i="15"/>
  <c r="M122" i="15"/>
  <c r="M121" i="15"/>
  <c r="M114" i="15"/>
  <c r="M113" i="15"/>
  <c r="M112" i="15"/>
  <c r="M111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T256" i="14"/>
  <c r="T255" i="14"/>
  <c r="T254" i="14"/>
  <c r="T253" i="14"/>
  <c r="T252" i="14"/>
  <c r="T251" i="14"/>
  <c r="T250" i="14"/>
  <c r="T249" i="14"/>
  <c r="T248" i="14"/>
  <c r="T247" i="14"/>
  <c r="T246" i="14"/>
  <c r="T245" i="14"/>
  <c r="T244" i="14"/>
  <c r="T243" i="14"/>
  <c r="T242" i="14"/>
  <c r="T241" i="14"/>
  <c r="T240" i="14"/>
  <c r="T239" i="14"/>
  <c r="T238" i="14"/>
  <c r="T237" i="14"/>
  <c r="T236" i="14"/>
  <c r="T235" i="14"/>
  <c r="T228" i="14"/>
  <c r="T227" i="14"/>
  <c r="T226" i="14"/>
  <c r="T225" i="14"/>
  <c r="T224" i="14"/>
  <c r="T223" i="14"/>
  <c r="T222" i="14"/>
  <c r="T221" i="14"/>
  <c r="T220" i="14"/>
  <c r="T219" i="14"/>
  <c r="T218" i="14"/>
  <c r="T217" i="14"/>
  <c r="T216" i="14"/>
  <c r="T215" i="14"/>
  <c r="T214" i="14"/>
  <c r="T213" i="14"/>
  <c r="T212" i="14"/>
  <c r="T211" i="14"/>
  <c r="T210" i="14"/>
  <c r="T209" i="14"/>
  <c r="T208" i="14"/>
  <c r="T207" i="14"/>
  <c r="T200" i="14"/>
  <c r="T199" i="14"/>
  <c r="T198" i="14"/>
  <c r="T197" i="14"/>
  <c r="T196" i="14"/>
  <c r="T195" i="14"/>
  <c r="T194" i="14"/>
  <c r="T193" i="14"/>
  <c r="T192" i="14"/>
  <c r="T191" i="14"/>
  <c r="T190" i="14"/>
  <c r="T189" i="14"/>
  <c r="T188" i="14"/>
  <c r="T187" i="14"/>
  <c r="T186" i="14"/>
  <c r="T185" i="14"/>
  <c r="T184" i="14"/>
  <c r="T183" i="14"/>
  <c r="T182" i="14"/>
  <c r="T181" i="14"/>
  <c r="T180" i="14"/>
  <c r="T179" i="14"/>
  <c r="T170" i="14"/>
  <c r="T169" i="14"/>
  <c r="T168" i="14"/>
  <c r="T167" i="14"/>
  <c r="T166" i="14"/>
  <c r="T165" i="14"/>
  <c r="T164" i="14"/>
  <c r="T163" i="14"/>
  <c r="T162" i="14"/>
  <c r="T161" i="14"/>
  <c r="T160" i="14"/>
  <c r="T159" i="14"/>
  <c r="T158" i="14"/>
  <c r="T157" i="14"/>
  <c r="T156" i="14"/>
  <c r="T155" i="14"/>
  <c r="T154" i="14"/>
  <c r="T153" i="14"/>
  <c r="T152" i="14"/>
  <c r="T151" i="14"/>
  <c r="T150" i="14"/>
  <c r="T149" i="14"/>
  <c r="T142" i="14"/>
  <c r="T141" i="14"/>
  <c r="T140" i="14"/>
  <c r="T139" i="14"/>
  <c r="T138" i="14"/>
  <c r="T137" i="14"/>
  <c r="T136" i="14"/>
  <c r="T135" i="14"/>
  <c r="T134" i="14"/>
  <c r="T133" i="14"/>
  <c r="T132" i="14"/>
  <c r="T131" i="14"/>
  <c r="T130" i="14"/>
  <c r="T129" i="14"/>
  <c r="T128" i="14"/>
  <c r="T127" i="14"/>
  <c r="T126" i="14"/>
  <c r="T125" i="14"/>
  <c r="T124" i="14"/>
  <c r="T123" i="14"/>
  <c r="T122" i="14"/>
  <c r="T121" i="14"/>
  <c r="T114" i="14"/>
  <c r="T113" i="14"/>
  <c r="T112" i="14"/>
  <c r="T111" i="14"/>
  <c r="T110" i="14"/>
  <c r="T109" i="14"/>
  <c r="T108" i="14"/>
  <c r="T107" i="14"/>
  <c r="T106" i="14"/>
  <c r="T105" i="14"/>
  <c r="T104" i="14"/>
  <c r="T103" i="14"/>
  <c r="T102" i="14"/>
  <c r="T101" i="14"/>
  <c r="T100" i="14"/>
  <c r="T99" i="14"/>
  <c r="T98" i="14"/>
  <c r="T97" i="14"/>
  <c r="T96" i="14"/>
  <c r="T95" i="14"/>
  <c r="T94" i="14"/>
  <c r="T93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M256" i="14"/>
  <c r="M255" i="14"/>
  <c r="M254" i="14"/>
  <c r="M253" i="14"/>
  <c r="M252" i="14"/>
  <c r="M251" i="14"/>
  <c r="M250" i="14"/>
  <c r="M249" i="14"/>
  <c r="M248" i="14"/>
  <c r="M247" i="14"/>
  <c r="M246" i="14"/>
  <c r="M245" i="14"/>
  <c r="M244" i="14"/>
  <c r="M243" i="14"/>
  <c r="M242" i="14"/>
  <c r="M241" i="14"/>
  <c r="M240" i="14"/>
  <c r="M239" i="14"/>
  <c r="M238" i="14"/>
  <c r="M237" i="14"/>
  <c r="M236" i="14"/>
  <c r="M235" i="14"/>
  <c r="M228" i="14"/>
  <c r="M227" i="14"/>
  <c r="M226" i="14"/>
  <c r="M225" i="14"/>
  <c r="M224" i="14"/>
  <c r="M223" i="14"/>
  <c r="M222" i="14"/>
  <c r="M221" i="14"/>
  <c r="M220" i="14"/>
  <c r="M219" i="14"/>
  <c r="M218" i="14"/>
  <c r="M217" i="14"/>
  <c r="M216" i="14"/>
  <c r="M215" i="14"/>
  <c r="M214" i="14"/>
  <c r="M213" i="14"/>
  <c r="M212" i="14"/>
  <c r="M211" i="14"/>
  <c r="M210" i="14"/>
  <c r="M209" i="14"/>
  <c r="M208" i="14"/>
  <c r="M207" i="14"/>
  <c r="M200" i="14"/>
  <c r="M199" i="14"/>
  <c r="M198" i="14"/>
  <c r="M197" i="14"/>
  <c r="M196" i="14"/>
  <c r="M195" i="14"/>
  <c r="M194" i="14"/>
  <c r="M193" i="14"/>
  <c r="M192" i="14"/>
  <c r="M191" i="14"/>
  <c r="M190" i="14"/>
  <c r="M189" i="14"/>
  <c r="M188" i="14"/>
  <c r="M187" i="14"/>
  <c r="M186" i="14"/>
  <c r="M185" i="14"/>
  <c r="M184" i="14"/>
  <c r="M183" i="14"/>
  <c r="M182" i="14"/>
  <c r="M181" i="14"/>
  <c r="M180" i="14"/>
  <c r="M179" i="14"/>
  <c r="M170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T193" i="13"/>
  <c r="T192" i="13"/>
  <c r="T191" i="13"/>
  <c r="T190" i="13"/>
  <c r="T189" i="13"/>
  <c r="T188" i="13"/>
  <c r="T187" i="13"/>
  <c r="T186" i="13"/>
  <c r="T185" i="13"/>
  <c r="T184" i="13"/>
  <c r="T183" i="13"/>
  <c r="T182" i="13"/>
  <c r="T181" i="13"/>
  <c r="T180" i="13"/>
  <c r="T179" i="13"/>
  <c r="T172" i="13"/>
  <c r="T171" i="13"/>
  <c r="T170" i="13"/>
  <c r="T169" i="13"/>
  <c r="T168" i="13"/>
  <c r="T167" i="13"/>
  <c r="T166" i="13"/>
  <c r="T165" i="13"/>
  <c r="T164" i="13"/>
  <c r="T163" i="13"/>
  <c r="T162" i="13"/>
  <c r="T161" i="13"/>
  <c r="T160" i="13"/>
  <c r="T159" i="13"/>
  <c r="T158" i="13"/>
  <c r="T151" i="13"/>
  <c r="T150" i="13"/>
  <c r="T149" i="13"/>
  <c r="T148" i="13"/>
  <c r="T147" i="13"/>
  <c r="T146" i="13"/>
  <c r="T145" i="13"/>
  <c r="T144" i="13"/>
  <c r="T143" i="13"/>
  <c r="T142" i="13"/>
  <c r="T141" i="13"/>
  <c r="T140" i="13"/>
  <c r="T139" i="13"/>
  <c r="T138" i="13"/>
  <c r="T137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T257" i="24"/>
  <c r="M257" i="24"/>
  <c r="F257" i="24"/>
  <c r="T256" i="24"/>
  <c r="M256" i="24"/>
  <c r="F256" i="24"/>
  <c r="T255" i="24"/>
  <c r="M255" i="24"/>
  <c r="F255" i="24"/>
  <c r="T254" i="24"/>
  <c r="M254" i="24"/>
  <c r="F254" i="24"/>
  <c r="T253" i="24"/>
  <c r="M253" i="24"/>
  <c r="F253" i="24"/>
  <c r="T252" i="24"/>
  <c r="M252" i="24"/>
  <c r="F252" i="24"/>
  <c r="T251" i="24"/>
  <c r="M251" i="24"/>
  <c r="F251" i="24"/>
  <c r="T250" i="24"/>
  <c r="M250" i="24"/>
  <c r="F250" i="24"/>
  <c r="T249" i="24"/>
  <c r="M249" i="24"/>
  <c r="F249" i="24"/>
  <c r="T248" i="24"/>
  <c r="M248" i="24"/>
  <c r="F248" i="24"/>
  <c r="T247" i="24"/>
  <c r="M247" i="24"/>
  <c r="F247" i="24"/>
  <c r="T246" i="24"/>
  <c r="M246" i="24"/>
  <c r="F246" i="24"/>
  <c r="T245" i="24"/>
  <c r="M245" i="24"/>
  <c r="F245" i="24"/>
  <c r="T244" i="24"/>
  <c r="M244" i="24"/>
  <c r="F244" i="24"/>
  <c r="T243" i="24"/>
  <c r="M243" i="24"/>
  <c r="F243" i="24"/>
  <c r="T242" i="24"/>
  <c r="M242" i="24"/>
  <c r="F242" i="24"/>
  <c r="T241" i="24"/>
  <c r="M241" i="24"/>
  <c r="F241" i="24"/>
  <c r="T240" i="24"/>
  <c r="M240" i="24"/>
  <c r="F240" i="24"/>
  <c r="T239" i="24"/>
  <c r="M239" i="24"/>
  <c r="F239" i="24"/>
  <c r="T238" i="24"/>
  <c r="M238" i="24"/>
  <c r="F238" i="24"/>
  <c r="T237" i="24"/>
  <c r="M237" i="24"/>
  <c r="F237" i="24"/>
  <c r="T236" i="24"/>
  <c r="M236" i="24"/>
  <c r="F236" i="24"/>
  <c r="T229" i="24"/>
  <c r="M229" i="24"/>
  <c r="F229" i="24"/>
  <c r="T228" i="24"/>
  <c r="M228" i="24"/>
  <c r="F228" i="24"/>
  <c r="T227" i="24"/>
  <c r="M227" i="24"/>
  <c r="F227" i="24"/>
  <c r="T226" i="24"/>
  <c r="M226" i="24"/>
  <c r="F226" i="24"/>
  <c r="T225" i="24"/>
  <c r="M225" i="24"/>
  <c r="F225" i="24"/>
  <c r="T224" i="24"/>
  <c r="M224" i="24"/>
  <c r="F224" i="24"/>
  <c r="T223" i="24"/>
  <c r="M223" i="24"/>
  <c r="F223" i="24"/>
  <c r="T222" i="24"/>
  <c r="M222" i="24"/>
  <c r="F222" i="24"/>
  <c r="T221" i="24"/>
  <c r="M221" i="24"/>
  <c r="F221" i="24"/>
  <c r="T220" i="24"/>
  <c r="M220" i="24"/>
  <c r="F220" i="24"/>
  <c r="T219" i="24"/>
  <c r="M219" i="24"/>
  <c r="F219" i="24"/>
  <c r="T218" i="24"/>
  <c r="M218" i="24"/>
  <c r="F218" i="24"/>
  <c r="T217" i="24"/>
  <c r="M217" i="24"/>
  <c r="F217" i="24"/>
  <c r="T216" i="24"/>
  <c r="M216" i="24"/>
  <c r="F216" i="24"/>
  <c r="T215" i="24"/>
  <c r="M215" i="24"/>
  <c r="F215" i="24"/>
  <c r="T214" i="24"/>
  <c r="M214" i="24"/>
  <c r="F214" i="24"/>
  <c r="T213" i="24"/>
  <c r="M213" i="24"/>
  <c r="F213" i="24"/>
  <c r="T212" i="24"/>
  <c r="M212" i="24"/>
  <c r="F212" i="24"/>
  <c r="T211" i="24"/>
  <c r="M211" i="24"/>
  <c r="F211" i="24"/>
  <c r="T210" i="24"/>
  <c r="M210" i="24"/>
  <c r="F210" i="24"/>
  <c r="T209" i="24"/>
  <c r="M209" i="24"/>
  <c r="F209" i="24"/>
  <c r="T208" i="24"/>
  <c r="M208" i="24"/>
  <c r="F208" i="24"/>
  <c r="T201" i="24"/>
  <c r="M201" i="24"/>
  <c r="F201" i="24"/>
  <c r="T200" i="24"/>
  <c r="M200" i="24"/>
  <c r="F200" i="24"/>
  <c r="T199" i="24"/>
  <c r="M199" i="24"/>
  <c r="F199" i="24"/>
  <c r="T198" i="24"/>
  <c r="M198" i="24"/>
  <c r="F198" i="24"/>
  <c r="T197" i="24"/>
  <c r="M197" i="24"/>
  <c r="F197" i="24"/>
  <c r="T196" i="24"/>
  <c r="M196" i="24"/>
  <c r="F196" i="24"/>
  <c r="T195" i="24"/>
  <c r="M195" i="24"/>
  <c r="F195" i="24"/>
  <c r="T194" i="24"/>
  <c r="M194" i="24"/>
  <c r="F194" i="24"/>
  <c r="T193" i="24"/>
  <c r="M193" i="24"/>
  <c r="F193" i="24"/>
  <c r="T192" i="24"/>
  <c r="M192" i="24"/>
  <c r="F192" i="24"/>
  <c r="T191" i="24"/>
  <c r="M191" i="24"/>
  <c r="F191" i="24"/>
  <c r="T190" i="24"/>
  <c r="M190" i="24"/>
  <c r="F190" i="24"/>
  <c r="T189" i="24"/>
  <c r="M189" i="24"/>
  <c r="F189" i="24"/>
  <c r="T188" i="24"/>
  <c r="M188" i="24"/>
  <c r="F188" i="24"/>
  <c r="T187" i="24"/>
  <c r="M187" i="24"/>
  <c r="F187" i="24"/>
  <c r="T186" i="24"/>
  <c r="M186" i="24"/>
  <c r="F186" i="24"/>
  <c r="T185" i="24"/>
  <c r="M185" i="24"/>
  <c r="F185" i="24"/>
  <c r="T184" i="24"/>
  <c r="M184" i="24"/>
  <c r="F184" i="24"/>
  <c r="T183" i="24"/>
  <c r="M183" i="24"/>
  <c r="F183" i="24"/>
  <c r="T182" i="24"/>
  <c r="M182" i="24"/>
  <c r="F182" i="24"/>
  <c r="T181" i="24"/>
  <c r="M181" i="24"/>
  <c r="F181" i="24"/>
  <c r="T180" i="24"/>
  <c r="M180" i="24"/>
  <c r="F180" i="24"/>
  <c r="T171" i="24"/>
  <c r="M171" i="24"/>
  <c r="F171" i="24"/>
  <c r="T170" i="24"/>
  <c r="M170" i="24"/>
  <c r="F170" i="24"/>
  <c r="T169" i="24"/>
  <c r="M169" i="24"/>
  <c r="F169" i="24"/>
  <c r="T168" i="24"/>
  <c r="M168" i="24"/>
  <c r="F168" i="24"/>
  <c r="T167" i="24"/>
  <c r="M167" i="24"/>
  <c r="F167" i="24"/>
  <c r="T166" i="24"/>
  <c r="M166" i="24"/>
  <c r="F166" i="24"/>
  <c r="T165" i="24"/>
  <c r="M165" i="24"/>
  <c r="F165" i="24"/>
  <c r="T164" i="24"/>
  <c r="M164" i="24"/>
  <c r="F164" i="24"/>
  <c r="T163" i="24"/>
  <c r="M163" i="24"/>
  <c r="F163" i="24"/>
  <c r="T162" i="24"/>
  <c r="M162" i="24"/>
  <c r="F162" i="24"/>
  <c r="T161" i="24"/>
  <c r="M161" i="24"/>
  <c r="F161" i="24"/>
  <c r="T160" i="24"/>
  <c r="M160" i="24"/>
  <c r="F160" i="24"/>
  <c r="T159" i="24"/>
  <c r="M159" i="24"/>
  <c r="F159" i="24"/>
  <c r="T158" i="24"/>
  <c r="M158" i="24"/>
  <c r="F158" i="24"/>
  <c r="T157" i="24"/>
  <c r="M157" i="24"/>
  <c r="F157" i="24"/>
  <c r="T156" i="24"/>
  <c r="M156" i="24"/>
  <c r="F156" i="24"/>
  <c r="T155" i="24"/>
  <c r="M155" i="24"/>
  <c r="F155" i="24"/>
  <c r="T154" i="24"/>
  <c r="M154" i="24"/>
  <c r="F154" i="24"/>
  <c r="T153" i="24"/>
  <c r="M153" i="24"/>
  <c r="F153" i="24"/>
  <c r="T152" i="24"/>
  <c r="M152" i="24"/>
  <c r="F152" i="24"/>
  <c r="T151" i="24"/>
  <c r="M151" i="24"/>
  <c r="F151" i="24"/>
  <c r="T150" i="24"/>
  <c r="M150" i="24"/>
  <c r="F150" i="24"/>
  <c r="T143" i="24"/>
  <c r="M143" i="24"/>
  <c r="F143" i="24"/>
  <c r="T142" i="24"/>
  <c r="M142" i="24"/>
  <c r="F142" i="24"/>
  <c r="T141" i="24"/>
  <c r="M141" i="24"/>
  <c r="F141" i="24"/>
  <c r="T140" i="24"/>
  <c r="M140" i="24"/>
  <c r="F140" i="24"/>
  <c r="T139" i="24"/>
  <c r="M139" i="24"/>
  <c r="F139" i="24"/>
  <c r="T138" i="24"/>
  <c r="M138" i="24"/>
  <c r="F138" i="24"/>
  <c r="T137" i="24"/>
  <c r="M137" i="24"/>
  <c r="F137" i="24"/>
  <c r="T136" i="24"/>
  <c r="M136" i="24"/>
  <c r="F136" i="24"/>
  <c r="T135" i="24"/>
  <c r="M135" i="24"/>
  <c r="F135" i="24"/>
  <c r="T134" i="24"/>
  <c r="M134" i="24"/>
  <c r="F134" i="24"/>
  <c r="T133" i="24"/>
  <c r="M133" i="24"/>
  <c r="F133" i="24"/>
  <c r="T132" i="24"/>
  <c r="M132" i="24"/>
  <c r="F132" i="24"/>
  <c r="T131" i="24"/>
  <c r="M131" i="24"/>
  <c r="F131" i="24"/>
  <c r="T130" i="24"/>
  <c r="M130" i="24"/>
  <c r="F130" i="24"/>
  <c r="T129" i="24"/>
  <c r="M129" i="24"/>
  <c r="F129" i="24"/>
  <c r="T128" i="24"/>
  <c r="M128" i="24"/>
  <c r="F128" i="24"/>
  <c r="T127" i="24"/>
  <c r="M127" i="24"/>
  <c r="F127" i="24"/>
  <c r="T126" i="24"/>
  <c r="M126" i="24"/>
  <c r="F126" i="24"/>
  <c r="T125" i="24"/>
  <c r="M125" i="24"/>
  <c r="F125" i="24"/>
  <c r="T124" i="24"/>
  <c r="M124" i="24"/>
  <c r="F124" i="24"/>
  <c r="T123" i="24"/>
  <c r="M123" i="24"/>
  <c r="F123" i="24"/>
  <c r="T122" i="24"/>
  <c r="M122" i="24"/>
  <c r="F122" i="24"/>
  <c r="T115" i="24"/>
  <c r="M115" i="24"/>
  <c r="F115" i="24"/>
  <c r="T114" i="24"/>
  <c r="M114" i="24"/>
  <c r="F114" i="24"/>
  <c r="T113" i="24"/>
  <c r="M113" i="24"/>
  <c r="F113" i="24"/>
  <c r="T112" i="24"/>
  <c r="M112" i="24"/>
  <c r="F112" i="24"/>
  <c r="T111" i="24"/>
  <c r="M111" i="24"/>
  <c r="F111" i="24"/>
  <c r="T110" i="24"/>
  <c r="M110" i="24"/>
  <c r="F110" i="24"/>
  <c r="T109" i="24"/>
  <c r="M109" i="24"/>
  <c r="F109" i="24"/>
  <c r="T108" i="24"/>
  <c r="M108" i="24"/>
  <c r="F108" i="24"/>
  <c r="T107" i="24"/>
  <c r="M107" i="24"/>
  <c r="F107" i="24"/>
  <c r="T106" i="24"/>
  <c r="M106" i="24"/>
  <c r="F106" i="24"/>
  <c r="T105" i="24"/>
  <c r="M105" i="24"/>
  <c r="F105" i="24"/>
  <c r="T104" i="24"/>
  <c r="M104" i="24"/>
  <c r="F104" i="24"/>
  <c r="T103" i="24"/>
  <c r="M103" i="24"/>
  <c r="F103" i="24"/>
  <c r="T102" i="24"/>
  <c r="M102" i="24"/>
  <c r="F102" i="24"/>
  <c r="T101" i="24"/>
  <c r="M101" i="24"/>
  <c r="F101" i="24"/>
  <c r="T100" i="24"/>
  <c r="M100" i="24"/>
  <c r="F100" i="24"/>
  <c r="T99" i="24"/>
  <c r="M99" i="24"/>
  <c r="F99" i="24"/>
  <c r="T98" i="24"/>
  <c r="M98" i="24"/>
  <c r="F98" i="24"/>
  <c r="T97" i="24"/>
  <c r="M97" i="24"/>
  <c r="F97" i="24"/>
  <c r="T96" i="24"/>
  <c r="M96" i="24"/>
  <c r="F96" i="24"/>
  <c r="T95" i="24"/>
  <c r="M95" i="24"/>
  <c r="F95" i="24"/>
  <c r="T94" i="24"/>
  <c r="M94" i="24"/>
  <c r="F94" i="24"/>
  <c r="T85" i="24"/>
  <c r="M85" i="24"/>
  <c r="F85" i="24"/>
  <c r="T84" i="24"/>
  <c r="M84" i="24"/>
  <c r="F84" i="24"/>
  <c r="T83" i="24"/>
  <c r="M83" i="24"/>
  <c r="F83" i="24"/>
  <c r="T82" i="24"/>
  <c r="M82" i="24"/>
  <c r="F82" i="24"/>
  <c r="T81" i="24"/>
  <c r="M81" i="24"/>
  <c r="F81" i="24"/>
  <c r="T80" i="24"/>
  <c r="M80" i="24"/>
  <c r="F80" i="24"/>
  <c r="T79" i="24"/>
  <c r="M79" i="24"/>
  <c r="F79" i="24"/>
  <c r="T78" i="24"/>
  <c r="M78" i="24"/>
  <c r="F78" i="24"/>
  <c r="T77" i="24"/>
  <c r="M77" i="24"/>
  <c r="F77" i="24"/>
  <c r="T76" i="24"/>
  <c r="M76" i="24"/>
  <c r="F76" i="24"/>
  <c r="T75" i="24"/>
  <c r="M75" i="24"/>
  <c r="F75" i="24"/>
  <c r="T74" i="24"/>
  <c r="M74" i="24"/>
  <c r="F74" i="24"/>
  <c r="T73" i="24"/>
  <c r="M73" i="24"/>
  <c r="F73" i="24"/>
  <c r="T72" i="24"/>
  <c r="M72" i="24"/>
  <c r="F72" i="24"/>
  <c r="T71" i="24"/>
  <c r="M71" i="24"/>
  <c r="F71" i="24"/>
  <c r="T70" i="24"/>
  <c r="M70" i="24"/>
  <c r="F70" i="24"/>
  <c r="T69" i="24"/>
  <c r="M69" i="24"/>
  <c r="F69" i="24"/>
  <c r="T68" i="24"/>
  <c r="M68" i="24"/>
  <c r="F68" i="24"/>
  <c r="T67" i="24"/>
  <c r="M67" i="24"/>
  <c r="F67" i="24"/>
  <c r="T66" i="24"/>
  <c r="M66" i="24"/>
  <c r="F66" i="24"/>
  <c r="T65" i="24"/>
  <c r="M65" i="24"/>
  <c r="F65" i="24"/>
  <c r="T64" i="24"/>
  <c r="M64" i="24"/>
  <c r="F64" i="24"/>
  <c r="T57" i="24"/>
  <c r="M57" i="24"/>
  <c r="F57" i="24"/>
  <c r="T56" i="24"/>
  <c r="M56" i="24"/>
  <c r="F56" i="24"/>
  <c r="T55" i="24"/>
  <c r="M55" i="24"/>
  <c r="F55" i="24"/>
  <c r="T54" i="24"/>
  <c r="M54" i="24"/>
  <c r="F54" i="24"/>
  <c r="T53" i="24"/>
  <c r="M53" i="24"/>
  <c r="F53" i="24"/>
  <c r="T52" i="24"/>
  <c r="M52" i="24"/>
  <c r="F52" i="24"/>
  <c r="T51" i="24"/>
  <c r="M51" i="24"/>
  <c r="F51" i="24"/>
  <c r="T50" i="24"/>
  <c r="M50" i="24"/>
  <c r="F50" i="24"/>
  <c r="T49" i="24"/>
  <c r="M49" i="24"/>
  <c r="F49" i="24"/>
  <c r="T48" i="24"/>
  <c r="M48" i="24"/>
  <c r="F48" i="24"/>
  <c r="T47" i="24"/>
  <c r="M47" i="24"/>
  <c r="F47" i="24"/>
  <c r="T46" i="24"/>
  <c r="M46" i="24"/>
  <c r="F46" i="24"/>
  <c r="T45" i="24"/>
  <c r="M45" i="24"/>
  <c r="F45" i="24"/>
  <c r="T44" i="24"/>
  <c r="M44" i="24"/>
  <c r="F44" i="24"/>
  <c r="T43" i="24"/>
  <c r="M43" i="24"/>
  <c r="F43" i="24"/>
  <c r="T42" i="24"/>
  <c r="M42" i="24"/>
  <c r="F42" i="24"/>
  <c r="T41" i="24"/>
  <c r="M41" i="24"/>
  <c r="F41" i="24"/>
  <c r="T40" i="24"/>
  <c r="M40" i="24"/>
  <c r="F40" i="24"/>
  <c r="T39" i="24"/>
  <c r="M39" i="24"/>
  <c r="F39" i="24"/>
  <c r="T38" i="24"/>
  <c r="M38" i="24"/>
  <c r="F38" i="24"/>
  <c r="T37" i="24"/>
  <c r="M37" i="24"/>
  <c r="F37" i="24"/>
  <c r="T36" i="24"/>
  <c r="M36" i="24"/>
  <c r="F36" i="24"/>
  <c r="T29" i="24"/>
  <c r="M29" i="24"/>
  <c r="F29" i="24"/>
  <c r="T28" i="24"/>
  <c r="M28" i="24"/>
  <c r="F28" i="24"/>
  <c r="T27" i="24"/>
  <c r="M27" i="24"/>
  <c r="F27" i="24"/>
  <c r="T26" i="24"/>
  <c r="M26" i="24"/>
  <c r="F26" i="24"/>
  <c r="T25" i="24"/>
  <c r="M25" i="24"/>
  <c r="F25" i="24"/>
  <c r="T24" i="24"/>
  <c r="M24" i="24"/>
  <c r="F24" i="24"/>
  <c r="T23" i="24"/>
  <c r="M23" i="24"/>
  <c r="F23" i="24"/>
  <c r="T22" i="24"/>
  <c r="M22" i="24"/>
  <c r="F22" i="24"/>
  <c r="T21" i="24"/>
  <c r="M21" i="24"/>
  <c r="F21" i="24"/>
  <c r="T20" i="24"/>
  <c r="M20" i="24"/>
  <c r="F20" i="24"/>
  <c r="T19" i="24"/>
  <c r="M19" i="24"/>
  <c r="F19" i="24"/>
  <c r="T18" i="24"/>
  <c r="M18" i="24"/>
  <c r="F18" i="24"/>
  <c r="T17" i="24"/>
  <c r="M17" i="24"/>
  <c r="F17" i="24"/>
  <c r="T16" i="24"/>
  <c r="M16" i="24"/>
  <c r="F16" i="24"/>
  <c r="T15" i="24"/>
  <c r="M15" i="24"/>
  <c r="F15" i="24"/>
  <c r="T14" i="24"/>
  <c r="M14" i="24"/>
  <c r="F14" i="24"/>
  <c r="T13" i="24"/>
  <c r="M13" i="24"/>
  <c r="F13" i="24"/>
  <c r="T12" i="24"/>
  <c r="M12" i="24"/>
  <c r="F12" i="24"/>
  <c r="T11" i="24"/>
  <c r="M11" i="24"/>
  <c r="F11" i="24"/>
  <c r="T10" i="24"/>
  <c r="M10" i="24"/>
  <c r="F10" i="24"/>
  <c r="T9" i="24"/>
  <c r="M9" i="24"/>
  <c r="F9" i="24"/>
  <c r="T8" i="24"/>
  <c r="M8" i="24"/>
  <c r="F8" i="24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4" i="2"/>
  <c r="T13" i="2"/>
  <c r="T12" i="2"/>
  <c r="T11" i="2"/>
  <c r="T10" i="2"/>
  <c r="T9" i="2"/>
  <c r="T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<sst xmlns="http://schemas.openxmlformats.org/spreadsheetml/2006/main" count="11769" uniqueCount="92">
  <si>
    <t>OVERALL</t>
  </si>
  <si>
    <t>RunTime(ms)</t>
  </si>
  <si>
    <t>Throughput(ops/sec)</t>
  </si>
  <si>
    <t>CLEANUP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</si>
  <si>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</si>
  <si>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</si>
  <si>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</si>
  <si>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</si>
  <si>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</si>
  <si>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</si>
  <si>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INSERT</t>
  </si>
  <si>
    <t>Return=OK</t>
  </si>
  <si>
    <t>CouchDB</t>
  </si>
  <si>
    <t>MongoDB</t>
  </si>
  <si>
    <t>Workload A: Update heavy workload</t>
  </si>
  <si>
    <t>Read/update ratio: 50/50</t>
  </si>
  <si>
    <t>READ</t>
  </si>
  <si>
    <t>UPDATE</t>
  </si>
  <si>
    <t>Média</t>
  </si>
  <si>
    <t>Workload B: Read mostly workload</t>
  </si>
  <si>
    <t>Read/update ratio: 95/5</t>
  </si>
  <si>
    <t>Workload C: Read only</t>
  </si>
  <si>
    <t>Read/update ratio: 100/0</t>
  </si>
  <si>
    <t>Workload F: Read-modify-write workload</t>
  </si>
  <si>
    <t>Read/read-modify-write ratio: 50/50</t>
  </si>
  <si>
    <t>Workload G: Update mostly workload</t>
  </si>
  <si>
    <t>Read/update ratio: 5/95</t>
  </si>
  <si>
    <t>Workload H: – Update only workload</t>
  </si>
  <si>
    <t>Read/update ratio: 0/100</t>
  </si>
  <si>
    <t>A – Update heavy</t>
  </si>
  <si>
    <t>Read: 50%</t>
  </si>
  <si>
    <t>Update: 50%</t>
  </si>
  <si>
    <t>Zipfian</t>
  </si>
  <si>
    <t>B – Read mostly</t>
  </si>
  <si>
    <t>Read: 95%</t>
  </si>
  <si>
    <t>Update: 5%</t>
  </si>
  <si>
    <t>C – Read Only</t>
  </si>
  <si>
    <t>Read: 100%</t>
  </si>
  <si>
    <t>D – Read latest</t>
  </si>
  <si>
    <t>Read:95%</t>
  </si>
  <si>
    <t>Insert:5%</t>
  </si>
  <si>
    <t>latest</t>
  </si>
  <si>
    <t>E – Short Ranges</t>
  </si>
  <si>
    <t>Scan:95%</t>
  </si>
  <si>
    <t>Insert: 5%</t>
  </si>
  <si>
    <t>Zipfian/ Uniform</t>
  </si>
  <si>
    <t>F – Read-modify-write</t>
  </si>
  <si>
    <t>Read:50%</t>
  </si>
  <si>
    <t>ReadModifyWrite: 50%</t>
  </si>
  <si>
    <t>G – Update mostly</t>
  </si>
  <si>
    <t>Update:95%</t>
  </si>
  <si>
    <t>Read:5%</t>
  </si>
  <si>
    <t>H – Update only</t>
  </si>
  <si>
    <t>Update:100%</t>
  </si>
  <si>
    <t>Workloads</t>
  </si>
  <si>
    <t xml:space="preserve">Zipfian </t>
  </si>
  <si>
    <t>100 000</t>
  </si>
  <si>
    <t>1 000 000</t>
  </si>
  <si>
    <t>100 000 Registos</t>
  </si>
  <si>
    <t>Couchbase</t>
  </si>
  <si>
    <t xml:space="preserve">Registos: 1 000 000 </t>
  </si>
  <si>
    <t xml:space="preserve">Registos: 100 000 </t>
  </si>
  <si>
    <t>Registos: 100 000</t>
  </si>
  <si>
    <t>Teste 3</t>
  </si>
  <si>
    <t>Teste 2</t>
  </si>
  <si>
    <t xml:space="preserve">Thread: 1 </t>
  </si>
  <si>
    <t>Registos: 1 000 000</t>
  </si>
  <si>
    <t>Workload E: Short ranges</t>
  </si>
  <si>
    <t>Scan/insert ratio: 95/5</t>
  </si>
  <si>
    <t>Workload D: Read latest workload</t>
  </si>
  <si>
    <t>Read/update/insert ratio: 95/0/5</t>
  </si>
  <si>
    <t>SCAN</t>
  </si>
  <si>
    <t>READ-MODIFY-WRITE</t>
  </si>
  <si>
    <t>Thread: 6</t>
  </si>
  <si>
    <t>Thread: 3</t>
  </si>
  <si>
    <t>Thread:1</t>
  </si>
  <si>
    <t>Thread:3</t>
  </si>
  <si>
    <t>Thread:6</t>
  </si>
  <si>
    <t>10 000 000</t>
  </si>
  <si>
    <t>10KB</t>
  </si>
  <si>
    <t xml:space="preserve">Registos: 10 000 000 </t>
  </si>
  <si>
    <t>Registos: 10 000 000</t>
  </si>
  <si>
    <t>Teste 1</t>
  </si>
  <si>
    <t xml:space="preserve">Threads </t>
  </si>
  <si>
    <t>500 * 20 = 10000 bytes = 10KB</t>
  </si>
  <si>
    <t>&lt;</t>
  </si>
  <si>
    <t>Distribution</t>
  </si>
  <si>
    <t>Records</t>
  </si>
  <si>
    <t>Data Size</t>
  </si>
  <si>
    <t>Field size = 500 bytes</t>
  </si>
  <si>
    <t>Field number = 20</t>
  </si>
  <si>
    <t>Load 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</si>
</sst>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6" fillId="0" borderId="0" xfId="0" applyFont="1"/>
    <xf numFmtId="4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0" fillId="3" borderId="0" xfId="0" applyFill="1"/>
    <xf numFmtId="0" fontId="8" fillId="3" borderId="7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944"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FA2902-3133-4DF9-8223-FA2910800C64}" name="Table16" displayName="Table16" ref="A5:F20" totalsRowShown="0" headerRowDxfId="1943" dataDxfId="1942">
  <autoFilter ref="A5:F20" xr:uid="{28FA2902-3133-4DF9-8223-FA2910800C64}"/>
  <tableColumns count="6">
    <tableColumn id="1" xr3:uid="{39A7F3B0-2E43-4BBB-92A3-05FB8FFEA0A5}" name="Couchbase" dataDxfId="1941"/>
    <tableColumn id="2" xr3:uid="{7423771A-0974-4CFA-91CA-540E834EF0E2}" name="Registos: 100 000 " dataDxfId="1940"/>
    <tableColumn id="3" xr3:uid="{DA4A7352-6469-4E05-B35C-E0766742D159}" name="Teste 1" dataDxfId="1939"/>
    <tableColumn id="4" xr3:uid="{B11D2AFD-ED8B-4F04-BCEC-D86007563C36}" name="Teste 2" dataDxfId="1938"/>
    <tableColumn id="5" xr3:uid="{3ACC287E-884A-4214-9362-3B6F9EEED803}" name="Teste 3" dataDxfId="1937"/>
    <tableColumn id="6" xr3:uid="{4EFEBD51-CACC-44E9-A523-DA5C70689936}" name="Média" dataDxfId="1936">
      <calculatedColumnFormula>AVERAGE(Table16[[#This Row],[Teste 1]:[Teste 3]])</calculatedColumnFormula>
    </tableColumn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45EB5151-8C2B-4B76-BBF1-910EEF5051C0}" name="Table1668" displayName="Table1668" ref="H5:M20" totalsRowShown="0" headerRowDxfId="1871" dataDxfId="1870">
  <autoFilter ref="H5:M20" xr:uid="{45EB5151-8C2B-4B76-BBF1-910EEF5051C0}"/>
  <tableColumns count="6">
    <tableColumn id="1" xr3:uid="{3375A604-8F28-4469-A71F-D61F543CF736}" name="CouchDB" dataDxfId="1869"/>
    <tableColumn id="2" xr3:uid="{BA231DE0-B1DD-4A95-B888-632505C188FA}" name="Registos: 100 000 " dataDxfId="1868"/>
    <tableColumn id="3" xr3:uid="{0571B53D-3C4E-4848-84BF-1EB55547250D}" name="Teste 1" dataDxfId="1867"/>
    <tableColumn id="4" xr3:uid="{D9EC3A4A-AF16-4E44-868D-0B2FC92514A4}" name="Teste 2" dataDxfId="1866"/>
    <tableColumn id="5" xr3:uid="{AA7089A8-0386-4C01-940A-9C2E54C99501}" name="Teste 3" dataDxfId="1865"/>
    <tableColumn id="6" xr3:uid="{ED65EE81-CB40-4014-84DE-FCF3BD4E8850}" name="Média" dataDxfId="1864">
      <calculatedColumnFormula>AVERAGE(Table1668[[#This Row],[Teste 1]:[Teste 3]])</calculatedColumnFormula>
    </tableColumn>
  </tableColumns>
  <tableStyleInfo name="TableStyleLight15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67AD4DB-1690-4B51-B9D7-0C8147960379}" name="Table14369011733" displayName="Table14369011733" ref="O6:T21" totalsRowShown="0" headerRowDxfId="1151" dataDxfId="1150">
  <autoFilter ref="O6:T21" xr:uid="{B67AD4DB-1690-4B51-B9D7-0C8147960379}"/>
  <tableColumns count="6">
    <tableColumn id="1" xr3:uid="{B667769F-0EEC-4A7F-BCF8-8632209EE93C}" name="MongoDB" dataDxfId="1149"/>
    <tableColumn id="2" xr3:uid="{F7D32F16-294D-4DEC-9D90-432F8444DFAF}" name="Registos: 100 000" dataDxfId="1148"/>
    <tableColumn id="3" xr3:uid="{295A5E79-A3C9-4E88-94D0-6A407194ECCE}" name="Teste 1" dataDxfId="1147"/>
    <tableColumn id="4" xr3:uid="{985FA98F-55D1-4C58-AB28-804DE5E9DFCE}" name="Teste 2" dataDxfId="1146"/>
    <tableColumn id="5" xr3:uid="{C0F0344B-FAEB-42B6-A097-4F351DF6CCFB}" name="Teste 3" dataDxfId="1145"/>
    <tableColumn id="6" xr3:uid="{06CF98EC-5CBF-4226-A7FC-A973AADF715E}" name="Média" dataDxfId="1144">
      <calculatedColumnFormula>AVERAGE(Table14369011733[[#This Row],[Teste 1]:[Teste 3]])</calculatedColumnFormula>
    </tableColumn>
  </tableColumns>
  <tableStyleInfo name="TableStyleLight15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D73B856-A08A-42AC-AA1F-E81F79A1A119}" name="Table143690117234" displayName="Table143690117234" ref="O27:T42" totalsRowShown="0" headerRowDxfId="1143" dataDxfId="1142">
  <autoFilter ref="O27:T42" xr:uid="{CD73B856-A08A-42AC-AA1F-E81F79A1A119}"/>
  <tableColumns count="6">
    <tableColumn id="1" xr3:uid="{69917231-7DD1-4B99-AFF6-B8EDD70EEE38}" name="MongoDB" dataDxfId="1141"/>
    <tableColumn id="2" xr3:uid="{61E386A0-DC2F-4906-9986-7746EF358E44}" name="Registos: 100 000" dataDxfId="1140"/>
    <tableColumn id="3" xr3:uid="{84C6573A-61E8-4E70-94B1-D4BFC3737313}" name="Teste 1" dataDxfId="1139"/>
    <tableColumn id="4" xr3:uid="{4623548F-F61E-41B0-BAE4-1D1BB525BEBD}" name="Teste 2" dataDxfId="1138"/>
    <tableColumn id="5" xr3:uid="{FDF433D8-81A2-4362-AD6D-226207BB8284}" name="Teste 3" dataDxfId="1137"/>
    <tableColumn id="6" xr3:uid="{1A99FF73-453A-4B6E-98B6-70E4D75D47FC}" name="Média" dataDxfId="1136">
      <calculatedColumnFormula>AVERAGE(Table143690117234[[#This Row],[Teste 1]:[Teste 3]])</calculatedColumnFormula>
    </tableColumn>
  </tableColumns>
  <tableStyleInfo name="TableStyleLight15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CB26227-E948-4615-8B29-B60AD997A8ED}" name="Table143690117335" displayName="Table143690117335" ref="O48:T63" totalsRowShown="0" headerRowDxfId="1135" dataDxfId="1134">
  <autoFilter ref="O48:T63" xr:uid="{2CB26227-E948-4615-8B29-B60AD997A8ED}"/>
  <tableColumns count="6">
    <tableColumn id="1" xr3:uid="{0C25A4D3-3B5B-4942-AC37-8AB9856BFA79}" name="MongoDB" dataDxfId="1133"/>
    <tableColumn id="2" xr3:uid="{1359C9F0-A361-4E25-948A-0273DEE94A54}" name="Registos: 100 000" dataDxfId="1132"/>
    <tableColumn id="3" xr3:uid="{FE44FDF1-7EB9-4E32-BFEC-E7F5F277FDB9}" name="Teste 1" dataDxfId="1131"/>
    <tableColumn id="4" xr3:uid="{58E61AA0-9897-47AF-8A29-AE6200F882F0}" name="Teste 2" dataDxfId="1130"/>
    <tableColumn id="5" xr3:uid="{6EC4BE12-3FA9-4530-A81E-3AC7E1BE7883}" name="Teste 3" dataDxfId="1129"/>
    <tableColumn id="6" xr3:uid="{E241DBE3-4FDB-4741-BF35-951FBABEBA1A}" name="Média" dataDxfId="1128">
      <calculatedColumnFormula>AVERAGE(Table143690117335[[#This Row],[Teste 1]:[Teste 3]])</calculatedColumnFormula>
    </tableColumn>
  </tableColumns>
  <tableStyleInfo name="TableStyleLight15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9A29477-DD95-44C3-B512-A9185B1EA7EE}" name="Table143690117436" displayName="Table143690117436" ref="O71:T86" totalsRowShown="0" headerRowDxfId="1127" dataDxfId="1126">
  <autoFilter ref="O71:T86" xr:uid="{89A29477-DD95-44C3-B512-A9185B1EA7EE}"/>
  <tableColumns count="6">
    <tableColumn id="1" xr3:uid="{B718C113-C29E-4CED-BCB6-F6E3FBDB870D}" name="MongoDB" dataDxfId="1125"/>
    <tableColumn id="2" xr3:uid="{601CBCDC-32AE-4C0B-B41B-2DF2A58D331C}" name="Registos: 1 000 000" dataDxfId="1124"/>
    <tableColumn id="3" xr3:uid="{F3D4C2FC-E054-42C2-8996-BFC46768FA9B}" name="Teste 1" dataDxfId="1123"/>
    <tableColumn id="4" xr3:uid="{D003AA91-37C7-4834-82C6-5825B759A291}" name="Teste 2" dataDxfId="1122"/>
    <tableColumn id="5" xr3:uid="{4C996EE5-814F-4BEE-BFDF-C8FE291ACFE7}" name="Teste 3" dataDxfId="1121"/>
    <tableColumn id="6" xr3:uid="{7307A54D-1016-4F11-AC7F-AAB630FFEC01}" name="Média" dataDxfId="1120">
      <calculatedColumnFormula>AVERAGE(Table143690117436[[#This Row],[Teste 1]:[Teste 3]])</calculatedColumnFormula>
    </tableColumn>
  </tableColumns>
  <tableStyleInfo name="TableStyleLight15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20D117E-791F-498C-A61C-62C77460B1D6}" name="Table1436901172537" displayName="Table1436901172537" ref="O92:T107" totalsRowShown="0" headerRowDxfId="1119" dataDxfId="1118">
  <autoFilter ref="O92:T107" xr:uid="{620D117E-791F-498C-A61C-62C77460B1D6}"/>
  <tableColumns count="6">
    <tableColumn id="1" xr3:uid="{C0012715-91F7-4EE5-AC83-BF91F14EB25E}" name="MongoDB" dataDxfId="1117"/>
    <tableColumn id="2" xr3:uid="{18E09726-A01A-4156-AB1F-ECBA81ACC47F}" name="Registos: 1 000 000" dataDxfId="1116"/>
    <tableColumn id="3" xr3:uid="{7DA5D37E-8E7E-4244-BE53-88AB82F841B9}" name="Teste 1" dataDxfId="1115"/>
    <tableColumn id="4" xr3:uid="{928F6143-A550-4F6B-B83A-CC563D8D3C78}" name="Teste 2" dataDxfId="1114"/>
    <tableColumn id="5" xr3:uid="{8C2A557D-983F-447E-B82E-C352CD80EC73}" name="Teste 3" dataDxfId="1113"/>
    <tableColumn id="6" xr3:uid="{2AA1DCB2-492C-4871-AF7A-484A6E747E36}" name="Média" dataDxfId="1112">
      <calculatedColumnFormula>AVERAGE(Table1436901172537[[#This Row],[Teste 1]:[Teste 3]])</calculatedColumnFormula>
    </tableColumn>
  </tableColumns>
  <tableStyleInfo name="TableStyleLight15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ADDCB5-3084-4796-9F2E-32FCAD4D0E61}" name="Table1436901173838" displayName="Table1436901173838" ref="O113:T128" totalsRowShown="0" headerRowDxfId="1111" dataDxfId="1110">
  <autoFilter ref="O113:T128" xr:uid="{00ADDCB5-3084-4796-9F2E-32FCAD4D0E61}"/>
  <tableColumns count="6">
    <tableColumn id="1" xr3:uid="{A2DB8BF0-F15B-40AB-ADAE-B0EFEBE0393C}" name="MongoDB" dataDxfId="1109"/>
    <tableColumn id="2" xr3:uid="{A5C3C37B-34C8-406A-BDDA-64BD2FE9CE29}" name="Registos: 1 000 000" dataDxfId="1108"/>
    <tableColumn id="3" xr3:uid="{0A2731D8-A067-486E-91E5-FF69970AE3AA}" name="Teste 1" dataDxfId="1107"/>
    <tableColumn id="4" xr3:uid="{69B0DA4D-0DF5-482B-B780-4BA7B55ECA9F}" name="Teste 2" dataDxfId="1106"/>
    <tableColumn id="5" xr3:uid="{867CDE62-245A-4B25-8F40-2DA2696C8E38}" name="Teste 3" dataDxfId="1105"/>
    <tableColumn id="6" xr3:uid="{58F0D607-4EF4-4349-A8C1-E797F319E326}" name="Média" dataDxfId="1104">
      <calculatedColumnFormula>AVERAGE(Table1436901173838[[#This Row],[Teste 1]:[Teste 3]])</calculatedColumnFormula>
    </tableColumn>
  </tableColumns>
  <tableStyleInfo name="TableStyleLight15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D81F618-F468-44FB-9120-4754E68233B0}" name="Table143690117939" displayName="Table143690117939" ref="O136:T151" totalsRowShown="0" headerRowDxfId="1103" dataDxfId="1102">
  <autoFilter ref="O136:T151" xr:uid="{3D81F618-F468-44FB-9120-4754E68233B0}"/>
  <tableColumns count="6">
    <tableColumn id="1" xr3:uid="{BF0073C9-0A4F-4D83-B2A5-E1DCBC6832EB}" name="MongoDB" dataDxfId="1101"/>
    <tableColumn id="2" xr3:uid="{4CE022B8-54EE-4CA3-9389-B0D1244F86BC}" name="Registos: 10 000 000" dataDxfId="1100"/>
    <tableColumn id="3" xr3:uid="{760EA1FA-2DEF-4A84-89AA-683F6E6C5CE1}" name="Teste 1" dataDxfId="1099"/>
    <tableColumn id="4" xr3:uid="{0974E7AE-7E27-43A9-8483-47844F7B17B6}" name="Teste 2" dataDxfId="1098"/>
    <tableColumn id="5" xr3:uid="{0667F1AA-631D-47BD-9FD7-3C82EE71E6C0}" name="Teste 3" dataDxfId="1097"/>
    <tableColumn id="6" xr3:uid="{DBB1C976-54CE-4AE2-A8BA-DB72346CC893}" name="Média" dataDxfId="1096">
      <calculatedColumnFormula>AVERAGE(Table143690117939[[#This Row],[Teste 1]:[Teste 3]])</calculatedColumnFormula>
    </tableColumn>
  </tableColumns>
  <tableStyleInfo name="TableStyleLight15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A5E3A8E-FF03-43FB-8F21-9AF36C183CBE}" name="Table14369011721040" displayName="Table14369011721040" ref="O157:T172" totalsRowShown="0" headerRowDxfId="1095" dataDxfId="1094">
  <autoFilter ref="O157:T172" xr:uid="{7A5E3A8E-FF03-43FB-8F21-9AF36C183CBE}"/>
  <tableColumns count="6">
    <tableColumn id="1" xr3:uid="{55642ED8-FACE-4310-90CD-4C1222691224}" name="MongoDB" dataDxfId="1093"/>
    <tableColumn id="2" xr3:uid="{F1D5C281-35FD-4C59-AA01-10A06EC7EA37}" name="Registos: 10 000 000" dataDxfId="1092"/>
    <tableColumn id="3" xr3:uid="{AC37778C-F9F9-46FE-A957-E82F7AC4936C}" name="Teste 1" dataDxfId="1091"/>
    <tableColumn id="4" xr3:uid="{ADEF99B9-66D3-4B35-99D0-FAD443668162}" name="Teste 2" dataDxfId="1090"/>
    <tableColumn id="5" xr3:uid="{663ECFD9-9989-4FF2-A082-CA0DCDF37F75}" name="Teste 3" dataDxfId="1089"/>
    <tableColumn id="6" xr3:uid="{FFAE198F-DDBA-4E15-B221-AA8B40122689}" name="Média" dataDxfId="1088">
      <calculatedColumnFormula>AVERAGE(Table14369011721040[[#This Row],[Teste 1]:[Teste 3]])</calculatedColumnFormula>
    </tableColumn>
  </tableColumns>
  <tableStyleInfo name="TableStyleLight15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EA67DD9-50D8-43A6-9083-CC3B904EE751}" name="Table14369011731741" displayName="Table14369011731741" ref="O178:T193" totalsRowShown="0" headerRowDxfId="1087" dataDxfId="1086">
  <autoFilter ref="O178:T193" xr:uid="{1EA67DD9-50D8-43A6-9083-CC3B904EE751}"/>
  <tableColumns count="6">
    <tableColumn id="1" xr3:uid="{0B2486C0-814F-4884-931C-9C5B7DB9B42A}" name="MongoDB" dataDxfId="1085"/>
    <tableColumn id="2" xr3:uid="{1DD9868B-01A3-4FF2-822B-0FC86EADFDF5}" name="Registos: 10 000 000" dataDxfId="1084"/>
    <tableColumn id="3" xr3:uid="{1D91D0D2-59AE-47FF-A0C6-52BFB9BCB61D}" name="Teste 1" dataDxfId="1083"/>
    <tableColumn id="4" xr3:uid="{547B7FEB-C760-4040-A758-052F8CE4297A}" name="Teste 2" dataDxfId="1082"/>
    <tableColumn id="5" xr3:uid="{5703DF82-C123-4752-B8BB-12C3730E33BF}" name="Teste 3" dataDxfId="1081"/>
    <tableColumn id="6" xr3:uid="{99DD40BF-2A65-46DC-A255-A12AED6E3FA4}" name="Média" dataDxfId="1080">
      <calculatedColumnFormula>AVERAGE(Table14369011731741[[#This Row],[Teste 1]:[Teste 3]])</calculatedColumnFormula>
    </tableColumn>
  </tableColumns>
  <tableStyleInfo name="TableStyleLight15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C0D9596-46DB-4F7C-B948-F8638CB4AAD2}" name="Table143690117144" displayName="Table143690117144" ref="A6:F28" totalsRowShown="0" headerRowDxfId="1079" dataDxfId="1078">
  <autoFilter ref="A6:F28" xr:uid="{0C0D9596-46DB-4F7C-B948-F8638CB4AAD2}"/>
  <tableColumns count="6">
    <tableColumn id="1" xr3:uid="{CEF80DE1-9EB3-4FA8-A669-52A647D87CCE}" name="Couchbase" dataDxfId="1077"/>
    <tableColumn id="2" xr3:uid="{26EC1326-2199-41A3-87AA-1556CDC631AD}" name="Registos: 100 000" dataDxfId="1076"/>
    <tableColumn id="3" xr3:uid="{106641F9-7E1D-4D54-9E1F-A422E9EAE8B5}" name="Teste 1" dataDxfId="1075"/>
    <tableColumn id="4" xr3:uid="{13E4B704-A412-4E96-BDAF-5CEA7E3FBB14}" name="Teste 2" dataDxfId="1074"/>
    <tableColumn id="5" xr3:uid="{D9EB0161-13D2-4261-AE2E-FC358018A5C6}" name="Teste 3" dataDxfId="1073"/>
    <tableColumn id="6" xr3:uid="{EF154A87-888C-409B-859A-DEDEC945F014}" name="Média" dataDxfId="1072">
      <calculatedColumnFormula>AVERAGE(Table143690117144[[#This Row],[Teste 1]:[Teste 3]])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896C7959-6D34-40DC-B98E-CBF3BE725037}" name="Table16769" displayName="Table16769" ref="H26:M41" totalsRowShown="0" headerRowDxfId="1863" dataDxfId="1862">
  <autoFilter ref="H26:M41" xr:uid="{896C7959-6D34-40DC-B98E-CBF3BE725037}"/>
  <tableColumns count="6">
    <tableColumn id="1" xr3:uid="{9DA4975D-C930-4AF1-B8DF-A51694B312A8}" name="CouchDB" dataDxfId="1861"/>
    <tableColumn id="2" xr3:uid="{61789761-8727-4D8C-8383-B59937862126}" name="Registos: 100 000 " dataDxfId="1860"/>
    <tableColumn id="3" xr3:uid="{F38E4F60-9733-4543-998B-1024C19C6FE1}" name="Teste 1" dataDxfId="1859"/>
    <tableColumn id="4" xr3:uid="{85A05A80-4B23-4AB5-AF22-2C61C824BCB8}" name="Teste 2" dataDxfId="1858"/>
    <tableColumn id="5" xr3:uid="{81001CB7-1B62-4F54-913C-C6B675C143D3}" name="Teste 3" dataDxfId="1857"/>
    <tableColumn id="6" xr3:uid="{A171D7FA-1BAF-49AA-8544-B12536BF0716}" name="Média" dataDxfId="1856">
      <calculatedColumnFormula>AVERAGE(Table16769[[#This Row],[Teste 1]:[Teste 3]])</calculatedColumnFormula>
    </tableColumn>
  </tableColumns>
  <tableStyleInfo name="TableStyleLight15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2E4E002-C959-44EF-BA92-A68B424D631F}" name="Table14369011714445" displayName="Table14369011714445" ref="A34:F56" totalsRowShown="0" headerRowDxfId="1071" dataDxfId="1070">
  <autoFilter ref="A34:F56" xr:uid="{92E4E002-C959-44EF-BA92-A68B424D631F}"/>
  <tableColumns count="6">
    <tableColumn id="1" xr3:uid="{1312731C-23CF-4929-AFDC-8260611ACC54}" name="Couchbase" dataDxfId="1069"/>
    <tableColumn id="2" xr3:uid="{B08228CC-7C8F-44EE-8BB6-EBF69AEDC2F9}" name="Registos: 100 000" dataDxfId="1068"/>
    <tableColumn id="3" xr3:uid="{65C2AC25-82CF-4A07-A172-B7E4ED790FB9}" name="Teste 1" dataDxfId="1067"/>
    <tableColumn id="4" xr3:uid="{94598A2B-DEFF-4DB9-8260-93187AE46B7F}" name="Teste 2" dataDxfId="1066"/>
    <tableColumn id="5" xr3:uid="{EB95713E-B23E-4182-A9F3-A86CFC44246F}" name="Teste 3" dataDxfId="1065"/>
    <tableColumn id="6" xr3:uid="{6447BCE2-55CE-4B1C-BB59-30EFEF53B897}" name="Média" dataDxfId="1064">
      <calculatedColumnFormula>AVERAGE(Table14369011714445[[#This Row],[Teste 1]:[Teste 3]])</calculatedColumnFormula>
    </tableColumn>
  </tableColumns>
  <tableStyleInfo name="TableStyleLight15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106C018-0993-4FDE-AB63-70B832F068C2}" name="Table14369011714446" displayName="Table14369011714446" ref="A62:F84" totalsRowShown="0" headerRowDxfId="1063" dataDxfId="1062">
  <autoFilter ref="A62:F84" xr:uid="{B106C018-0993-4FDE-AB63-70B832F068C2}"/>
  <tableColumns count="6">
    <tableColumn id="1" xr3:uid="{30225E50-B79C-48F3-90AE-B22C5B4DBABD}" name="Couchbase" dataDxfId="1061"/>
    <tableColumn id="2" xr3:uid="{8DB23835-3F0A-434C-A685-5E5ECB77D37A}" name="Registos: 100 000" dataDxfId="1060"/>
    <tableColumn id="3" xr3:uid="{B53BC4B3-00DB-41EA-9FC1-9AFDCE718874}" name="Teste 1" dataDxfId="1059"/>
    <tableColumn id="4" xr3:uid="{6F433CEF-DA6F-427C-9F5D-CCF82B8577A4}" name="Teste 2" dataDxfId="1058"/>
    <tableColumn id="5" xr3:uid="{9A7D9E09-EAEB-4C2A-A7E3-AD42E70D1298}" name="Teste 3" dataDxfId="1057"/>
    <tableColumn id="6" xr3:uid="{C1BE1EB3-40ED-4A4D-B54F-098F996A0089}" name="Média" dataDxfId="1056">
      <calculatedColumnFormula>AVERAGE(Table14369011714446[[#This Row],[Teste 1]:[Teste 3]])</calculatedColumnFormula>
    </tableColumn>
  </tableColumns>
  <tableStyleInfo name="TableStyleLight15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96BA24A-6BD9-4EF9-BAAE-EE6BA7A4CCF3}" name="Table14369011714447" displayName="Table14369011714447" ref="A92:F114" totalsRowShown="0" headerRowDxfId="1055" dataDxfId="1054">
  <autoFilter ref="A92:F114" xr:uid="{A96BA24A-6BD9-4EF9-BAAE-EE6BA7A4CCF3}"/>
  <tableColumns count="6">
    <tableColumn id="1" xr3:uid="{8B153B32-DEFE-4CEF-B8E1-543FD3508CC0}" name="Couchbase" dataDxfId="1053"/>
    <tableColumn id="2" xr3:uid="{4E6A7BF4-3A1D-4641-846C-FDBCA9611891}" name="Registos: 1 000 000" dataDxfId="1052"/>
    <tableColumn id="3" xr3:uid="{05B9AA66-429D-4DFF-A155-3BF33616A40B}" name="Teste 1" dataDxfId="1051"/>
    <tableColumn id="4" xr3:uid="{D484878D-8834-4D0B-8BA6-A3895632014C}" name="Teste 2" dataDxfId="1050"/>
    <tableColumn id="5" xr3:uid="{15FEF0AB-C4F1-4BE7-BC05-F7DF6F7C007F}" name="Teste 3" dataDxfId="1049"/>
    <tableColumn id="6" xr3:uid="{39435902-3629-4F38-ADE6-710001D9C710}" name="Média" dataDxfId="1048">
      <calculatedColumnFormula>AVERAGE(Table14369011714447[[#This Row],[Teste 1]:[Teste 3]])</calculatedColumnFormula>
    </tableColumn>
  </tableColumns>
  <tableStyleInfo name="TableStyleLight15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47D840C-BEBB-4E22-8C83-75D591FCD52B}" name="Table1436901171444548" displayName="Table1436901171444548" ref="A120:F142" totalsRowShown="0" headerRowDxfId="1047" dataDxfId="1046">
  <autoFilter ref="A120:F142" xr:uid="{147D840C-BEBB-4E22-8C83-75D591FCD52B}"/>
  <tableColumns count="6">
    <tableColumn id="1" xr3:uid="{9789E465-070A-42D2-B7CE-D6B3532585C7}" name="Couchbase" dataDxfId="1045"/>
    <tableColumn id="2" xr3:uid="{491E7F3B-7A15-4D30-9E9D-62991BE279B1}" name="Registos: 1 000 000" dataDxfId="1044"/>
    <tableColumn id="3" xr3:uid="{C35DD96C-71B1-43DC-928B-E7F4699C91FC}" name="Teste 1" dataDxfId="1043"/>
    <tableColumn id="4" xr3:uid="{69C2A341-8396-4717-9B96-1F7267D98183}" name="Teste 2" dataDxfId="1042"/>
    <tableColumn id="5" xr3:uid="{AF2C343B-84D4-4626-9332-C70ACB6240B5}" name="Teste 3" dataDxfId="1041"/>
    <tableColumn id="6" xr3:uid="{49A7105A-BCA4-455A-87C0-912B94FF95F3}" name="Média" dataDxfId="1040">
      <calculatedColumnFormula>AVERAGE(Table1436901171444548[[#This Row],[Teste 1]:[Teste 3]])</calculatedColumnFormula>
    </tableColumn>
  </tableColumns>
  <tableStyleInfo name="TableStyleLight15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12831FB-855B-404F-A851-53BEE79DDD56}" name="Table1436901171444649" displayName="Table1436901171444649" ref="A148:F170" totalsRowShown="0" headerRowDxfId="1039" dataDxfId="1038">
  <autoFilter ref="A148:F170" xr:uid="{E12831FB-855B-404F-A851-53BEE79DDD56}"/>
  <tableColumns count="6">
    <tableColumn id="1" xr3:uid="{7E230491-FD44-4306-A397-1441F7D6B8EE}" name="Couchbase" dataDxfId="1037"/>
    <tableColumn id="2" xr3:uid="{2B916939-7051-4675-84A4-E269A3A859D7}" name="Registos: 1 000 000" dataDxfId="1036"/>
    <tableColumn id="3" xr3:uid="{74EED496-DFC2-4FED-BC26-F14C11B94A3B}" name="Teste 1" dataDxfId="1035"/>
    <tableColumn id="4" xr3:uid="{EE9EDC5C-5FA3-46FE-9AC4-8FC7143E07E6}" name="Teste 2" dataDxfId="1034"/>
    <tableColumn id="5" xr3:uid="{8BB43916-7628-42DA-8112-744BBC7D15A8}" name="Teste 3" dataDxfId="1033"/>
    <tableColumn id="6" xr3:uid="{5BE8108B-94EA-478F-B192-B66E17D7670F}" name="Média" dataDxfId="1032">
      <calculatedColumnFormula>AVERAGE(Table1436901171444649[[#This Row],[Teste 1]:[Teste 3]])</calculatedColumnFormula>
    </tableColumn>
  </tableColumns>
  <tableStyleInfo name="TableStyleLight15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96FB56D-ABB4-45B8-8596-63B0813EBF36}" name="Table14369011714450" displayName="Table14369011714450" ref="A178:F200" totalsRowShown="0" headerRowDxfId="1031" dataDxfId="1030">
  <autoFilter ref="A178:F200" xr:uid="{096FB56D-ABB4-45B8-8596-63B0813EBF36}"/>
  <tableColumns count="6">
    <tableColumn id="1" xr3:uid="{5A15CD19-505B-4161-B4B6-716EBDCD9ADD}" name="Couchbase" dataDxfId="1029"/>
    <tableColumn id="2" xr3:uid="{0842A40F-226F-45F8-AB7A-01A08B709FF7}" name="Registos: 10 000 000" dataDxfId="1028"/>
    <tableColumn id="3" xr3:uid="{C2897BE0-5225-40CE-996C-50F5FB4A7CF8}" name="Teste 1" dataDxfId="1027"/>
    <tableColumn id="4" xr3:uid="{B547BD81-7A51-4F59-8294-5C37A78F5BA7}" name="Teste 2" dataDxfId="1026"/>
    <tableColumn id="5" xr3:uid="{78069120-2927-4740-B58B-795E1A50B56A}" name="Teste 3" dataDxfId="1025"/>
    <tableColumn id="6" xr3:uid="{5344CE9A-E827-4A55-9A8F-9D2C35BAD84C}" name="Média" dataDxfId="1024">
      <calculatedColumnFormula>AVERAGE(Table14369011714450[[#This Row],[Teste 1]:[Teste 3]])</calculatedColumnFormula>
    </tableColumn>
  </tableColumns>
  <tableStyleInfo name="TableStyleLight15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6AEEC7A0-8507-413C-9810-34A377E1FD4A}" name="Table1436901171444551" displayName="Table1436901171444551" ref="A206:F228" totalsRowShown="0" headerRowDxfId="1023" dataDxfId="1022">
  <autoFilter ref="A206:F228" xr:uid="{6AEEC7A0-8507-413C-9810-34A377E1FD4A}"/>
  <tableColumns count="6">
    <tableColumn id="1" xr3:uid="{8AE1602E-344A-41B1-81FE-F92B8F3F68F8}" name="Couchbase" dataDxfId="1021"/>
    <tableColumn id="2" xr3:uid="{91FABC9F-2ACC-4B2C-8D0B-A4D3EBD82914}" name="Registos: 10 000 000" dataDxfId="1020"/>
    <tableColumn id="3" xr3:uid="{D1549D3A-C309-4FD8-B456-7BBAE702FA79}" name="Teste 1" dataDxfId="1019"/>
    <tableColumn id="4" xr3:uid="{9D9192BC-0A85-4E35-93E4-3A1272B59549}" name="Teste 2" dataDxfId="1018"/>
    <tableColumn id="5" xr3:uid="{24C68D7F-7267-4BB9-9586-A2FE1829D3A3}" name="Teste 3" dataDxfId="1017"/>
    <tableColumn id="6" xr3:uid="{9CAF4948-0F92-444D-BEEB-673C91686DF7}" name="Média" dataDxfId="1016">
      <calculatedColumnFormula>AVERAGE(Table1436901171444551[[#This Row],[Teste 1]:[Teste 3]])</calculatedColumnFormula>
    </tableColumn>
  </tableColumns>
  <tableStyleInfo name="TableStyleLight15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F521018-68D3-49A2-A861-54ACE227CD90}" name="Table1436901171444652" displayName="Table1436901171444652" ref="A234:F256" totalsRowShown="0" headerRowDxfId="1015" dataDxfId="1014">
  <autoFilter ref="A234:F256" xr:uid="{4F521018-68D3-49A2-A861-54ACE227CD90}"/>
  <tableColumns count="6">
    <tableColumn id="1" xr3:uid="{70408638-0BF8-4F71-99AE-AA48B5DBFE05}" name="Couchbase" dataDxfId="1013"/>
    <tableColumn id="2" xr3:uid="{023B81FC-1051-4D93-BF0B-CE8C0323A3AA}" name="Registos: 10 000 000" dataDxfId="1012"/>
    <tableColumn id="3" xr3:uid="{EAA3F6C8-0370-46FD-A32A-B02F99FA13CE}" name="Teste 1" dataDxfId="1011"/>
    <tableColumn id="4" xr3:uid="{9E4202F8-3AED-49B4-8F51-FE97D9434109}" name="Teste 2" dataDxfId="1010"/>
    <tableColumn id="5" xr3:uid="{3252F42E-C506-4DB4-9A35-461F10DEBFFB}" name="Teste 3" dataDxfId="1009"/>
    <tableColumn id="6" xr3:uid="{5C9ACDDC-9150-4822-9654-4BA2F1B84F0B}" name="Média" dataDxfId="1008">
      <calculatedColumnFormula>AVERAGE(Table1436901171444652[[#This Row],[Teste 1]:[Teste 3]])</calculatedColumnFormula>
    </tableColumn>
  </tableColumns>
  <tableStyleInfo name="TableStyleLight15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290410-0E65-4F5C-B709-4E3462A83131}" name="Table14369011714456" displayName="Table14369011714456" ref="H6:M28" totalsRowShown="0" headerRowDxfId="1007" dataDxfId="1006">
  <autoFilter ref="H6:M28" xr:uid="{00290410-0E65-4F5C-B709-4E3462A83131}"/>
  <tableColumns count="6">
    <tableColumn id="1" xr3:uid="{4B7E465C-EBA3-4C9C-8CD3-D7F1A6D0B5E4}" name="CouchDB" dataDxfId="1005"/>
    <tableColumn id="2" xr3:uid="{BEF6280A-AF43-4D79-8EDE-3F57B86622F0}" name="Registos: 100 000" dataDxfId="1004"/>
    <tableColumn id="3" xr3:uid="{EB88C313-EB73-40B8-A9AF-C956A51C2369}" name="Teste 1" dataDxfId="1003"/>
    <tableColumn id="4" xr3:uid="{1AC4AC6B-B4E2-4FC4-B51D-E4DD5D1D833D}" name="Teste 2" dataDxfId="1002"/>
    <tableColumn id="5" xr3:uid="{80CF15E5-5D88-457C-AB15-69A638F02637}" name="Teste 3" dataDxfId="1001"/>
    <tableColumn id="6" xr3:uid="{8F4D770A-6B64-4433-86FB-0E1BD0B1D737}" name="Média" dataDxfId="1000">
      <calculatedColumnFormula>AVERAGE(Table14369011714456[[#This Row],[Teste 1]:[Teste 3]])</calculatedColumnFormula>
    </tableColumn>
  </tableColumns>
  <tableStyleInfo name="TableStyleLight15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9D91DBEF-60B3-4639-9E23-956DC71A98BD}" name="Table1436901171444557" displayName="Table1436901171444557" ref="H34:M56" totalsRowShown="0" headerRowDxfId="999" dataDxfId="998">
  <autoFilter ref="H34:M56" xr:uid="{9D91DBEF-60B3-4639-9E23-956DC71A98BD}"/>
  <tableColumns count="6">
    <tableColumn id="1" xr3:uid="{ECAD1B3C-CD56-4FFB-910C-B238B0FA811B}" name="CouchDB" dataDxfId="997"/>
    <tableColumn id="2" xr3:uid="{5D42BD14-2630-4278-ACBF-6D9D8D237D5A}" name="Registos: 100 000" dataDxfId="996"/>
    <tableColumn id="3" xr3:uid="{4414AC89-62C3-43B1-BFE5-FCD8D1BB9931}" name="Teste 1" dataDxfId="995"/>
    <tableColumn id="4" xr3:uid="{97CBB32B-AA59-492B-A412-7051A9D3176F}" name="Teste 2" dataDxfId="994"/>
    <tableColumn id="5" xr3:uid="{ABA208C9-95A6-4611-A798-DD21CA39A354}" name="Teste 3" dataDxfId="993"/>
    <tableColumn id="6" xr3:uid="{285614DB-98DA-49E2-B584-9923B6ECF524}" name="Média" dataDxfId="992">
      <calculatedColumnFormula>AVERAGE(Table1436901171444557[[#This Row],[Teste 1]:[Teste 3]])</calculatedColumnFormula>
    </tableColumn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693340BC-4178-47CB-A443-40CE323B87F3}" name="Table1671170" displayName="Table1671170" ref="H47:M62" totalsRowShown="0" headerRowDxfId="1855" dataDxfId="1854">
  <autoFilter ref="H47:M62" xr:uid="{693340BC-4178-47CB-A443-40CE323B87F3}"/>
  <tableColumns count="6">
    <tableColumn id="1" xr3:uid="{27642E0E-0D9D-4CB4-BB7F-E556EAC03821}" name="CouchDB" dataDxfId="1853"/>
    <tableColumn id="2" xr3:uid="{58F5FCE8-226F-47E2-A213-336FB301D54A}" name="Registos: 100 000 " dataDxfId="1852"/>
    <tableColumn id="3" xr3:uid="{F718A1BD-45F5-4F58-83B0-4C0E96F3BCF7}" name="Teste 1" dataDxfId="1851"/>
    <tableColumn id="4" xr3:uid="{7689BD2E-A4E3-44A4-A8E5-16ADE60E2264}" name="Teste 2" dataDxfId="1850"/>
    <tableColumn id="5" xr3:uid="{953B1795-1534-4B8A-83EC-FDDF8503966F}" name="Teste 3" dataDxfId="1849"/>
    <tableColumn id="6" xr3:uid="{5124F5CE-D627-45EA-9432-7E796ECDF62E}" name="Média" dataDxfId="1848">
      <calculatedColumnFormula>AVERAGE(Table1671170[[#This Row],[Teste 1]:[Teste 3]])</calculatedColumnFormula>
    </tableColumn>
  </tableColumns>
  <tableStyleInfo name="TableStyleLight15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2395B04-FB62-42CE-8631-36675809EF38}" name="Table1436901171444658" displayName="Table1436901171444658" ref="H62:M84" totalsRowShown="0" headerRowDxfId="991" dataDxfId="990">
  <autoFilter ref="H62:M84" xr:uid="{62395B04-FB62-42CE-8631-36675809EF38}"/>
  <tableColumns count="6">
    <tableColumn id="1" xr3:uid="{AC0A5590-3D7A-41BA-B4E6-5D6C7256BE65}" name="CouchDB" dataDxfId="989"/>
    <tableColumn id="2" xr3:uid="{791CF569-CEAE-4899-B383-D31246119890}" name="Registos: 100 000" dataDxfId="988"/>
    <tableColumn id="3" xr3:uid="{0C883746-7A9B-41D6-BF43-916455755E2E}" name="Teste 1" dataDxfId="987"/>
    <tableColumn id="4" xr3:uid="{6BC89AF2-1C70-4EBF-860B-8659A0102ECA}" name="Teste 2" dataDxfId="986"/>
    <tableColumn id="5" xr3:uid="{49E30AE6-A589-4BFD-8F61-E9B774989B5B}" name="Teste 3" dataDxfId="985"/>
    <tableColumn id="6" xr3:uid="{80B616BB-351D-44E4-98D0-3CCD9FBD5B84}" name="Média" dataDxfId="984">
      <calculatedColumnFormula>AVERAGE(Table1436901171444658[[#This Row],[Teste 1]:[Teste 3]])</calculatedColumnFormula>
    </tableColumn>
  </tableColumns>
  <tableStyleInfo name="TableStyleLight15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BD656A4B-12C7-42FF-B1C8-11EB9E9F9EFE}" name="Table1436901171444759" displayName="Table1436901171444759" ref="H92:M114" totalsRowShown="0" headerRowDxfId="983" dataDxfId="982">
  <autoFilter ref="H92:M114" xr:uid="{BD656A4B-12C7-42FF-B1C8-11EB9E9F9EFE}"/>
  <tableColumns count="6">
    <tableColumn id="1" xr3:uid="{02CCEF32-F159-4849-AA1C-579185A82E90}" name="CouchDB" dataDxfId="981"/>
    <tableColumn id="2" xr3:uid="{ABAB0F66-D39A-4479-865C-3B0914C1DF90}" name="Registos: 1 000 000" dataDxfId="980"/>
    <tableColumn id="3" xr3:uid="{09AA231E-5458-4BCB-861C-AE2A68BF5183}" name="Teste 1" dataDxfId="979"/>
    <tableColumn id="4" xr3:uid="{1868EB13-2C60-4AED-B6D0-D9832ADDE0F9}" name="Teste 2" dataDxfId="978"/>
    <tableColumn id="5" xr3:uid="{18E6990E-384C-4AF9-A712-A813BAF98AEF}" name="Teste 3" dataDxfId="977"/>
    <tableColumn id="6" xr3:uid="{20A03FCC-4C91-416D-9443-B0953A0D375A}" name="Média" dataDxfId="976">
      <calculatedColumnFormula>AVERAGE(Table1436901171444759[[#This Row],[Teste 1]:[Teste 3]])</calculatedColumnFormula>
    </tableColumn>
  </tableColumns>
  <tableStyleInfo name="TableStyleLight15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8A5CF78-D0B4-48AE-B84E-444AA397A21B}" name="Table143690117144454860" displayName="Table143690117144454860" ref="H120:M142" totalsRowShown="0" headerRowDxfId="975" dataDxfId="974">
  <autoFilter ref="H120:M142" xr:uid="{78A5CF78-D0B4-48AE-B84E-444AA397A21B}"/>
  <tableColumns count="6">
    <tableColumn id="1" xr3:uid="{C1E12D42-B236-43EB-8961-B139A9764256}" name="CouchDB" dataDxfId="973"/>
    <tableColumn id="2" xr3:uid="{DC7DC5FC-42AB-4664-98DC-1722536EFD9D}" name="Registos: 1 000 000" dataDxfId="972"/>
    <tableColumn id="3" xr3:uid="{25CC25B0-B8BC-406E-9401-FA0D920223A1}" name="Teste 1" dataDxfId="971"/>
    <tableColumn id="4" xr3:uid="{810544B1-5813-4964-A043-8418C1B89173}" name="Teste 2" dataDxfId="970"/>
    <tableColumn id="5" xr3:uid="{D5BA24CD-0C44-4609-A1F3-35625D2A95A1}" name="Teste 3" dataDxfId="969"/>
    <tableColumn id="6" xr3:uid="{A7D3C7C2-6AAE-4817-9E37-6463B4B0952B}" name="Média" dataDxfId="968">
      <calculatedColumnFormula>AVERAGE(Table143690117144454860[[#This Row],[Teste 1]:[Teste 3]])</calculatedColumnFormula>
    </tableColumn>
  </tableColumns>
  <tableStyleInfo name="TableStyleLight15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2CA2573-732F-4723-A56A-64DE7D43FF29}" name="Table143690117144464961" displayName="Table143690117144464961" ref="H148:M170" totalsRowShown="0" headerRowDxfId="967" dataDxfId="966">
  <autoFilter ref="H148:M170" xr:uid="{52CA2573-732F-4723-A56A-64DE7D43FF29}"/>
  <tableColumns count="6">
    <tableColumn id="1" xr3:uid="{E897F90C-DD5C-4500-9A64-736A58C47928}" name="CouchDB" dataDxfId="965"/>
    <tableColumn id="2" xr3:uid="{A01C4955-C88E-49F9-AAA9-B79F0B7D4DE2}" name="Registos: 1 000 000" dataDxfId="964"/>
    <tableColumn id="3" xr3:uid="{204C4591-53B0-4689-9244-86C101A61D6B}" name="Teste 1" dataDxfId="963"/>
    <tableColumn id="4" xr3:uid="{1DC408CC-7DBF-4347-8B03-FDF3514ED6CA}" name="Teste 2" dataDxfId="962"/>
    <tableColumn id="5" xr3:uid="{C4E38C47-D102-4C41-B64A-795D6BD2D870}" name="Teste 3" dataDxfId="961"/>
    <tableColumn id="6" xr3:uid="{D721039C-277E-4E54-8E17-888B05484BE7}" name="Média" dataDxfId="960">
      <calculatedColumnFormula>AVERAGE(Table143690117144464961[[#This Row],[Teste 1]:[Teste 3]])</calculatedColumnFormula>
    </tableColumn>
  </tableColumns>
  <tableStyleInfo name="TableStyleLight15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8D90369C-744D-4000-B51E-7A9636371629}" name="Table1436901171445062" displayName="Table1436901171445062" ref="H178:M200" totalsRowShown="0" headerRowDxfId="959" dataDxfId="958">
  <autoFilter ref="H178:M200" xr:uid="{8D90369C-744D-4000-B51E-7A9636371629}"/>
  <tableColumns count="6">
    <tableColumn id="1" xr3:uid="{E431144F-C398-4961-895A-A3842D52D670}" name="CouchDB" dataDxfId="957"/>
    <tableColumn id="2" xr3:uid="{4F307B4D-690C-43E3-8638-2AB402E1C798}" name="Registos: 10 000 000" dataDxfId="956"/>
    <tableColumn id="3" xr3:uid="{68B8564F-CD54-4600-81D7-AED6CF112E25}" name="Teste 1" dataDxfId="955"/>
    <tableColumn id="4" xr3:uid="{3AE06F99-0DED-4B93-BC28-9C54253096D7}" name="Teste 2" dataDxfId="954"/>
    <tableColumn id="5" xr3:uid="{D81522C4-4305-46F6-A6B7-CFC3B3B6CD27}" name="Teste 3" dataDxfId="953"/>
    <tableColumn id="6" xr3:uid="{93AE9E80-E354-4DBE-952D-9C05C0BAF3D6}" name="Média" dataDxfId="952">
      <calculatedColumnFormula>AVERAGE(Table1436901171445062[[#This Row],[Teste 1]:[Teste 3]])</calculatedColumnFormula>
    </tableColumn>
  </tableColumns>
  <tableStyleInfo name="TableStyleLight15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E660F71-CC9D-4EF2-8302-1CEB31B25251}" name="Table143690117144455163" displayName="Table143690117144455163" ref="H206:M228" totalsRowShown="0" headerRowDxfId="951" dataDxfId="950">
  <autoFilter ref="H206:M228" xr:uid="{FE660F71-CC9D-4EF2-8302-1CEB31B25251}"/>
  <tableColumns count="6">
    <tableColumn id="1" xr3:uid="{7717762E-B3F9-483F-A31D-E0F90954AB5B}" name="CouchDB" dataDxfId="949"/>
    <tableColumn id="2" xr3:uid="{0F25EA97-C4B7-494C-99D7-FC085308BEE7}" name="Registos: 10 000 000" dataDxfId="948"/>
    <tableColumn id="3" xr3:uid="{E85F0444-688D-4924-A336-CA8936829C7E}" name="Teste 1" dataDxfId="947"/>
    <tableColumn id="4" xr3:uid="{3A210626-B73A-4486-96CD-4426762C6AE7}" name="Teste 2" dataDxfId="946"/>
    <tableColumn id="5" xr3:uid="{6DF9AA8F-A72A-4D5C-9DB3-804D151E5907}" name="Teste 3" dataDxfId="945"/>
    <tableColumn id="6" xr3:uid="{8497E7A6-BB85-4B8A-8B83-C9F42604127C}" name="Média" dataDxfId="944">
      <calculatedColumnFormula>AVERAGE(Table143690117144455163[[#This Row],[Teste 1]:[Teste 3]])</calculatedColumnFormula>
    </tableColumn>
  </tableColumns>
  <tableStyleInfo name="TableStyleLight15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FF256DA-9B1F-440F-846F-D14B79F2B98D}" name="Table143690117144465289" displayName="Table143690117144465289" ref="H234:M256" totalsRowShown="0" headerRowDxfId="943" dataDxfId="942">
  <autoFilter ref="H234:M256" xr:uid="{FFF256DA-9B1F-440F-846F-D14B79F2B98D}"/>
  <tableColumns count="6">
    <tableColumn id="1" xr3:uid="{248586A1-770A-4D6F-A508-88A5B0A30E4A}" name="CouchDB" dataDxfId="941"/>
    <tableColumn id="2" xr3:uid="{4F620D74-FE4A-4836-BC30-FF2C1388BE2D}" name="Registos: 10 000 000" dataDxfId="940"/>
    <tableColumn id="3" xr3:uid="{8642D8E2-0CAD-444D-B20A-FA3350938C4C}" name="Teste 1" dataDxfId="939"/>
    <tableColumn id="4" xr3:uid="{4636A6B1-DE60-4DA7-AF6D-997EDD2E7AB1}" name="Teste 2" dataDxfId="938"/>
    <tableColumn id="5" xr3:uid="{5610B3DB-F526-40CB-B349-F9557D3A27E9}" name="Teste 3" dataDxfId="937"/>
    <tableColumn id="6" xr3:uid="{FF3723EA-8153-493A-967F-E8518A003D79}" name="Média" dataDxfId="936">
      <calculatedColumnFormula>AVERAGE(Table143690117144465289[[#This Row],[Teste 1]:[Teste 3]])</calculatedColumnFormula>
    </tableColumn>
  </tableColumns>
  <tableStyleInfo name="TableStyleLight15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9740D9F3-9A13-4BA1-A4FF-F40F86994ADD}" name="Table14369011714493" displayName="Table14369011714493" ref="O6:T28" totalsRowShown="0" headerRowDxfId="935" dataDxfId="934">
  <autoFilter ref="O6:T28" xr:uid="{9740D9F3-9A13-4BA1-A4FF-F40F86994ADD}"/>
  <tableColumns count="6">
    <tableColumn id="1" xr3:uid="{E1224567-C59B-4860-BE96-1900C2B9F3CB}" name="MongoDB" dataDxfId="933"/>
    <tableColumn id="2" xr3:uid="{9793C903-634C-4CCD-8FAE-B687934B76B2}" name="Registos: 100 000" dataDxfId="932"/>
    <tableColumn id="3" xr3:uid="{6334C345-CD3B-4FED-B49E-806404399D30}" name="Teste 1" dataDxfId="931"/>
    <tableColumn id="4" xr3:uid="{041DA8B7-0444-44EF-B4E8-76E3B8D31406}" name="Teste 2" dataDxfId="930"/>
    <tableColumn id="5" xr3:uid="{4F413161-1D75-414A-9214-AB41CA11ACD4}" name="Teste 3" dataDxfId="929"/>
    <tableColumn id="6" xr3:uid="{0280CF10-A3C1-44E4-8510-2B19F70383E4}" name="Média" dataDxfId="928">
      <calculatedColumnFormula>AVERAGE(Table14369011714493[[#This Row],[Teste 1]:[Teste 3]])</calculatedColumnFormula>
    </tableColumn>
  </tableColumns>
  <tableStyleInfo name="TableStyleLight15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B71D7F4-DCFE-4C74-8AC2-5976FC27B317}" name="Table1436901171444594" displayName="Table1436901171444594" ref="O34:T56" totalsRowShown="0" headerRowDxfId="927" dataDxfId="926">
  <autoFilter ref="O34:T56" xr:uid="{BB71D7F4-DCFE-4C74-8AC2-5976FC27B317}"/>
  <tableColumns count="6">
    <tableColumn id="1" xr3:uid="{A8084946-5DC7-47BF-AA87-9EE4B41A3ACE}" name="MongoDB" dataDxfId="925"/>
    <tableColumn id="2" xr3:uid="{E8917890-6F27-42FD-8C6F-BB7E975FC8B4}" name="Registos: 100 000" dataDxfId="924"/>
    <tableColumn id="3" xr3:uid="{BA4BAB9B-0188-4152-AFA0-5A7F058B8780}" name="Teste 1" dataDxfId="923"/>
    <tableColumn id="4" xr3:uid="{185D8220-92C4-4D71-9694-031075DF8FE1}" name="Teste 2" dataDxfId="922"/>
    <tableColumn id="5" xr3:uid="{842FE05A-A398-4434-B1FC-FB7EBD3186DE}" name="Teste 3" dataDxfId="921"/>
    <tableColumn id="6" xr3:uid="{4A378437-BDD7-4E70-ACA9-8AEBB08D183E}" name="Média" dataDxfId="920">
      <calculatedColumnFormula>AVERAGE(Table1436901171444594[[#This Row],[Teste 1]:[Teste 3]])</calculatedColumnFormula>
    </tableColumn>
  </tableColumns>
  <tableStyleInfo name="TableStyleLight15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5BB1F0E1-1F1E-4C0B-AEC9-B7B7E8235505}" name="Table1436901171444695" displayName="Table1436901171444695" ref="O62:T84" totalsRowShown="0" headerRowDxfId="919" dataDxfId="918">
  <autoFilter ref="O62:T84" xr:uid="{5BB1F0E1-1F1E-4C0B-AEC9-B7B7E8235505}"/>
  <tableColumns count="6">
    <tableColumn id="1" xr3:uid="{7EEC344C-EE0C-481C-8607-C59C0682004D}" name="MongoDB" dataDxfId="917"/>
    <tableColumn id="2" xr3:uid="{0C5C32A3-656C-4DC0-8359-C4C7CBE758FD}" name="Registos: 100 000" dataDxfId="916"/>
    <tableColumn id="3" xr3:uid="{82C2E673-95CD-4DA3-967A-50EC31F1044A}" name="Teste 1" dataDxfId="915"/>
    <tableColumn id="4" xr3:uid="{24406C89-DA19-48B1-B2DE-8265B6184040}" name="Teste 2" dataDxfId="914"/>
    <tableColumn id="5" xr3:uid="{14156DD2-B7E1-4F79-91DB-77F29BB34B03}" name="Teste 3" dataDxfId="913"/>
    <tableColumn id="6" xr3:uid="{19EC4FD2-A36B-4A17-AAB9-2432E2B983E1}" name="Média" dataDxfId="912">
      <calculatedColumnFormula>AVERAGE(Table1436901171444695[[#This Row],[Teste 1]:[Teste 3]])</calculatedColumnFormula>
    </tableColumn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B728D80-4D83-47CC-BCC1-26EA93C86BAD}" name="Table161271" displayName="Table161271" ref="H70:M85" totalsRowShown="0" headerRowDxfId="1847" dataDxfId="1846">
  <autoFilter ref="H70:M85" xr:uid="{9B728D80-4D83-47CC-BCC1-26EA93C86BAD}"/>
  <tableColumns count="6">
    <tableColumn id="1" xr3:uid="{154F2D0D-CFAD-45A4-9EA5-1B917ED0DE80}" name="CouchDB" dataDxfId="1845"/>
    <tableColumn id="2" xr3:uid="{765A864E-923F-4D97-9E1B-6C1386AC26BD}" name="Registos: 1 000 000 " dataDxfId="1844"/>
    <tableColumn id="3" xr3:uid="{C5BD1C5B-7B79-46CE-B59B-60F0A496BEC4}" name="Teste 1" dataDxfId="1843"/>
    <tableColumn id="4" xr3:uid="{2C664F65-BEDA-43C7-900D-DF6EDB2D6651}" name="Teste 2" dataDxfId="1842"/>
    <tableColumn id="5" xr3:uid="{AF1F80CE-A322-4980-B981-C8BA273047A0}" name="Teste 3" dataDxfId="1841"/>
    <tableColumn id="6" xr3:uid="{A181351F-F8D6-480F-9B2E-F58355FB85D7}" name="Média" dataDxfId="1840">
      <calculatedColumnFormula>AVERAGE(Table161271[[#This Row],[Teste 1]:[Teste 3]])</calculatedColumnFormula>
    </tableColumn>
  </tableColumns>
  <tableStyleInfo name="TableStyleLight15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A8E65164-C66F-4D06-B754-F0E86D5D99AB}" name="Table1436901171444796" displayName="Table1436901171444796" ref="O92:T114" totalsRowShown="0" headerRowDxfId="911" dataDxfId="910">
  <autoFilter ref="O92:T114" xr:uid="{A8E65164-C66F-4D06-B754-F0E86D5D99AB}"/>
  <tableColumns count="6">
    <tableColumn id="1" xr3:uid="{C234EFC5-6880-4ED2-86A0-C6EA6CF6A627}" name="MongoDB" dataDxfId="909"/>
    <tableColumn id="2" xr3:uid="{1B4A8221-910B-49A3-A3A7-769389D4E645}" name="Registos: 1 000 000" dataDxfId="908"/>
    <tableColumn id="3" xr3:uid="{49DD9857-32A6-4EBE-999E-62CE2E139512}" name="Teste 1" dataDxfId="907"/>
    <tableColumn id="4" xr3:uid="{52D0E18A-8406-46AB-A070-761E31DB90B4}" name="Teste 2" dataDxfId="906"/>
    <tableColumn id="5" xr3:uid="{1CF42053-2271-48F1-9B1E-26C461E9EA45}" name="Teste 3" dataDxfId="905"/>
    <tableColumn id="6" xr3:uid="{E700BE14-FD98-4F48-8BF9-4F123B99F549}" name="Média" dataDxfId="904">
      <calculatedColumnFormula>AVERAGE(Table1436901171444796[[#This Row],[Teste 1]:[Teste 3]])</calculatedColumnFormula>
    </tableColumn>
  </tableColumns>
  <tableStyleInfo name="TableStyleLight15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5FA26064-F026-4D6E-A754-971A2046D1C6}" name="Table143690117144454897" displayName="Table143690117144454897" ref="O120:T142" totalsRowShown="0" headerRowDxfId="903" dataDxfId="902">
  <autoFilter ref="O120:T142" xr:uid="{5FA26064-F026-4D6E-A754-971A2046D1C6}"/>
  <tableColumns count="6">
    <tableColumn id="1" xr3:uid="{146D6AC7-1D2B-4639-A539-85F0D8FCA5BD}" name="MongoDB" dataDxfId="901"/>
    <tableColumn id="2" xr3:uid="{0BFB389A-A032-4113-8132-EE9D5E05C4C5}" name="Registos: 1 000 000" dataDxfId="900"/>
    <tableColumn id="3" xr3:uid="{7B7CC423-5C20-433F-99AA-50F27E8B995F}" name="Teste 1" dataDxfId="899"/>
    <tableColumn id="4" xr3:uid="{6842FD35-9AA2-4EB9-B7CA-872B72F5D1E3}" name="Teste 2" dataDxfId="898"/>
    <tableColumn id="5" xr3:uid="{D10F1088-8B09-46A8-BE27-131AB36FDF49}" name="Teste 3" dataDxfId="897"/>
    <tableColumn id="6" xr3:uid="{BCA76031-0215-4530-B86D-CE0D50A27CAF}" name="Média" dataDxfId="896">
      <calculatedColumnFormula>AVERAGE(Table143690117144454897[[#This Row],[Teste 1]:[Teste 3]])</calculatedColumnFormula>
    </tableColumn>
  </tableColumns>
  <tableStyleInfo name="TableStyleLight15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EEDE5927-6621-4870-A4AD-A67B5DF4319B}" name="Table143690117144464998" displayName="Table143690117144464998" ref="O148:T170" totalsRowShown="0" headerRowDxfId="895" dataDxfId="894">
  <autoFilter ref="O148:T170" xr:uid="{EEDE5927-6621-4870-A4AD-A67B5DF4319B}"/>
  <tableColumns count="6">
    <tableColumn id="1" xr3:uid="{88F976F0-D761-484A-BE4C-E97907ACB9F7}" name="MongoDB" dataDxfId="893"/>
    <tableColumn id="2" xr3:uid="{499189AA-8BA2-4CB2-8BA2-C415D4678B93}" name="Registos: 1 000 000" dataDxfId="892"/>
    <tableColumn id="3" xr3:uid="{D528E805-681E-408D-8569-2A3CF9F11ACB}" name="Teste 1" dataDxfId="891"/>
    <tableColumn id="4" xr3:uid="{A4598B4D-2D53-42C7-9A0E-C170472B98BF}" name="Teste 2" dataDxfId="890"/>
    <tableColumn id="5" xr3:uid="{DA3DF679-B1DB-4756-9E93-65D85B8D2B47}" name="Teste 3" dataDxfId="889"/>
    <tableColumn id="6" xr3:uid="{3B762AAE-EA03-425F-B3F2-2CF871F09606}" name="Média" dataDxfId="888">
      <calculatedColumnFormula>AVERAGE(Table143690117144464998[[#This Row],[Teste 1]:[Teste 3]])</calculatedColumnFormula>
    </tableColumn>
  </tableColumns>
  <tableStyleInfo name="TableStyleLight15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7250012-B3AF-4017-B2DE-C69AF588C8BC}" name="Table1436901171445099" displayName="Table1436901171445099" ref="O178:T200" totalsRowShown="0" headerRowDxfId="887" dataDxfId="886">
  <autoFilter ref="O178:T200" xr:uid="{07250012-B3AF-4017-B2DE-C69AF588C8BC}"/>
  <tableColumns count="6">
    <tableColumn id="1" xr3:uid="{BA94105A-574B-4BE6-BE9E-9CC83F46918F}" name="MongoDB" dataDxfId="885"/>
    <tableColumn id="2" xr3:uid="{008FF7EC-AA11-4140-832D-4AFE7FE9668A}" name="Registos: 10 000 000" dataDxfId="884"/>
    <tableColumn id="3" xr3:uid="{7C8242CA-D887-49CC-9433-4C64CAD89DDF}" name="Teste 1" dataDxfId="883"/>
    <tableColumn id="4" xr3:uid="{72999BE4-C6C3-4AD9-AF81-339C2ECCEF2E}" name="Teste 2" dataDxfId="882"/>
    <tableColumn id="5" xr3:uid="{E84B0242-2D32-4E5E-93A4-0ED52B325E7F}" name="Teste 3" dataDxfId="881"/>
    <tableColumn id="6" xr3:uid="{2DC0794D-8DE8-40D5-BB15-98145999CF74}" name="Média" dataDxfId="880">
      <calculatedColumnFormula>AVERAGE(Table1436901171445099[[#This Row],[Teste 1]:[Teste 3]])</calculatedColumnFormula>
    </tableColumn>
  </tableColumns>
  <tableStyleInfo name="TableStyleLight15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A274989A-1490-426D-BAD7-E542A3BB2CD7}" name="Table1436901171444551100" displayName="Table1436901171444551100" ref="O206:T228" totalsRowShown="0" headerRowDxfId="879" dataDxfId="878">
  <autoFilter ref="O206:T228" xr:uid="{A274989A-1490-426D-BAD7-E542A3BB2CD7}"/>
  <tableColumns count="6">
    <tableColumn id="1" xr3:uid="{308A72B7-E17B-4BB6-8E6D-28F5B65C17AD}" name="MongoDB" dataDxfId="877"/>
    <tableColumn id="2" xr3:uid="{F9BE8E0E-E073-4A42-8C3C-DF390827F330}" name="Registos: 10 000 000" dataDxfId="876"/>
    <tableColumn id="3" xr3:uid="{0B2F035F-6AE7-4E64-A75B-E5DE04A15317}" name="Teste 1" dataDxfId="875"/>
    <tableColumn id="4" xr3:uid="{B4A65BD6-F8F8-4FF9-8B9A-C32657345E63}" name="Teste 2" dataDxfId="874"/>
    <tableColumn id="5" xr3:uid="{244DAEE7-14F1-4AF9-AB16-84CA5059A5DA}" name="Teste 3" dataDxfId="873"/>
    <tableColumn id="6" xr3:uid="{4CD70DBC-7581-4223-A2B5-FD832D27D126}" name="Média" dataDxfId="872">
      <calculatedColumnFormula>AVERAGE(Table1436901171444551100[[#This Row],[Teste 1]:[Teste 3]])</calculatedColumnFormula>
    </tableColumn>
  </tableColumns>
  <tableStyleInfo name="TableStyleLight15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9BB8A02-E130-4002-B811-0CE51EAF478A}" name="Table1436901171444652101" displayName="Table1436901171444652101" ref="O234:T256" totalsRowShown="0" headerRowDxfId="871" dataDxfId="870">
  <autoFilter ref="O234:T256" xr:uid="{39BB8A02-E130-4002-B811-0CE51EAF478A}"/>
  <tableColumns count="6">
    <tableColumn id="1" xr3:uid="{DA0C233C-37C4-40F5-A0AE-B472A400888A}" name="MongoDB" dataDxfId="869"/>
    <tableColumn id="2" xr3:uid="{3BACF7A5-FEAA-4244-9795-3016C0BD9193}" name="Registos: 10 000 000" dataDxfId="868"/>
    <tableColumn id="3" xr3:uid="{F9C70975-E25A-438B-A534-657A3F6BBAEA}" name="Teste 1" dataDxfId="867"/>
    <tableColumn id="4" xr3:uid="{EFCD0AB8-52F6-4229-AF16-3E79AC42437F}" name="Teste 2" dataDxfId="866"/>
    <tableColumn id="5" xr3:uid="{EC9A853B-DBD8-4B6D-A928-94F1EAB0D804}" name="Teste 3" dataDxfId="865"/>
    <tableColumn id="6" xr3:uid="{81265DB9-65F7-4493-B5E1-80040E2154EE}" name="Média" dataDxfId="864">
      <calculatedColumnFormula>AVERAGE(Table1436901171444652101[[#This Row],[Teste 1]:[Teste 3]])</calculatedColumnFormula>
    </tableColumn>
  </tableColumns>
  <tableStyleInfo name="TableStyleLight15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65C776FB-3B56-48BF-878E-C02ED5A16F52}" name="Table143690117171105" displayName="Table143690117171105" ref="A6:F28" totalsRowShown="0" headerRowDxfId="863" dataDxfId="862">
  <autoFilter ref="A6:F28" xr:uid="{65C776FB-3B56-48BF-878E-C02ED5A16F52}"/>
  <tableColumns count="6">
    <tableColumn id="1" xr3:uid="{166DB6BD-5140-4B50-AE14-6BD36D75F2E8}" name="Couchbase" dataDxfId="861"/>
    <tableColumn id="2" xr3:uid="{B695B4AF-4EFC-4437-A354-7D01E52DEF8B}" name="Registos: 100 000" dataDxfId="860"/>
    <tableColumn id="3" xr3:uid="{21AACDC5-58C1-456D-831D-430C542C3A09}" name="Teste 1" dataDxfId="859"/>
    <tableColumn id="4" xr3:uid="{174D0DD5-1270-4DD6-8D1D-B7151B279821}" name="Teste 2" dataDxfId="858"/>
    <tableColumn id="5" xr3:uid="{EAA3EF99-1785-4774-8229-838BB59779C9}" name="Teste 3" dataDxfId="857"/>
    <tableColumn id="6" xr3:uid="{1A865A28-3A00-40EC-8D2D-BA3079A12733}" name="Média" dataDxfId="856">
      <calculatedColumnFormula>AVERAGE(Table143690117171105[[#This Row],[Teste 1]:[Teste 3]])</calculatedColumnFormula>
    </tableColumn>
  </tableColumns>
  <tableStyleInfo name="TableStyleLight15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6EF15E1F-59EE-4915-9B2B-68BBAFE3F023}" name="Table143690117171105106" displayName="Table143690117171105106" ref="A34:F56" totalsRowShown="0" headerRowDxfId="855" dataDxfId="854">
  <autoFilter ref="A34:F56" xr:uid="{6EF15E1F-59EE-4915-9B2B-68BBAFE3F023}"/>
  <tableColumns count="6">
    <tableColumn id="1" xr3:uid="{21C16928-696C-4737-9706-90DB8AAA59CD}" name="Couchbase" dataDxfId="853"/>
    <tableColumn id="2" xr3:uid="{34F54DEC-9C7B-4459-B537-7CBA0734CD35}" name="Registos: 100 000" dataDxfId="852"/>
    <tableColumn id="3" xr3:uid="{B840A45A-E251-4417-BB97-8C5EBD44AC69}" name="Teste 1" dataDxfId="851"/>
    <tableColumn id="4" xr3:uid="{90AC75A2-8397-4173-BC9A-3B41953C9048}" name="Teste 2" dataDxfId="850"/>
    <tableColumn id="5" xr3:uid="{A73AB621-72CC-47BA-8DB3-B9DC722613F1}" name="Teste 3" dataDxfId="849"/>
    <tableColumn id="6" xr3:uid="{55A0DF96-18E9-4042-97FE-3B51B25F24C1}" name="Média" dataDxfId="848">
      <calculatedColumnFormula>AVERAGE(Table143690117171105106[[#This Row],[Teste 1]:[Teste 3]])</calculatedColumnFormula>
    </tableColumn>
  </tableColumns>
  <tableStyleInfo name="TableStyleLight15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9D9C245F-2A07-4002-90C5-5D79723CD845}" name="Table143690117171105107" displayName="Table143690117171105107" ref="A62:F84" totalsRowShown="0" headerRowDxfId="847" dataDxfId="846">
  <autoFilter ref="A62:F84" xr:uid="{9D9C245F-2A07-4002-90C5-5D79723CD845}"/>
  <tableColumns count="6">
    <tableColumn id="1" xr3:uid="{8FDCE97A-A91D-425E-B479-2C1A1F9111B6}" name="Couchbase" dataDxfId="845"/>
    <tableColumn id="2" xr3:uid="{C4491E64-2FB5-4E4B-9841-2CC3225D845C}" name="Registos: 100 000" dataDxfId="844"/>
    <tableColumn id="3" xr3:uid="{DCB81150-F8C4-405F-832B-2474FD5721D2}" name="Teste 1" dataDxfId="843"/>
    <tableColumn id="4" xr3:uid="{4E243381-E248-4A67-904D-ABE8EA1811E1}" name="Teste 2" dataDxfId="842"/>
    <tableColumn id="5" xr3:uid="{8D63A80C-4936-4289-A11D-04A4C611B726}" name="Teste 3" dataDxfId="841"/>
    <tableColumn id="6" xr3:uid="{66DB678B-6861-4359-849F-9C4792B99AED}" name="Média" dataDxfId="840">
      <calculatedColumnFormula>AVERAGE(Table143690117171105107[[#This Row],[Teste 1]:[Teste 3]])</calculatedColumnFormula>
    </tableColumn>
  </tableColumns>
  <tableStyleInfo name="TableStyleLight15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C0021630-E06C-4C97-BEBF-D3FDD11E0B96}" name="Table143690117171105108" displayName="Table143690117171105108" ref="A92:F114" totalsRowShown="0" headerRowDxfId="839" dataDxfId="838">
  <autoFilter ref="A92:F114" xr:uid="{C0021630-E06C-4C97-BEBF-D3FDD11E0B96}"/>
  <tableColumns count="6">
    <tableColumn id="1" xr3:uid="{4FF7BFC6-23F1-4A7B-A292-106E52C61709}" name="Couchbase" dataDxfId="837"/>
    <tableColumn id="2" xr3:uid="{0CA37F79-89CA-4633-8250-85AEB98CB5AD}" name="Registos: 1 000 000" dataDxfId="836"/>
    <tableColumn id="3" xr3:uid="{9A28530B-FCCC-4347-A2EC-610861E46E3D}" name="Teste 1" dataDxfId="835"/>
    <tableColumn id="4" xr3:uid="{FE2E32A1-5FDD-40F4-AD6B-641AB6BB4C1B}" name="Teste 2" dataDxfId="834"/>
    <tableColumn id="5" xr3:uid="{4778D141-4CF1-4384-9642-78B69923647C}" name="Teste 3" dataDxfId="833"/>
    <tableColumn id="6" xr3:uid="{9C0BC0BC-BBEF-4EFE-AA91-1118C28C283A}" name="Média" dataDxfId="832">
      <calculatedColumnFormula>AVERAGE(Table143690117171105108[[#This Row],[Teste 1]:[Teste 3]])</calculatedColumnFormula>
    </tableColumn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7695DF1-BE93-40FE-914F-2F8B04D02550}" name="Table1671372" displayName="Table1671372" ref="H91:M106" totalsRowShown="0" headerRowDxfId="1839" dataDxfId="1838">
  <autoFilter ref="H91:M106" xr:uid="{67695DF1-BE93-40FE-914F-2F8B04D02550}"/>
  <tableColumns count="6">
    <tableColumn id="1" xr3:uid="{C51C856E-12AB-44F5-BFDB-31F1C7CE302E}" name="CouchDB" dataDxfId="1837"/>
    <tableColumn id="2" xr3:uid="{C5D536F3-B535-450D-A2B9-5A5923456BFA}" name="Registos: 1 000 000 " dataDxfId="1836"/>
    <tableColumn id="3" xr3:uid="{8F20CFBF-E197-4184-9698-3B58F80D68F2}" name="Teste 1" dataDxfId="1835"/>
    <tableColumn id="4" xr3:uid="{6902DB17-D026-48D1-B509-31D71A106ADE}" name="Teste 2" dataDxfId="1834"/>
    <tableColumn id="5" xr3:uid="{79D5B1AE-B185-4346-B6BD-3D333660F2BB}" name="Teste 3" dataDxfId="1833"/>
    <tableColumn id="6" xr3:uid="{D915C1C6-86F7-4AA3-AF82-8AF5E54EE929}" name="Média" dataDxfId="1832">
      <calculatedColumnFormula>AVERAGE(Table1671372[[#This Row],[Teste 1]:[Teste 3]])</calculatedColumnFormula>
    </tableColumn>
  </tableColumns>
  <tableStyleInfo name="TableStyleLight15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9F8751C8-FC74-4FAD-9C6E-F6EBA30601FA}" name="Table143690117171105106109" displayName="Table143690117171105106109" ref="A120:F142" totalsRowShown="0" headerRowDxfId="831" dataDxfId="830">
  <autoFilter ref="A120:F142" xr:uid="{9F8751C8-FC74-4FAD-9C6E-F6EBA30601FA}"/>
  <tableColumns count="6">
    <tableColumn id="1" xr3:uid="{0CC1211C-B63D-41E8-B2D7-C442B61F36DD}" name="Couchbase" dataDxfId="829"/>
    <tableColumn id="2" xr3:uid="{DA56EB7B-B0FB-45D4-B395-44EC4C4DDD66}" name="Registos: 1 000 000" dataDxfId="828"/>
    <tableColumn id="3" xr3:uid="{FD70AE73-F453-4306-9AD1-8EA03FFBF155}" name="Teste 1" dataDxfId="827"/>
    <tableColumn id="4" xr3:uid="{9DBBCACA-DB1E-4549-B394-B3049DF41445}" name="Teste 2" dataDxfId="826"/>
    <tableColumn id="5" xr3:uid="{D7950EB0-79FD-4A22-8398-CBAA31CF165E}" name="Teste 3" dataDxfId="825"/>
    <tableColumn id="6" xr3:uid="{BA16D9A5-1450-4F09-95C2-2F3B1CDC87A8}" name="Média" dataDxfId="824">
      <calculatedColumnFormula>AVERAGE(Table143690117171105106109[[#This Row],[Teste 1]:[Teste 3]])</calculatedColumnFormula>
    </tableColumn>
  </tableColumns>
  <tableStyleInfo name="TableStyleLight15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5A6EE593-A068-4D2A-88EB-0F6F537E9C33}" name="Table143690117171105107110" displayName="Table143690117171105107110" ref="A148:F170" totalsRowShown="0" headerRowDxfId="823" dataDxfId="822">
  <autoFilter ref="A148:F170" xr:uid="{5A6EE593-A068-4D2A-88EB-0F6F537E9C33}"/>
  <tableColumns count="6">
    <tableColumn id="1" xr3:uid="{EBD1D7F8-6704-407A-9057-EE2101306149}" name="Couchbase" dataDxfId="821"/>
    <tableColumn id="2" xr3:uid="{A2F1CCEA-55CE-4D73-82B5-1E48FD82E171}" name="Registos: 1 000 000" dataDxfId="820"/>
    <tableColumn id="3" xr3:uid="{06B8422E-9751-4B05-A0F1-92E712411432}" name="Teste 1" dataDxfId="819"/>
    <tableColumn id="4" xr3:uid="{3D2F2134-E696-4F5E-A62B-CF4CF71046F1}" name="Teste 2" dataDxfId="818"/>
    <tableColumn id="5" xr3:uid="{B39B42BD-4358-4B34-B7DC-4113D4A78902}" name="Teste 3" dataDxfId="817"/>
    <tableColumn id="6" xr3:uid="{123CA6B2-D8A2-4F01-BE08-AC765BC6BE9F}" name="Média" dataDxfId="816">
      <calculatedColumnFormula>AVERAGE(Table143690117171105107110[[#This Row],[Teste 1]:[Teste 3]])</calculatedColumnFormula>
    </tableColumn>
  </tableColumns>
  <tableStyleInfo name="TableStyleLight15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E7A334E-43D4-4024-8B2F-B8752F82F2C9}" name="Table143690117171105111" displayName="Table143690117171105111" ref="A178:F200" totalsRowShown="0" headerRowDxfId="815" dataDxfId="814">
  <autoFilter ref="A178:F200" xr:uid="{0E7A334E-43D4-4024-8B2F-B8752F82F2C9}"/>
  <tableColumns count="6">
    <tableColumn id="1" xr3:uid="{00F76A6D-B603-4CF1-BE98-0A5632442E5E}" name="Couchbase" dataDxfId="813"/>
    <tableColumn id="2" xr3:uid="{B28D4C0F-3938-4200-B987-31A559FDFE7E}" name="Registos: 10 000 000" dataDxfId="812"/>
    <tableColumn id="3" xr3:uid="{122667A4-48E3-410C-85D7-33842BF821C4}" name="Teste 1" dataDxfId="811"/>
    <tableColumn id="4" xr3:uid="{B62972B8-8A76-4EFE-B704-75A9F87F50A3}" name="Teste 2" dataDxfId="810"/>
    <tableColumn id="5" xr3:uid="{F80E96AD-5ACD-47DC-A850-369A40929C2A}" name="Teste 3" dataDxfId="809"/>
    <tableColumn id="6" xr3:uid="{DA24E9AB-05A0-4695-9F88-CB2B9C4D050C}" name="Média" dataDxfId="808">
      <calculatedColumnFormula>AVERAGE(Table143690117171105111[[#This Row],[Teste 1]:[Teste 3]])</calculatedColumnFormula>
    </tableColumn>
  </tableColumns>
  <tableStyleInfo name="TableStyleLight15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D2E2CDC6-9A91-4465-9A63-1991F8728149}" name="Table143690117171105106112" displayName="Table143690117171105106112" ref="A206:F228" totalsRowShown="0" headerRowDxfId="807" dataDxfId="806">
  <autoFilter ref="A206:F228" xr:uid="{D2E2CDC6-9A91-4465-9A63-1991F8728149}"/>
  <tableColumns count="6">
    <tableColumn id="1" xr3:uid="{670A0FF8-0A4B-4BC2-B374-DE12C6795F7A}" name="Couchbase" dataDxfId="805"/>
    <tableColumn id="2" xr3:uid="{44270346-5FFB-4BA9-ADF4-278ACE3920D2}" name="Registos: 10 000 000" dataDxfId="804"/>
    <tableColumn id="3" xr3:uid="{55223776-0BBA-4B57-8C34-560231C4B4E0}" name="Teste 1" dataDxfId="803"/>
    <tableColumn id="4" xr3:uid="{B70E6AD3-F40A-40CD-9BFF-47A7F9536735}" name="Teste 2" dataDxfId="802"/>
    <tableColumn id="5" xr3:uid="{432F9287-C4EC-4E50-B68A-3A86D9186125}" name="Teste 3" dataDxfId="801"/>
    <tableColumn id="6" xr3:uid="{2F8AC071-86D4-456E-AECF-CA5A976A0547}" name="Média" dataDxfId="800">
      <calculatedColumnFormula>AVERAGE(Table143690117171105106112[[#This Row],[Teste 1]:[Teste 3]])</calculatedColumnFormula>
    </tableColumn>
  </tableColumns>
  <tableStyleInfo name="TableStyleLight15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A1FC122-A2CB-4C6A-8577-6603D06A6A06}" name="Table143690117171105107113" displayName="Table143690117171105107113" ref="A234:F256" totalsRowShown="0" headerRowDxfId="799" dataDxfId="798">
  <autoFilter ref="A234:F256" xr:uid="{BA1FC122-A2CB-4C6A-8577-6603D06A6A06}"/>
  <tableColumns count="6">
    <tableColumn id="1" xr3:uid="{EF2B4C6A-9786-4F4B-9BA1-33CD570E1D5F}" name="Couchbase" dataDxfId="797"/>
    <tableColumn id="2" xr3:uid="{DE1FEE19-867A-4154-A5BB-405C68CE0FDE}" name="Registos: 10 000 000" dataDxfId="796"/>
    <tableColumn id="3" xr3:uid="{2814EBAD-C7A3-40CC-906B-A39FE15B4046}" name="Teste 1" dataDxfId="795"/>
    <tableColumn id="4" xr3:uid="{3296506C-F48A-4C25-90C4-5D6165AB432A}" name="Teste 2" dataDxfId="794"/>
    <tableColumn id="5" xr3:uid="{C0465484-653A-4ED0-BD2D-27482DB82F54}" name="Teste 3" dataDxfId="793"/>
    <tableColumn id="6" xr3:uid="{AD2FF135-9BF8-463A-847B-BC64B16C145F}" name="Média" dataDxfId="792">
      <calculatedColumnFormula>AVERAGE(Table143690117171105107113[[#This Row],[Teste 1]:[Teste 3]])</calculatedColumnFormula>
    </tableColumn>
  </tableColumns>
  <tableStyleInfo name="TableStyleLight15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ACBE53CF-65E8-4200-AF90-E1BD35DD1AA8}" name="Table143690117171105120" displayName="Table143690117171105120" ref="H6:M28" totalsRowShown="0" headerRowDxfId="791" dataDxfId="790">
  <autoFilter ref="H6:M28" xr:uid="{ACBE53CF-65E8-4200-AF90-E1BD35DD1AA8}"/>
  <tableColumns count="6">
    <tableColumn id="1" xr3:uid="{941E1070-E712-4A5D-9B6A-5336D58D9958}" name="CouchDB" dataDxfId="789"/>
    <tableColumn id="2" xr3:uid="{43A6FCE6-C2DB-4600-89CF-049ADEB0C38B}" name="Registos: 100 000" dataDxfId="788"/>
    <tableColumn id="3" xr3:uid="{1B22F95D-19B5-4A08-8D41-86C612AC4A96}" name="Teste 1" dataDxfId="787"/>
    <tableColumn id="4" xr3:uid="{8D3B77AA-78AC-4B2A-B2DC-98953B7F9411}" name="Teste 2" dataDxfId="786"/>
    <tableColumn id="5" xr3:uid="{B0428FED-286D-4A25-9B3C-F5F50B4401DC}" name="Teste 3" dataDxfId="785"/>
    <tableColumn id="6" xr3:uid="{A9EC313E-6F7A-469F-B09E-2267E5D94A30}" name="Média" dataDxfId="784">
      <calculatedColumnFormula>AVERAGE(Table143690117171105120[[#This Row],[Teste 1]:[Teste 3]])</calculatedColumnFormula>
    </tableColumn>
  </tableColumns>
  <tableStyleInfo name="TableStyleLight15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1D4AAA2C-03C5-45D5-9E14-7A030E14BAF4}" name="Table143690117171105106121" displayName="Table143690117171105106121" ref="H34:M56" totalsRowShown="0" headerRowDxfId="783" dataDxfId="782">
  <autoFilter ref="H34:M56" xr:uid="{1D4AAA2C-03C5-45D5-9E14-7A030E14BAF4}"/>
  <tableColumns count="6">
    <tableColumn id="1" xr3:uid="{C3D96E33-C804-46BB-AC5F-B514FC8B7445}" name="CouchDB" dataDxfId="781"/>
    <tableColumn id="2" xr3:uid="{D14865AF-A805-4BEB-B839-A2D308711A25}" name="Registos: 100 000" dataDxfId="780"/>
    <tableColumn id="3" xr3:uid="{8C30DE6E-B780-4E5D-B214-5746572FE954}" name="Teste 1" dataDxfId="779"/>
    <tableColumn id="4" xr3:uid="{A32B69E3-81C1-48B9-BA94-13F0078E6AAF}" name="Teste 2" dataDxfId="778"/>
    <tableColumn id="5" xr3:uid="{91D4EFD4-ED50-4417-8E61-AE1C436F6B73}" name="Teste 3" dataDxfId="777"/>
    <tableColumn id="6" xr3:uid="{9E8D7462-6633-4D16-8AD1-EBCF8F5E687D}" name="Média" dataDxfId="776">
      <calculatedColumnFormula>AVERAGE(Table143690117171105106121[[#This Row],[Teste 1]:[Teste 3]])</calculatedColumnFormula>
    </tableColumn>
  </tableColumns>
  <tableStyleInfo name="TableStyleLight15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C5AEEC6-8432-440E-A358-BD504B509A82}" name="Table143690117171105107123" displayName="Table143690117171105107123" ref="H62:M84" totalsRowShown="0" headerRowDxfId="775" dataDxfId="774">
  <autoFilter ref="H62:M84" xr:uid="{CC5AEEC6-8432-440E-A358-BD504B509A82}"/>
  <tableColumns count="6">
    <tableColumn id="1" xr3:uid="{6438CAE1-4F4B-45CF-8B22-24530D0B47E5}" name="CouchDB" dataDxfId="773"/>
    <tableColumn id="2" xr3:uid="{854A5A23-C570-4FEF-9A1D-245D559EAC5C}" name="Registos: 100 000" dataDxfId="772"/>
    <tableColumn id="3" xr3:uid="{2DA9508D-672C-404C-8EFD-19B3C4421A0E}" name="Teste 1" dataDxfId="771"/>
    <tableColumn id="4" xr3:uid="{4F1CAD44-B913-4E27-A33D-50328C3D1507}" name="Teste 2" dataDxfId="770"/>
    <tableColumn id="5" xr3:uid="{83EF6EFA-D4F3-4D5D-9A6E-9C0FA62F8C83}" name="Teste 3" dataDxfId="769"/>
    <tableColumn id="6" xr3:uid="{05F1829B-AE90-4330-85E9-BCBAC8693A85}" name="Média" dataDxfId="768">
      <calculatedColumnFormula>AVERAGE(Table143690117171105107123[[#This Row],[Teste 1]:[Teste 3]])</calculatedColumnFormula>
    </tableColumn>
  </tableColumns>
  <tableStyleInfo name="TableStyleLight15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3775EEB2-EAC4-472A-86C7-34D8D3A0D30D}" name="Table143690117171105108124" displayName="Table143690117171105108124" ref="H92:M114" totalsRowShown="0" headerRowDxfId="767" dataDxfId="766">
  <autoFilter ref="H92:M114" xr:uid="{3775EEB2-EAC4-472A-86C7-34D8D3A0D30D}"/>
  <tableColumns count="6">
    <tableColumn id="1" xr3:uid="{EFAE53A9-3B37-4205-AEB0-EC063B815E90}" name="CouchDB" dataDxfId="765"/>
    <tableColumn id="2" xr3:uid="{B1020399-8643-41CD-865F-7F59CA81FC4B}" name="Registos: 1 000 000" dataDxfId="764"/>
    <tableColumn id="3" xr3:uid="{3A6C354F-503C-4ECF-AE03-B9FDB37FB995}" name="Teste 1" dataDxfId="763"/>
    <tableColumn id="4" xr3:uid="{25BDD9FE-582A-4835-A098-5F8C7E54157D}" name="Teste 2" dataDxfId="762"/>
    <tableColumn id="5" xr3:uid="{833C56C1-1195-4BAA-9453-CE61EDDC18BC}" name="Teste 3" dataDxfId="761"/>
    <tableColumn id="6" xr3:uid="{C1B23F8D-8EB8-4A5B-A665-3081200591B0}" name="Média" dataDxfId="760">
      <calculatedColumnFormula>AVERAGE(Table143690117171105108124[[#This Row],[Teste 1]:[Teste 3]])</calculatedColumnFormula>
    </tableColumn>
  </tableColumns>
  <tableStyleInfo name="TableStyleLight15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C1347EC4-DEAE-4DDC-9458-63DC5B6DEE7E}" name="Table143690117171105106109126" displayName="Table143690117171105106109126" ref="H120:M142" totalsRowShown="0" headerRowDxfId="759" dataDxfId="758">
  <autoFilter ref="H120:M142" xr:uid="{C1347EC4-DEAE-4DDC-9458-63DC5B6DEE7E}"/>
  <tableColumns count="6">
    <tableColumn id="1" xr3:uid="{C5AA00C8-7941-486E-BC15-7CA3370F5627}" name="CouchDB" dataDxfId="757"/>
    <tableColumn id="2" xr3:uid="{B9B1E9FF-C7AA-4E03-BF0E-9223FC9ABC71}" name="Registos: 1 000 000" dataDxfId="756"/>
    <tableColumn id="3" xr3:uid="{283D1CDB-243A-4D0C-947F-4F04FB2FBCB6}" name="Teste 1" dataDxfId="755"/>
    <tableColumn id="4" xr3:uid="{11A38F53-D626-4636-8C7C-A6529DE6B6C0}" name="Teste 2" dataDxfId="754"/>
    <tableColumn id="5" xr3:uid="{79D8CC27-A1A4-4110-80DC-4F4B8A43C7B0}" name="Teste 3" dataDxfId="753"/>
    <tableColumn id="6" xr3:uid="{E2AEE888-DFA4-40CF-8A8B-281B8B999139}" name="Média" dataDxfId="752">
      <calculatedColumnFormula>AVERAGE(Table143690117171105106109126[[#This Row],[Teste 1]:[Teste 3]])</calculatedColumnFormula>
    </tableColumn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4C0CA4F6-0799-45F6-B681-D37C60E87BF2}" name="Table167111473" displayName="Table167111473" ref="H112:M127" totalsRowShown="0" headerRowDxfId="1831" dataDxfId="1830">
  <autoFilter ref="H112:M127" xr:uid="{4C0CA4F6-0799-45F6-B681-D37C60E87BF2}"/>
  <tableColumns count="6">
    <tableColumn id="1" xr3:uid="{3C8AA430-DE4D-4B9F-8EC1-C81AD20BFDB7}" name="CouchDB" dataDxfId="1829"/>
    <tableColumn id="2" xr3:uid="{7A151AB5-3DC8-4F56-AD45-27A374B6E1DF}" name="Registos: 1 000 000 " dataDxfId="1828"/>
    <tableColumn id="3" xr3:uid="{AD8A590C-DBDF-4D5B-8AA6-0094DFD72EFE}" name="Teste 1" dataDxfId="1827"/>
    <tableColumn id="4" xr3:uid="{70098A8B-80AB-4233-B3A1-F90132486858}" name="Teste 2" dataDxfId="1826"/>
    <tableColumn id="5" xr3:uid="{D26BCB75-ED44-46AD-A1D2-09F74E94B47F}" name="Teste 3" dataDxfId="1825"/>
    <tableColumn id="6" xr3:uid="{F698375C-9468-41E5-8109-B9542D560E1E}" name="Média" dataDxfId="1824">
      <calculatedColumnFormula>AVERAGE(Table167111473[[#This Row],[Teste 1]:[Teste 3]])</calculatedColumnFormula>
    </tableColumn>
  </tableColumns>
  <tableStyleInfo name="TableStyleLight15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BBC352D9-B35B-4E38-8D36-1E5871248DCF}" name="Table143690117171105107110127" displayName="Table143690117171105107110127" ref="H148:M170" totalsRowShown="0" headerRowDxfId="751" dataDxfId="750">
  <autoFilter ref="H148:M170" xr:uid="{BBC352D9-B35B-4E38-8D36-1E5871248DCF}"/>
  <tableColumns count="6">
    <tableColumn id="1" xr3:uid="{B95B8488-1907-426A-84DC-27E1C35C645E}" name="CouchDB" dataDxfId="749"/>
    <tableColumn id="2" xr3:uid="{253EC5D2-5B61-4192-8A0B-31180F3B4051}" name="Registos: 1 000 000" dataDxfId="748"/>
    <tableColumn id="3" xr3:uid="{94AA569D-8E8E-4A07-9EDE-F856E2C22792}" name="Teste 1" dataDxfId="747"/>
    <tableColumn id="4" xr3:uid="{1B89145E-9EFF-4A1A-9C1D-0858246AABD3}" name="Teste 2" dataDxfId="746"/>
    <tableColumn id="5" xr3:uid="{7838CA65-5E5A-4CB2-9F02-483EB8A7EC41}" name="Teste 3" dataDxfId="745"/>
    <tableColumn id="6" xr3:uid="{88125701-A8C4-4460-BFDA-BD03A0F339F1}" name="Média" dataDxfId="744">
      <calculatedColumnFormula>AVERAGE(Table143690117171105107110127[[#This Row],[Teste 1]:[Teste 3]])</calculatedColumnFormula>
    </tableColumn>
  </tableColumns>
  <tableStyleInfo name="TableStyleLight15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F4621F7-3F7F-47B6-A2B9-648A910F06F6}" name="Table143690117171105111129" displayName="Table143690117171105111129" ref="H178:M200" totalsRowShown="0" headerRowDxfId="743" dataDxfId="742">
  <autoFilter ref="H178:M200" xr:uid="{0F4621F7-3F7F-47B6-A2B9-648A910F06F6}"/>
  <tableColumns count="6">
    <tableColumn id="1" xr3:uid="{55F2E3E7-9029-4700-9026-C25A14349A93}" name="CouchDB" dataDxfId="741"/>
    <tableColumn id="2" xr3:uid="{9AFEA4A5-A692-4EEB-81F6-E32C8E509BF5}" name="Registos: 10 000 000" dataDxfId="740"/>
    <tableColumn id="3" xr3:uid="{BD253094-902D-46BF-B73B-0AEFC7655EB6}" name="Teste 1" dataDxfId="739"/>
    <tableColumn id="4" xr3:uid="{94C70E37-BC03-45A4-8DF1-4C73F9B3B54F}" name="Teste 2" dataDxfId="738"/>
    <tableColumn id="5" xr3:uid="{DA910A18-64DD-43E9-807B-268F5738A645}" name="Teste 3" dataDxfId="737"/>
    <tableColumn id="6" xr3:uid="{DABF6219-F73A-4A3C-A3F5-78313738D6F2}" name="Média" dataDxfId="736">
      <calculatedColumnFormula>AVERAGE(Table143690117171105111129[[#This Row],[Teste 1]:[Teste 3]])</calculatedColumnFormula>
    </tableColumn>
  </tableColumns>
  <tableStyleInfo name="TableStyleLight15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4EC765E0-BA23-4AB9-ABD7-207821B6DA14}" name="Table143690117171105106112130" displayName="Table143690117171105106112130" ref="H206:M228" totalsRowShown="0" headerRowDxfId="735" dataDxfId="734">
  <autoFilter ref="H206:M228" xr:uid="{4EC765E0-BA23-4AB9-ABD7-207821B6DA14}"/>
  <tableColumns count="6">
    <tableColumn id="1" xr3:uid="{D3F404D0-A275-4F76-A895-58B472814CAC}" name="CouchDB" dataDxfId="733"/>
    <tableColumn id="2" xr3:uid="{9BB582FC-3727-4015-B050-9BB06F6EC2EF}" name="Registos: 10 000 000" dataDxfId="732"/>
    <tableColumn id="3" xr3:uid="{FD922F8A-90E2-4602-8690-AA64724F1C20}" name="Teste 1" dataDxfId="731"/>
    <tableColumn id="4" xr3:uid="{6EA455DB-940A-4FFC-BD32-0EE0BF8F6552}" name="Teste 2" dataDxfId="730"/>
    <tableColumn id="5" xr3:uid="{D694042E-0605-4406-8F88-F884869D52D5}" name="Teste 3" dataDxfId="729"/>
    <tableColumn id="6" xr3:uid="{04009FAA-26E6-4D6C-926E-7B540EE0415C}" name="Média" dataDxfId="728">
      <calculatedColumnFormula>AVERAGE(Table143690117171105106112130[[#This Row],[Teste 1]:[Teste 3]])</calculatedColumnFormula>
    </tableColumn>
  </tableColumns>
  <tableStyleInfo name="TableStyleLight15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65676E0B-5656-4757-8CF7-5E1B22B70A20}" name="Table143690117171105107113132" displayName="Table143690117171105107113132" ref="H234:M256" totalsRowShown="0" headerRowDxfId="727" dataDxfId="726">
  <autoFilter ref="H234:M256" xr:uid="{65676E0B-5656-4757-8CF7-5E1B22B70A20}"/>
  <tableColumns count="6">
    <tableColumn id="1" xr3:uid="{BA31565E-39EB-43E5-B138-F04D4B5719A8}" name="CouchDB" dataDxfId="725"/>
    <tableColumn id="2" xr3:uid="{869F5781-513C-4435-A98A-8368A4CCA597}" name="Registos: 10 000 000" dataDxfId="724"/>
    <tableColumn id="3" xr3:uid="{1CAF1F01-6683-4B42-9782-88B91E2BA1A5}" name="Teste 1" dataDxfId="723"/>
    <tableColumn id="4" xr3:uid="{B51B5949-C012-430F-9C4F-48289A5A21A3}" name="Teste 2" dataDxfId="722"/>
    <tableColumn id="5" xr3:uid="{E9F81BEC-6E2A-4966-ADDF-EB32C06CA4DA}" name="Teste 3" dataDxfId="721"/>
    <tableColumn id="6" xr3:uid="{A013E2C0-3BAF-4FF2-ACFD-2D06835D218F}" name="Média" dataDxfId="720">
      <calculatedColumnFormula>AVERAGE(Table143690117171105107113132[[#This Row],[Teste 1]:[Teste 3]])</calculatedColumnFormula>
    </tableColumn>
  </tableColumns>
  <tableStyleInfo name="TableStyleLight15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BEDE83D-7FB6-4376-A7A4-4511720A2C41}" name="Table143690117171105138" displayName="Table143690117171105138" ref="O6:T28" totalsRowShown="0" headerRowDxfId="719" dataDxfId="718">
  <autoFilter ref="O6:T28" xr:uid="{0BEDE83D-7FB6-4376-A7A4-4511720A2C41}"/>
  <tableColumns count="6">
    <tableColumn id="1" xr3:uid="{53233CFE-98F4-4A97-9E4C-4B3697C22A47}" name="MongoDB" dataDxfId="717"/>
    <tableColumn id="2" xr3:uid="{76857572-B3DB-4541-B5F5-502BA96CE935}" name="Registos: 100 000" dataDxfId="716"/>
    <tableColumn id="3" xr3:uid="{8A0533A0-4078-44E2-B424-C5E997E646A1}" name="Teste 1" dataDxfId="715"/>
    <tableColumn id="4" xr3:uid="{B407CE97-D3BB-4A65-8177-07834EDB391D}" name="Teste 2" dataDxfId="714"/>
    <tableColumn id="5" xr3:uid="{13388303-8CD7-4E6C-948F-7CC878A5BDA2}" name="Teste 3" dataDxfId="713"/>
    <tableColumn id="6" xr3:uid="{DC3CED57-6A47-4B7C-8F82-A3D6C4C7948F}" name="Média" dataDxfId="712">
      <calculatedColumnFormula>AVERAGE(Table143690117171105138[[#This Row],[Teste 1]:[Teste 3]])</calculatedColumnFormula>
    </tableColumn>
  </tableColumns>
  <tableStyleInfo name="TableStyleLight15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3911E801-A33F-4709-AB7A-793A40040950}" name="Table143690117171105106139" displayName="Table143690117171105106139" ref="O34:T56" totalsRowShown="0" headerRowDxfId="711" dataDxfId="710">
  <autoFilter ref="O34:T56" xr:uid="{3911E801-A33F-4709-AB7A-793A40040950}"/>
  <tableColumns count="6">
    <tableColumn id="1" xr3:uid="{A7A46A29-8A36-4113-A145-F1E2EE2119F9}" name="MongoDB" dataDxfId="709"/>
    <tableColumn id="2" xr3:uid="{B383AA27-B611-4EAD-BDDE-33607E87FA3C}" name="Registos: 100 000" dataDxfId="708"/>
    <tableColumn id="3" xr3:uid="{5A7F5B1C-14DC-4740-BD01-EF7E422914BB}" name="Teste 1" dataDxfId="707"/>
    <tableColumn id="4" xr3:uid="{4D5FA027-FE52-48DD-B18A-CBF7B898E805}" name="Teste 2" dataDxfId="706"/>
    <tableColumn id="5" xr3:uid="{2E5FC517-D996-4FC7-8120-136120E22904}" name="Teste 3" dataDxfId="705"/>
    <tableColumn id="6" xr3:uid="{42A78A28-0491-4DAF-8187-3270BF0A054D}" name="Média" dataDxfId="704">
      <calculatedColumnFormula>AVERAGE(Table143690117171105106139[[#This Row],[Teste 1]:[Teste 3]])</calculatedColumnFormula>
    </tableColumn>
  </tableColumns>
  <tableStyleInfo name="TableStyleLight15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92FA8BC5-8F8F-40AB-86E5-99BEDDCC1FB6}" name="Table143690117171105107141" displayName="Table143690117171105107141" ref="O62:T84" totalsRowShown="0" headerRowDxfId="703" dataDxfId="702">
  <autoFilter ref="O62:T84" xr:uid="{92FA8BC5-8F8F-40AB-86E5-99BEDDCC1FB6}"/>
  <tableColumns count="6">
    <tableColumn id="1" xr3:uid="{7043939F-D40B-455A-B4F2-528798ECFD66}" name="MongoDB" dataDxfId="701"/>
    <tableColumn id="2" xr3:uid="{8F9A6C23-2A6C-476D-B9C0-F39CC6A567A3}" name="Registos: 100 000" dataDxfId="700"/>
    <tableColumn id="3" xr3:uid="{3479C1AC-B145-43DB-A040-EB20D1452FC9}" name="Teste 1" dataDxfId="699"/>
    <tableColumn id="4" xr3:uid="{9F8A0846-EE38-4945-96B5-17998B1E19FF}" name="Teste 2" dataDxfId="698"/>
    <tableColumn id="5" xr3:uid="{9160266C-1F1E-4BD9-A687-44F55895D1F4}" name="Teste 3" dataDxfId="697"/>
    <tableColumn id="6" xr3:uid="{6E551325-CB56-4411-B588-F4CEFE0E1035}" name="Média" dataDxfId="696">
      <calculatedColumnFormula>AVERAGE(Table143690117171105107141[[#This Row],[Teste 1]:[Teste 3]])</calculatedColumnFormula>
    </tableColumn>
  </tableColumns>
  <tableStyleInfo name="TableStyleLight15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745480E5-6470-459E-9873-CFCB4A4FFD54}" name="Table143690117171105108142" displayName="Table143690117171105108142" ref="O92:T114" totalsRowShown="0" headerRowDxfId="695" dataDxfId="694">
  <autoFilter ref="O92:T114" xr:uid="{745480E5-6470-459E-9873-CFCB4A4FFD54}"/>
  <tableColumns count="6">
    <tableColumn id="1" xr3:uid="{6A2A1D3B-0B20-4F86-B0CE-CBC16253895C}" name="MongoDB" dataDxfId="693"/>
    <tableColumn id="2" xr3:uid="{2C9DEA50-5482-4B19-BD4D-84571022D947}" name="Registos: 1 000 000" dataDxfId="692"/>
    <tableColumn id="3" xr3:uid="{EDD45CBA-A7B5-492A-B07F-D7C6CB122539}" name="Teste 1" dataDxfId="691"/>
    <tableColumn id="4" xr3:uid="{A0B23A9F-28E4-4619-A426-282D88358633}" name="Teste 2" dataDxfId="690"/>
    <tableColumn id="5" xr3:uid="{B1347B5E-92E1-4576-9958-E4698223F3BB}" name="Teste 3" dataDxfId="689"/>
    <tableColumn id="6" xr3:uid="{214FC28B-8C2D-4589-B0A1-52804D9B2515}" name="Média" dataDxfId="688">
      <calculatedColumnFormula>AVERAGE(Table143690117171105108142[[#This Row],[Teste 1]:[Teste 3]])</calculatedColumnFormula>
    </tableColumn>
  </tableColumns>
  <tableStyleInfo name="TableStyleLight15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2B3AA38E-D550-4BC8-B5AB-2CCA1DBB26E0}" name="Table143690117171105106109143" displayName="Table143690117171105106109143" ref="O120:T142" totalsRowShown="0" headerRowDxfId="687" dataDxfId="686">
  <autoFilter ref="O120:T142" xr:uid="{2B3AA38E-D550-4BC8-B5AB-2CCA1DBB26E0}"/>
  <tableColumns count="6">
    <tableColumn id="1" xr3:uid="{F77D5B2A-343B-42B6-B4DF-BD3BD3D265FB}" name="MongoDB" dataDxfId="685"/>
    <tableColumn id="2" xr3:uid="{1CE087F4-05FE-42AF-AAA9-AD18DB4F397B}" name="Registos: 1 000 000" dataDxfId="684"/>
    <tableColumn id="3" xr3:uid="{A3F2D3CC-5E5E-46A1-A0C1-421D09ABF26F}" name="Teste 1" dataDxfId="683"/>
    <tableColumn id="4" xr3:uid="{D87A8EE2-7245-498C-BBAF-6A96C501692D}" name="Teste 2" dataDxfId="682"/>
    <tableColumn id="5" xr3:uid="{CB25D6B7-452A-4BA2-9960-4176802033A5}" name="Teste 3" dataDxfId="681"/>
    <tableColumn id="6" xr3:uid="{0A8B3041-2981-4928-8BFF-A2F660124A66}" name="Média" dataDxfId="680">
      <calculatedColumnFormula>AVERAGE(Table143690117171105106109143[[#This Row],[Teste 1]:[Teste 3]])</calculatedColumnFormula>
    </tableColumn>
  </tableColumns>
  <tableStyleInfo name="TableStyleLight15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114E441E-B76F-4C75-AD88-C0412160CA82}" name="Table143690117171105107110145" displayName="Table143690117171105107110145" ref="O148:T170" totalsRowShown="0" headerRowDxfId="679" dataDxfId="678">
  <autoFilter ref="O148:T170" xr:uid="{114E441E-B76F-4C75-AD88-C0412160CA82}"/>
  <tableColumns count="6">
    <tableColumn id="1" xr3:uid="{4CAAE284-B084-4A17-AAF3-E132D2A6A796}" name="MongoDB" dataDxfId="677"/>
    <tableColumn id="2" xr3:uid="{9709622C-B13C-4EA8-AE41-43017332B648}" name="Registos: 1 000 000" dataDxfId="676"/>
    <tableColumn id="3" xr3:uid="{9E5A021A-B3C1-4E88-A42F-08D0AE1E5E73}" name="Teste 1" dataDxfId="675"/>
    <tableColumn id="4" xr3:uid="{1A5F9DFA-2DDB-4C31-AF51-CE8F67C8DF92}" name="Teste 2" dataDxfId="674"/>
    <tableColumn id="5" xr3:uid="{58F4A6F7-0434-450C-BA50-3B4907841048}" name="Teste 3" dataDxfId="673"/>
    <tableColumn id="6" xr3:uid="{7D2A207D-3681-4C9E-92FE-73C1062EB15C}" name="Média" dataDxfId="672">
      <calculatedColumnFormula>AVERAGE(Table143690117171105107110145[[#This Row],[Teste 1]:[Teste 3]])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9060A33C-A03E-4336-96DC-3E87EE982BC5}" name="Table16121574" displayName="Table16121574" ref="H135:M150" totalsRowShown="0" headerRowDxfId="1823" dataDxfId="1822">
  <autoFilter ref="H135:M150" xr:uid="{9060A33C-A03E-4336-96DC-3E87EE982BC5}"/>
  <tableColumns count="6">
    <tableColumn id="1" xr3:uid="{D974A702-6828-498B-ABE4-335375ABA300}" name="CouchDB" dataDxfId="1821"/>
    <tableColumn id="2" xr3:uid="{EFA83E62-93BF-4720-B15C-01D2EEB4DFCD}" name="Registos: 10 000 000 " dataDxfId="1820"/>
    <tableColumn id="3" xr3:uid="{39337F1F-E368-4CE2-AFE1-191C9C008CA8}" name="Teste 1" dataDxfId="1819"/>
    <tableColumn id="4" xr3:uid="{8E97CCBA-0903-4D3A-8C25-F52F92B5C46D}" name="Teste 2" dataDxfId="1818"/>
    <tableColumn id="5" xr3:uid="{F1BF4BFE-740F-4839-8EDC-71069A125E39}" name="Teste 3" dataDxfId="1817"/>
    <tableColumn id="6" xr3:uid="{CA3721AB-6C59-4AC5-9839-1D9D723EB69B}" name="Média" dataDxfId="1816">
      <calculatedColumnFormula>AVERAGE(Table16121574[[#This Row],[Teste 1]:[Teste 3]])</calculatedColumnFormula>
    </tableColumn>
  </tableColumns>
  <tableStyleInfo name="TableStyleLight15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BFF9D92D-8DD4-46F4-ADBA-342F424B225A}" name="Table143690117171105111146" displayName="Table143690117171105111146" ref="O178:T200" totalsRowShown="0" headerRowDxfId="671" dataDxfId="670">
  <autoFilter ref="O178:T200" xr:uid="{BFF9D92D-8DD4-46F4-ADBA-342F424B225A}"/>
  <tableColumns count="6">
    <tableColumn id="1" xr3:uid="{5229F100-63B8-4260-B4C5-9E447D68DE14}" name="MongoDB" dataDxfId="669"/>
    <tableColumn id="2" xr3:uid="{91FE0C07-077D-434B-9B40-48766E4EA205}" name="Registos: 10 000 000" dataDxfId="668"/>
    <tableColumn id="3" xr3:uid="{5A0020A1-712B-47EE-9DD0-8DE458326047}" name="Teste 1" dataDxfId="667"/>
    <tableColumn id="4" xr3:uid="{EAC87681-078B-4B67-A0BC-BC5073ADDF9B}" name="Teste 2" dataDxfId="666"/>
    <tableColumn id="5" xr3:uid="{AEEC1901-9C9E-4A8F-8208-87B53C417936}" name="Teste 3" dataDxfId="665"/>
    <tableColumn id="6" xr3:uid="{2EBCD9A5-9BBA-42D6-8BD2-A0AE93BDB41C}" name="Média" dataDxfId="664">
      <calculatedColumnFormula>AVERAGE(Table143690117171105111146[[#This Row],[Teste 1]:[Teste 3]])</calculatedColumnFormula>
    </tableColumn>
  </tableColumns>
  <tableStyleInfo name="TableStyleLight15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5B9FC4F2-D995-418E-BB1A-EEDA7605C322}" name="Table143690117171105106112147" displayName="Table143690117171105106112147" ref="O206:T228" totalsRowShown="0" headerRowDxfId="663" dataDxfId="662">
  <autoFilter ref="O206:T228" xr:uid="{5B9FC4F2-D995-418E-BB1A-EEDA7605C322}"/>
  <tableColumns count="6">
    <tableColumn id="1" xr3:uid="{192DCAA0-8D25-48A3-9A6B-2BC49628949E}" name="MongoDB" dataDxfId="661"/>
    <tableColumn id="2" xr3:uid="{0A0DD268-FE33-40A1-969D-A8DF7A9E8E8D}" name="Registos: 10 000 000" dataDxfId="660"/>
    <tableColumn id="3" xr3:uid="{0C9241B6-0190-4EDA-B746-61DD92D949BF}" name="Teste 1" dataDxfId="659"/>
    <tableColumn id="4" xr3:uid="{F60B493D-33BF-4692-AA08-4D8EC015C665}" name="Teste 2" dataDxfId="658"/>
    <tableColumn id="5" xr3:uid="{F7DE50C4-08E7-411F-94A5-B87AB6C7C49C}" name="Teste 3" dataDxfId="657"/>
    <tableColumn id="6" xr3:uid="{A373CEAD-0CD5-4E41-A319-2AF5336FF0AC}" name="Média" dataDxfId="656">
      <calculatedColumnFormula>AVERAGE(Table143690117171105106112147[[#This Row],[Teste 1]:[Teste 3]])</calculatedColumnFormula>
    </tableColumn>
  </tableColumns>
  <tableStyleInfo name="TableStyleLight15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16437AE8-E20E-40AD-8ADC-403BBF04E620}" name="Table143690117171105107113148" displayName="Table143690117171105107113148" ref="O234:T256" totalsRowShown="0" headerRowDxfId="655" dataDxfId="654">
  <autoFilter ref="O234:T256" xr:uid="{16437AE8-E20E-40AD-8ADC-403BBF04E620}"/>
  <tableColumns count="6">
    <tableColumn id="1" xr3:uid="{2DC6769A-1F3B-4D84-BE19-8B354060A22C}" name="MongoDB" dataDxfId="653"/>
    <tableColumn id="2" xr3:uid="{0641B1FF-2A19-4E0E-B3AB-67B7E9C653AD}" name="Registos: 10 000 000" dataDxfId="652"/>
    <tableColumn id="3" xr3:uid="{CBD6B0FF-ADE4-46E5-B6A4-3062D7C760E5}" name="Teste 1" dataDxfId="651"/>
    <tableColumn id="4" xr3:uid="{F2E41187-72C3-4624-957C-B702873CE344}" name="Teste 2" dataDxfId="650"/>
    <tableColumn id="5" xr3:uid="{3DE8F35C-BD8D-42B4-84F6-E716424A2621}" name="Teste 3" dataDxfId="649"/>
    <tableColumn id="6" xr3:uid="{74E1B725-2ACC-4467-BB6D-FBD7E1AD11FD}" name="Média" dataDxfId="648">
      <calculatedColumnFormula>AVERAGE(Table143690117171105107113148[[#This Row],[Teste 1]:[Teste 3]])</calculatedColumnFormula>
    </tableColumn>
  </tableColumns>
  <tableStyleInfo name="TableStyleLight15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3D80C9FF-472B-4ABB-B352-898935E1B703}" name="Table143690117171198152" displayName="Table143690117171198152" ref="A6:F34" totalsRowShown="0" headerRowDxfId="647" dataDxfId="646">
  <autoFilter ref="A6:F34" xr:uid="{3D80C9FF-472B-4ABB-B352-898935E1B703}"/>
  <tableColumns count="6">
    <tableColumn id="1" xr3:uid="{49F17B3A-A94F-475D-BAC6-9339475B6DBE}" name="Couchbase" dataDxfId="645"/>
    <tableColumn id="2" xr3:uid="{8A5671A6-1431-4535-A0C2-032BFAD63AD1}" name="Registos: 100 000" dataDxfId="644"/>
    <tableColumn id="3" xr3:uid="{A16BF357-5466-42DE-B16C-01B4C59F1E31}" name="Teste 1" dataDxfId="643"/>
    <tableColumn id="4" xr3:uid="{1F5465B0-97A8-4D52-945A-9EF1C25B4CE1}" name="Teste 2" dataDxfId="642"/>
    <tableColumn id="5" xr3:uid="{CEFF2790-FCBE-4CB9-8D7A-AC38964527F8}" name="Teste 3" dataDxfId="641"/>
    <tableColumn id="6" xr3:uid="{DCBBD7B1-D0A1-4A38-BA80-FBC6565282C1}" name="Média" dataDxfId="640">
      <calculatedColumnFormula>AVERAGE(Table143690117171198152[[#This Row],[Teste 1]:[Teste 3]])</calculatedColumnFormula>
    </tableColumn>
  </tableColumns>
  <tableStyleInfo name="TableStyleLight15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3348134D-5A6E-486C-9570-7307C48E8108}" name="Table143690117171198152153" displayName="Table143690117171198152153" ref="A40:F68" totalsRowShown="0" headerRowDxfId="639" dataDxfId="638">
  <autoFilter ref="A40:F68" xr:uid="{3348134D-5A6E-486C-9570-7307C48E8108}"/>
  <tableColumns count="6">
    <tableColumn id="1" xr3:uid="{2B42737F-99FB-4728-AB22-531786188F45}" name="Couchbase" dataDxfId="637"/>
    <tableColumn id="2" xr3:uid="{FDE8527A-3409-4C80-938D-DA1010866D40}" name="Registos: 100 000" dataDxfId="636"/>
    <tableColumn id="3" xr3:uid="{BCC834C1-62E0-4FAE-88C1-FF81C9C15B24}" name="Teste 1" dataDxfId="635"/>
    <tableColumn id="4" xr3:uid="{E8E25BDC-5C16-4FA8-B2B9-06FD71382AE9}" name="Teste 2" dataDxfId="634"/>
    <tableColumn id="5" xr3:uid="{22D4BEDF-7C5B-4073-9CA7-EC66B99DEEDD}" name="Teste 3" dataDxfId="633"/>
    <tableColumn id="6" xr3:uid="{4D9F561E-17A3-4673-9C3A-55CF65B33421}" name="Média" dataDxfId="632">
      <calculatedColumnFormula>AVERAGE(Table143690117171198152153[[#This Row],[Teste 1]:[Teste 3]])</calculatedColumnFormula>
    </tableColumn>
  </tableColumns>
  <tableStyleInfo name="TableStyleLight15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F2250FDE-F77A-45D0-9525-4F30327CD937}" name="Table143690117171198152154" displayName="Table143690117171198152154" ref="A74:F102" totalsRowShown="0" headerRowDxfId="631" dataDxfId="630">
  <autoFilter ref="A74:F102" xr:uid="{F2250FDE-F77A-45D0-9525-4F30327CD937}"/>
  <tableColumns count="6">
    <tableColumn id="1" xr3:uid="{31B35032-924E-423D-B658-03C9698F5505}" name="Couchbase" dataDxfId="629"/>
    <tableColumn id="2" xr3:uid="{745C2140-0AE2-4EF9-B92D-E7887A2B18AB}" name="Registos: 100 000" dataDxfId="628"/>
    <tableColumn id="3" xr3:uid="{3534BE88-65ED-4EB5-BB9E-63DABE931255}" name="Teste 1" dataDxfId="627"/>
    <tableColumn id="4" xr3:uid="{1BA85CB5-9708-440B-B637-38208C76164C}" name="Teste 2" dataDxfId="626"/>
    <tableColumn id="5" xr3:uid="{8BCAFD2E-B539-4893-86A9-0F76647441BE}" name="Teste 3" dataDxfId="625"/>
    <tableColumn id="6" xr3:uid="{C0703E4E-55C9-4BA8-92AC-5D2461F25855}" name="Média" dataDxfId="624">
      <calculatedColumnFormula>AVERAGE(Table143690117171198152154[[#This Row],[Teste 1]:[Teste 3]])</calculatedColumnFormula>
    </tableColumn>
  </tableColumns>
  <tableStyleInfo name="TableStyleLight15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72D2D526-1357-4F6D-A091-BE80CE605E72}" name="Table143690117171198152155" displayName="Table143690117171198152155" ref="A110:F138" totalsRowShown="0" headerRowDxfId="623" dataDxfId="622">
  <autoFilter ref="A110:F138" xr:uid="{72D2D526-1357-4F6D-A091-BE80CE605E72}"/>
  <tableColumns count="6">
    <tableColumn id="1" xr3:uid="{97E31F51-A97F-4681-9AA1-AA330068B74F}" name="Couchbase" dataDxfId="621"/>
    <tableColumn id="2" xr3:uid="{4CE58A4C-44E6-421F-8397-E65347971AA1}" name="Registos: 1 000 000" dataDxfId="620"/>
    <tableColumn id="3" xr3:uid="{8496D31C-E461-43A2-8BCE-2234383607CC}" name="Teste 1" dataDxfId="619"/>
    <tableColumn id="4" xr3:uid="{1A39B3E6-F8B2-47FC-BD59-CD725C18A682}" name="Teste 2" dataDxfId="618"/>
    <tableColumn id="5" xr3:uid="{2B77D8D1-B7E0-452A-B8AF-6AFED08E4AD7}" name="Teste 3" dataDxfId="617"/>
    <tableColumn id="6" xr3:uid="{121BA3B7-E4F8-4BBA-BD3D-E9D5F76F5D30}" name="Média" dataDxfId="616">
      <calculatedColumnFormula>AVERAGE(Table143690117171198152155[[#This Row],[Teste 1]:[Teste 3]])</calculatedColumnFormula>
    </tableColumn>
  </tableColumns>
  <tableStyleInfo name="TableStyleLight15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EBD33EF-D4F9-404E-88B7-671F4E1A9808}" name="Table143690117171198152153156" displayName="Table143690117171198152153156" ref="A144:F172" totalsRowShown="0" headerRowDxfId="615" dataDxfId="614">
  <autoFilter ref="A144:F172" xr:uid="{0EBD33EF-D4F9-404E-88B7-671F4E1A9808}"/>
  <tableColumns count="6">
    <tableColumn id="1" xr3:uid="{D14569DB-3C01-4EAF-8FD7-EBC8D927591A}" name="Couchbase" dataDxfId="613"/>
    <tableColumn id="2" xr3:uid="{B94EEACC-6F25-42A7-8DEB-301506A98402}" name="Registos: 1 000 000" dataDxfId="612"/>
    <tableColumn id="3" xr3:uid="{E6813658-771E-40CC-B57E-0D1395E86476}" name="Teste 1" dataDxfId="611"/>
    <tableColumn id="4" xr3:uid="{9BE6A23D-3778-495E-BF82-724A5452F6F9}" name="Teste 2" dataDxfId="610"/>
    <tableColumn id="5" xr3:uid="{6D0B4A51-6079-424D-92B5-802F8C4A5291}" name="Teste 3" dataDxfId="609"/>
    <tableColumn id="6" xr3:uid="{B58EBB45-E815-46B6-920F-83021549A516}" name="Média" dataDxfId="608">
      <calculatedColumnFormula>AVERAGE(Table143690117171198152153156[[#This Row],[Teste 1]:[Teste 3]])</calculatedColumnFormula>
    </tableColumn>
  </tableColumns>
  <tableStyleInfo name="TableStyleLight15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2BC7C60-25EE-4B42-8058-7D57DFD8737B}" name="Table143690117171198152154157" displayName="Table143690117171198152154157" ref="A178:F206" totalsRowShown="0" headerRowDxfId="607" dataDxfId="606">
  <autoFilter ref="A178:F206" xr:uid="{02BC7C60-25EE-4B42-8058-7D57DFD8737B}"/>
  <tableColumns count="6">
    <tableColumn id="1" xr3:uid="{40678222-C05C-4D81-B93D-9279ED7D5388}" name="Couchbase" dataDxfId="605"/>
    <tableColumn id="2" xr3:uid="{BFDB044B-AAB6-4CC1-A528-5F5C762479DA}" name="Registos: 1 000 000" dataDxfId="604"/>
    <tableColumn id="3" xr3:uid="{E93BBC86-56E5-4210-AADD-9A17C333CA25}" name="Teste 1" dataDxfId="603"/>
    <tableColumn id="4" xr3:uid="{E84E2CE3-9178-4D77-B3CA-03207DD20AF1}" name="Teste 2" dataDxfId="602"/>
    <tableColumn id="5" xr3:uid="{40CB0C86-0516-4503-BF24-98DB91C22BA4}" name="Teste 3" dataDxfId="601"/>
    <tableColumn id="6" xr3:uid="{5AB49F81-7E7B-42D9-9EFF-969174B5B3B9}" name="Média" dataDxfId="600">
      <calculatedColumnFormula>AVERAGE(Table143690117171198152154157[[#This Row],[Teste 1]:[Teste 3]])</calculatedColumnFormula>
    </tableColumn>
  </tableColumns>
  <tableStyleInfo name="TableStyleLight15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47113D86-1D3F-4DC3-81F6-157076FA248A}" name="Table143690117171198152158" displayName="Table143690117171198152158" ref="A214:F242" totalsRowShown="0" headerRowDxfId="599" dataDxfId="598">
  <autoFilter ref="A214:F242" xr:uid="{47113D86-1D3F-4DC3-81F6-157076FA248A}"/>
  <tableColumns count="6">
    <tableColumn id="1" xr3:uid="{7CE3BEDB-B429-4ED8-A720-8F85CA7F9301}" name="Couchbase" dataDxfId="597"/>
    <tableColumn id="2" xr3:uid="{2EE6A998-9C92-42C8-98D5-A185FD8A13EA}" name="Registos: 10 000 000" dataDxfId="596"/>
    <tableColumn id="3" xr3:uid="{5BCE8155-549F-49A2-BC23-EE8A3A77165F}" name="Teste 1" dataDxfId="595"/>
    <tableColumn id="4" xr3:uid="{56A1C221-318E-4580-B54E-305749BFFB8C}" name="Teste 2" dataDxfId="594"/>
    <tableColumn id="5" xr3:uid="{1B67DA3C-9312-4336-8225-0772771155F4}" name="Teste 3" dataDxfId="593"/>
    <tableColumn id="6" xr3:uid="{820B6C64-C362-4CFB-87BE-79B134174128}" name="Média" dataDxfId="592">
      <calculatedColumnFormula>AVERAGE(Table143690117171198152158[[#This Row],[Teste 1]:[Teste 3]])</calculatedColumnFormula>
    </tableColumn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D2E8BF4D-15A1-490B-B85A-4163331758CD}" name="Table167131675" displayName="Table167131675" ref="H156:M171" totalsRowShown="0" headerRowDxfId="1815" dataDxfId="1814">
  <autoFilter ref="H156:M171" xr:uid="{D2E8BF4D-15A1-490B-B85A-4163331758CD}"/>
  <tableColumns count="6">
    <tableColumn id="1" xr3:uid="{D54268D0-A239-49E0-8839-2A9B8FA7FB8A}" name="CouchDB" dataDxfId="1813"/>
    <tableColumn id="2" xr3:uid="{D07793D4-4439-4EE1-8241-195C2CFD5659}" name="Registos: 10 000 000 " dataDxfId="1812"/>
    <tableColumn id="3" xr3:uid="{F2D93565-BCEA-493B-B35B-6ACB2BD50B67}" name="Teste 1" dataDxfId="1811"/>
    <tableColumn id="4" xr3:uid="{60FD1AF8-0780-4EC8-BBE9-AA9DC1F152F3}" name="Teste 2" dataDxfId="1810"/>
    <tableColumn id="5" xr3:uid="{90D64818-DC8F-4FA5-8250-193D96A19971}" name="Teste 3" dataDxfId="1809"/>
    <tableColumn id="6" xr3:uid="{6CCC840A-DB8B-4AC0-84AB-0BE799736851}" name="Média" dataDxfId="1808">
      <calculatedColumnFormula>AVERAGE(Table167131675[[#This Row],[Teste 1]:[Teste 3]])</calculatedColumnFormula>
    </tableColumn>
  </tableColumns>
  <tableStyleInfo name="TableStyleLight15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4BBA05F3-1B1B-4C2C-949C-37A905C6AD5A}" name="Table143690117171198152153159" displayName="Table143690117171198152153159" ref="A248:F276" totalsRowShown="0" headerRowDxfId="591" dataDxfId="590">
  <autoFilter ref="A248:F276" xr:uid="{4BBA05F3-1B1B-4C2C-949C-37A905C6AD5A}"/>
  <tableColumns count="6">
    <tableColumn id="1" xr3:uid="{40267D99-34F0-4A4F-80F0-33D13A45F0BB}" name="Couchbase" dataDxfId="589"/>
    <tableColumn id="2" xr3:uid="{E9C0F875-AA37-4843-BD92-89F111518A29}" name="Registos: 10 000 000" dataDxfId="588"/>
    <tableColumn id="3" xr3:uid="{414582B3-74A9-4650-B583-96956043852D}" name="Teste 1" dataDxfId="587"/>
    <tableColumn id="4" xr3:uid="{AD173C82-730C-4D16-A398-D41E21DC3B5F}" name="Teste 2" dataDxfId="586"/>
    <tableColumn id="5" xr3:uid="{18D34D36-CFD7-4302-A560-C4DE82CE73F2}" name="Teste 3" dataDxfId="585"/>
    <tableColumn id="6" xr3:uid="{40F217DF-0CB0-468C-B554-FB8165175E3B}" name="Média" dataDxfId="584">
      <calculatedColumnFormula>AVERAGE(Table143690117171198152153159[[#This Row],[Teste 1]:[Teste 3]])</calculatedColumnFormula>
    </tableColumn>
  </tableColumns>
  <tableStyleInfo name="TableStyleLight15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A4FC5A93-707A-4A55-93C6-9DB9D69EC07A}" name="Table143690117171198152154160" displayName="Table143690117171198152154160" ref="A282:F310" totalsRowShown="0" headerRowDxfId="583" dataDxfId="582">
  <autoFilter ref="A282:F310" xr:uid="{A4FC5A93-707A-4A55-93C6-9DB9D69EC07A}"/>
  <tableColumns count="6">
    <tableColumn id="1" xr3:uid="{C49198A5-639F-488B-BA3C-57E42F65BA5A}" name="Couchbase" dataDxfId="581"/>
    <tableColumn id="2" xr3:uid="{C0036EF2-DBF7-4B64-BAEA-9B06EB96B237}" name="Registos: 10 000 000" dataDxfId="580"/>
    <tableColumn id="3" xr3:uid="{AB462D3B-7D7F-48B2-AC05-E6241212C95D}" name="Teste 1" dataDxfId="579"/>
    <tableColumn id="4" xr3:uid="{42A7BB56-D6C0-4352-A60E-EEA4D623F96E}" name="Teste 2" dataDxfId="578"/>
    <tableColumn id="5" xr3:uid="{D7C5F4A6-8C3C-4261-B40E-843F932A5F22}" name="Teste 3" dataDxfId="577"/>
    <tableColumn id="6" xr3:uid="{4FC0A6AD-2D93-4D76-8260-82E6B690A572}" name="Média" dataDxfId="576">
      <calculatedColumnFormula>AVERAGE(Table143690117171198152154160[[#This Row],[Teste 1]:[Teste 3]])</calculatedColumnFormula>
    </tableColumn>
  </tableColumns>
  <tableStyleInfo name="TableStyleLight15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1DE4F824-C3A6-421E-9DBE-2C5DDBC27DE7}" name="Table143690117171198152164" displayName="Table143690117171198152164" ref="H6:M34" totalsRowShown="0" headerRowDxfId="575" dataDxfId="574">
  <autoFilter ref="H6:M34" xr:uid="{1DE4F824-C3A6-421E-9DBE-2C5DDBC27DE7}"/>
  <tableColumns count="6">
    <tableColumn id="1" xr3:uid="{F0FB962B-A1DC-4A88-893C-758E46DED0E2}" name="CouchDB" dataDxfId="573"/>
    <tableColumn id="2" xr3:uid="{BFB8DE6D-C002-4B81-96BD-7A891C37E4AC}" name="Registos: 100 000" dataDxfId="572"/>
    <tableColumn id="3" xr3:uid="{61087966-AAFB-4AF9-8A65-D4E4C5A21EE8}" name="Teste 1" dataDxfId="571"/>
    <tableColumn id="4" xr3:uid="{76F1CA83-7C69-4276-B25B-BBCE637BC2D4}" name="Teste 2" dataDxfId="570"/>
    <tableColumn id="5" xr3:uid="{F828E213-9C48-4C40-922F-0E4CC60D1A4D}" name="Teste 3" dataDxfId="569"/>
    <tableColumn id="6" xr3:uid="{CFEB00BE-673B-4CAC-8401-E7459021E3F5}" name="Média" dataDxfId="568">
      <calculatedColumnFormula>AVERAGE(Table143690117171198152164[[#This Row],[Teste 1]:[Teste 3]])</calculatedColumnFormula>
    </tableColumn>
  </tableColumns>
  <tableStyleInfo name="TableStyleLight15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D083FC5F-0B41-4265-87CB-1744C4FEFE2F}" name="Table143690117171198152153165" displayName="Table143690117171198152153165" ref="H40:M68" totalsRowShown="0" headerRowDxfId="567" dataDxfId="566">
  <autoFilter ref="H40:M68" xr:uid="{D083FC5F-0B41-4265-87CB-1744C4FEFE2F}"/>
  <tableColumns count="6">
    <tableColumn id="1" xr3:uid="{956BBC0A-909A-4863-809D-2E0D71FC6E96}" name="CouchDB" dataDxfId="565"/>
    <tableColumn id="2" xr3:uid="{099BB28B-CA8D-4B77-806C-83308411B984}" name="Registos: 100 000" dataDxfId="564"/>
    <tableColumn id="3" xr3:uid="{4C2D2A1C-B04B-447C-A381-B7EEF55D94AF}" name="Teste 1" dataDxfId="563"/>
    <tableColumn id="4" xr3:uid="{EE0DDCFE-EED8-46DC-B869-06BEBDC13324}" name="Teste 2" dataDxfId="562"/>
    <tableColumn id="5" xr3:uid="{C2B5A15D-D7F1-4819-886B-76B83EA92183}" name="Teste 3" dataDxfId="561"/>
    <tableColumn id="6" xr3:uid="{98DB6C98-03F2-48BE-A544-323943880BC1}" name="Média" dataDxfId="560">
      <calculatedColumnFormula>AVERAGE(Table143690117171198152153165[[#This Row],[Teste 1]:[Teste 3]])</calculatedColumnFormula>
    </tableColumn>
  </tableColumns>
  <tableStyleInfo name="TableStyleLight15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CCD86D84-AA30-42E7-B28F-2971E7BF07C9}" name="Table143690117171198152154166" displayName="Table143690117171198152154166" ref="H74:M102" totalsRowShown="0" headerRowDxfId="559" dataDxfId="558">
  <autoFilter ref="H74:M102" xr:uid="{CCD86D84-AA30-42E7-B28F-2971E7BF07C9}"/>
  <tableColumns count="6">
    <tableColumn id="1" xr3:uid="{32139ECA-0182-4A58-B8B5-552E6F7A7A67}" name="CouchDB" dataDxfId="557"/>
    <tableColumn id="2" xr3:uid="{5F5250DA-F4F6-4B73-861D-1CFE0C0F9FEB}" name="Registos: 100 000" dataDxfId="556"/>
    <tableColumn id="3" xr3:uid="{5B965DC6-4EAC-441E-B93F-589BF2BB73E9}" name="Teste 1" dataDxfId="555"/>
    <tableColumn id="4" xr3:uid="{BABAA8D4-11EE-4D4D-BAC7-D33FA7BCD1A2}" name="Teste 2" dataDxfId="554"/>
    <tableColumn id="5" xr3:uid="{E0D74332-8E90-45CD-A8E1-A4BE251C2199}" name="Teste 3" dataDxfId="553"/>
    <tableColumn id="6" xr3:uid="{574DDC3D-1A8E-4552-AD7A-DEB1774E88B9}" name="Média" dataDxfId="552">
      <calculatedColumnFormula>AVERAGE(Table143690117171198152154166[[#This Row],[Teste 1]:[Teste 3]])</calculatedColumnFormula>
    </tableColumn>
  </tableColumns>
  <tableStyleInfo name="TableStyleLight15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FF9F0DF-2064-433C-B862-1865B0BB5695}" name="Table143690117171198152155167" displayName="Table143690117171198152155167" ref="H110:M138" totalsRowShown="0" headerRowDxfId="551" dataDxfId="550">
  <autoFilter ref="H110:M138" xr:uid="{0FF9F0DF-2064-433C-B862-1865B0BB5695}"/>
  <tableColumns count="6">
    <tableColumn id="1" xr3:uid="{9D404104-4D1F-4F74-AC73-4005035022F3}" name="CouchDB" dataDxfId="549"/>
    <tableColumn id="2" xr3:uid="{E8E5FB94-97E4-4651-90DD-42269CA62BB7}" name="Registos: 1 000 000" dataDxfId="548"/>
    <tableColumn id="3" xr3:uid="{87114287-77C3-41AE-A24D-F9DD61EB0326}" name="Teste 1" dataDxfId="547"/>
    <tableColumn id="4" xr3:uid="{47740EFA-9AD3-4C34-98B8-A208D733F389}" name="Teste 2" dataDxfId="546"/>
    <tableColumn id="5" xr3:uid="{1A439465-951E-4F03-882B-5E30CB6B3562}" name="Teste 3" dataDxfId="545"/>
    <tableColumn id="6" xr3:uid="{3416337E-14D7-4A5D-BFD6-A97ACCDFEB24}" name="Média" dataDxfId="544">
      <calculatedColumnFormula>AVERAGE(Table143690117171198152155167[[#This Row],[Teste 1]:[Teste 3]])</calculatedColumnFormula>
    </tableColumn>
  </tableColumns>
  <tableStyleInfo name="TableStyleLight15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74BBB545-EADF-4EEA-94B1-23A85266B227}" name="Table143690117171198152153156168" displayName="Table143690117171198152153156168" ref="H144:M172" totalsRowShown="0" headerRowDxfId="543" dataDxfId="542">
  <autoFilter ref="H144:M172" xr:uid="{74BBB545-EADF-4EEA-94B1-23A85266B227}"/>
  <tableColumns count="6">
    <tableColumn id="1" xr3:uid="{F56A3371-AACE-4A4C-A2AD-B946F8D4B0B7}" name="CouchDB" dataDxfId="541"/>
    <tableColumn id="2" xr3:uid="{9D77CA97-BEEF-4E70-9161-EEEB11160B00}" name="Registos: 1 000 000" dataDxfId="540"/>
    <tableColumn id="3" xr3:uid="{663901EE-328F-4501-9A48-5B494E13903E}" name="Teste 1" dataDxfId="539"/>
    <tableColumn id="4" xr3:uid="{CE91464F-A9E5-4DA1-9CB9-EF2853C5667C}" name="Teste 2" dataDxfId="538"/>
    <tableColumn id="5" xr3:uid="{2C21AAD9-C9F9-4DED-A330-06A9E63E4837}" name="Teste 3" dataDxfId="537"/>
    <tableColumn id="6" xr3:uid="{D41E4303-205A-435F-91B1-2030E2677C70}" name="Média" dataDxfId="536">
      <calculatedColumnFormula>AVERAGE(Table143690117171198152153156168[[#This Row],[Teste 1]:[Teste 3]])</calculatedColumnFormula>
    </tableColumn>
  </tableColumns>
  <tableStyleInfo name="TableStyleLight15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DBE471E-B2E3-4780-A111-A74A28E9C17E}" name="Table143690117171198152154157169" displayName="Table143690117171198152154157169" ref="H178:M206" totalsRowShown="0" headerRowDxfId="535" dataDxfId="534">
  <autoFilter ref="H178:M206" xr:uid="{0DBE471E-B2E3-4780-A111-A74A28E9C17E}"/>
  <tableColumns count="6">
    <tableColumn id="1" xr3:uid="{3FAFDCBB-4355-4632-BFF0-D9F0F9D48583}" name="CouchDB" dataDxfId="533"/>
    <tableColumn id="2" xr3:uid="{89BA1BA1-E75C-4935-BE5C-059DE022FD04}" name="Registos: 1 000 000" dataDxfId="532"/>
    <tableColumn id="3" xr3:uid="{B5E38026-0278-4864-8B3D-670BD3DBEC42}" name="Teste 1" dataDxfId="531"/>
    <tableColumn id="4" xr3:uid="{EA994195-0A6F-4687-BA72-BC087027E1D5}" name="Teste 2" dataDxfId="530"/>
    <tableColumn id="5" xr3:uid="{90A00E12-47ED-4BA9-8DE5-9FC9C048F8A7}" name="Teste 3" dataDxfId="529"/>
    <tableColumn id="6" xr3:uid="{1F07D396-3E9C-4D8B-AD63-F7F2D6145F2A}" name="Média" dataDxfId="528">
      <calculatedColumnFormula>AVERAGE(Table143690117171198152154157169[[#This Row],[Teste 1]:[Teste 3]])</calculatedColumnFormula>
    </tableColumn>
  </tableColumns>
  <tableStyleInfo name="TableStyleLight15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75BB058A-57BF-4AA8-9990-48210888BD42}" name="Table143690117171198152158170" displayName="Table143690117171198152158170" ref="H214:M242" totalsRowShown="0" headerRowDxfId="527" dataDxfId="526">
  <autoFilter ref="H214:M242" xr:uid="{75BB058A-57BF-4AA8-9990-48210888BD42}"/>
  <tableColumns count="6">
    <tableColumn id="1" xr3:uid="{80F7A93D-BFC8-4FB5-B479-07C939049A69}" name="CouchDB" dataDxfId="525"/>
    <tableColumn id="2" xr3:uid="{472C3907-55EB-4C0F-876A-B76E760838FE}" name="Registos: 10 000 000" dataDxfId="524"/>
    <tableColumn id="3" xr3:uid="{56E3E760-63BF-406F-A2B9-8980560988CA}" name="Teste 1" dataDxfId="523"/>
    <tableColumn id="4" xr3:uid="{5528DF55-6466-4585-BA0A-7B18C23FCE53}" name="Teste 2" dataDxfId="522"/>
    <tableColumn id="5" xr3:uid="{7737A91F-26A6-4221-854A-DD087B0FA559}" name="Teste 3" dataDxfId="521"/>
    <tableColumn id="6" xr3:uid="{52DE1638-2967-4736-985A-0C7FCC7512CC}" name="Média" dataDxfId="520">
      <calculatedColumnFormula>AVERAGE(Table143690117171198152158170[[#This Row],[Teste 1]:[Teste 3]])</calculatedColumnFormula>
    </tableColumn>
  </tableColumns>
  <tableStyleInfo name="TableStyleLight15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C24897F0-F395-4434-A2C0-0DF051749679}" name="Table143690117171198152153159171" displayName="Table143690117171198152153159171" ref="H248:M276" totalsRowShown="0" headerRowDxfId="519" dataDxfId="518">
  <autoFilter ref="H248:M276" xr:uid="{C24897F0-F395-4434-A2C0-0DF051749679}"/>
  <tableColumns count="6">
    <tableColumn id="1" xr3:uid="{C8F2037F-EFF3-4B9C-B34F-80B2D0BA37D2}" name="CouchDB" dataDxfId="517"/>
    <tableColumn id="2" xr3:uid="{50956B89-4F5F-4DD2-A045-6559ACFC34C3}" name="Registos: 10 000 000" dataDxfId="516"/>
    <tableColumn id="3" xr3:uid="{9073857C-148A-449E-816C-4BF5D1D694D2}" name="Teste 1" dataDxfId="515"/>
    <tableColumn id="4" xr3:uid="{C0FE5146-7A20-4526-865E-3C5EE5C206E7}" name="Teste 2" dataDxfId="514"/>
    <tableColumn id="5" xr3:uid="{CE3AFF54-AE43-4826-ABE9-915C68873F34}" name="Teste 3" dataDxfId="513"/>
    <tableColumn id="6" xr3:uid="{F72658CF-94AF-499E-8D61-14B83BF9322C}" name="Média" dataDxfId="512">
      <calculatedColumnFormula>AVERAGE(Table143690117171198152153159171[[#This Row],[Teste 1]:[Teste 3]])</calculatedColumnFormula>
    </tableColumn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7DBAF66E-28DF-4405-A892-6BD2774AB20F}" name="Table16711146476" displayName="Table16711146476" ref="H177:M192" totalsRowShown="0" headerRowDxfId="1807" dataDxfId="1806">
  <autoFilter ref="H177:M192" xr:uid="{7DBAF66E-28DF-4405-A892-6BD2774AB20F}"/>
  <tableColumns count="6">
    <tableColumn id="1" xr3:uid="{3D4F9B0C-11DF-4908-8DCC-E3BEF6A4C8E1}" name="CouchDB" dataDxfId="1805"/>
    <tableColumn id="2" xr3:uid="{ADA77DCA-C10B-4BE9-B1EA-2E5057991E85}" name="Registos: 10 000 000 " dataDxfId="1804"/>
    <tableColumn id="3" xr3:uid="{9DAF3C21-F859-4CBF-A1FA-10FB242D17FA}" name="Teste 1" dataDxfId="1803"/>
    <tableColumn id="4" xr3:uid="{1A8C17F0-F0C8-4B1A-833E-F7EAAD0F204B}" name="Teste 2" dataDxfId="1802"/>
    <tableColumn id="5" xr3:uid="{90BE15C9-5D8B-4BC6-ADAE-91AA99DD4D8C}" name="Teste 3" dataDxfId="1801"/>
    <tableColumn id="6" xr3:uid="{FAA1AB7D-2AA5-4D6A-A499-F11E23719B9B}" name="Média" dataDxfId="1800">
      <calculatedColumnFormula>AVERAGE(Table16711146476[[#This Row],[Teste 1]:[Teste 3]])</calculatedColumnFormula>
    </tableColumn>
  </tableColumns>
  <tableStyleInfo name="TableStyleLight15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E37231A8-73D0-46F0-8A4D-A021D94CF5C9}" name="Table143690117171198152154160172" displayName="Table143690117171198152154160172" ref="H282:M310" totalsRowShown="0" headerRowDxfId="511" dataDxfId="510">
  <autoFilter ref="H282:M310" xr:uid="{E37231A8-73D0-46F0-8A4D-A021D94CF5C9}"/>
  <tableColumns count="6">
    <tableColumn id="1" xr3:uid="{C714D5EA-CA5F-4375-9D01-702826287531}" name="CouchDB" dataDxfId="509"/>
    <tableColumn id="2" xr3:uid="{F1391439-9DA4-4ADD-A007-E7721F3A471D}" name="Registos: 10 000 000" dataDxfId="508"/>
    <tableColumn id="3" xr3:uid="{6418C867-546D-4517-B565-9FF41236E980}" name="Teste 1" dataDxfId="507"/>
    <tableColumn id="4" xr3:uid="{E1C64113-ECC7-4D61-AA3A-4A5040F72A00}" name="Teste 2" dataDxfId="506"/>
    <tableColumn id="5" xr3:uid="{65D96D13-85BD-4A7C-B48A-15272807F966}" name="Teste 3" dataDxfId="505"/>
    <tableColumn id="6" xr3:uid="{C80B1911-D986-4B4B-9F94-9A27BD68F92C}" name="Média" dataDxfId="504">
      <calculatedColumnFormula>AVERAGE(Table143690117171198152154160172[[#This Row],[Teste 1]:[Teste 3]])</calculatedColumnFormula>
    </tableColumn>
  </tableColumns>
  <tableStyleInfo name="TableStyleLight15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11CB3130-E0D6-4909-8575-87C46209343F}" name="Table143690117171198152176" displayName="Table143690117171198152176" ref="O6:T34" totalsRowShown="0" headerRowDxfId="503" dataDxfId="502">
  <autoFilter ref="O6:T34" xr:uid="{11CB3130-E0D6-4909-8575-87C46209343F}"/>
  <tableColumns count="6">
    <tableColumn id="1" xr3:uid="{FE0B2247-33B5-441E-BEA8-7C76715F9C1D}" name="MongoDB" dataDxfId="501"/>
    <tableColumn id="2" xr3:uid="{8C59A1F6-6434-451A-94D7-21C7C1253656}" name="Registos: 100 000" dataDxfId="500"/>
    <tableColumn id="3" xr3:uid="{D3F71822-5C2F-4919-B5DC-8074AC96867A}" name="Teste 1" dataDxfId="499"/>
    <tableColumn id="4" xr3:uid="{19344C0A-9A0A-4FB6-93DF-218299ABF205}" name="Teste 2" dataDxfId="498"/>
    <tableColumn id="5" xr3:uid="{6024ED1D-C502-464B-A7D4-453C519D75FD}" name="Teste 3" dataDxfId="497"/>
    <tableColumn id="6" xr3:uid="{5ACFDCCD-0B5B-4E64-BAF3-097058EAA1E3}" name="Média" dataDxfId="496">
      <calculatedColumnFormula>AVERAGE(Table143690117171198152176[[#This Row],[Teste 1]:[Teste 3]])</calculatedColumnFormula>
    </tableColumn>
  </tableColumns>
  <tableStyleInfo name="TableStyleLight15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AA1356BB-4BE0-4C62-A6AB-9A35A3DC81C4}" name="Table143690117171198152153177" displayName="Table143690117171198152153177" ref="O40:T68" totalsRowShown="0" headerRowDxfId="495" dataDxfId="494">
  <autoFilter ref="O40:T68" xr:uid="{AA1356BB-4BE0-4C62-A6AB-9A35A3DC81C4}"/>
  <tableColumns count="6">
    <tableColumn id="1" xr3:uid="{6125E69D-4D46-4B76-BACF-557FE3B11726}" name="MongoDB" dataDxfId="493"/>
    <tableColumn id="2" xr3:uid="{2C5D2C32-EC2C-47C2-9C8A-6C7549C75D90}" name="Registos: 100 000" dataDxfId="492"/>
    <tableColumn id="3" xr3:uid="{92968D9F-0EC8-4A4F-A5D2-230FFD06CDC8}" name="Teste 1" dataDxfId="491"/>
    <tableColumn id="4" xr3:uid="{7C14DD75-15EF-4D2E-BB0F-F1404CCA2E61}" name="Teste 2" dataDxfId="490"/>
    <tableColumn id="5" xr3:uid="{514B464B-9545-47E2-87A8-6FAD06DD0924}" name="Teste 3" dataDxfId="489"/>
    <tableColumn id="6" xr3:uid="{5DB0C7B6-DFFA-40C3-A172-226C57E6C68E}" name="Média" dataDxfId="488">
      <calculatedColumnFormula>AVERAGE(Table143690117171198152153177[[#This Row],[Teste 1]:[Teste 3]])</calculatedColumnFormula>
    </tableColumn>
  </tableColumns>
  <tableStyleInfo name="TableStyleLight15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658FA10-A8B2-453D-AC69-2EFFA9950DDC}" name="Table143690117171198152154178" displayName="Table143690117171198152154178" ref="O74:T102" totalsRowShown="0" headerRowDxfId="487" dataDxfId="486">
  <autoFilter ref="O74:T102" xr:uid="{0658FA10-A8B2-453D-AC69-2EFFA9950DDC}"/>
  <tableColumns count="6">
    <tableColumn id="1" xr3:uid="{61ABADF5-84D4-4EAF-B341-F3278C710A8C}" name="MongoDB" dataDxfId="485"/>
    <tableColumn id="2" xr3:uid="{6741A677-B6C5-4EBB-AF4B-9B4F656B395F}" name="Registos: 100 000" dataDxfId="484"/>
    <tableColumn id="3" xr3:uid="{E24413AB-3021-4CE1-8589-8AB55CFEB905}" name="Teste 1" dataDxfId="483"/>
    <tableColumn id="4" xr3:uid="{7AFCCA1F-6393-4883-830C-346461A17A8F}" name="Teste 2" dataDxfId="482"/>
    <tableColumn id="5" xr3:uid="{B40FDDBE-68FA-45A5-8AD6-056C7B1AFC20}" name="Teste 3" dataDxfId="481"/>
    <tableColumn id="6" xr3:uid="{3E5B15A8-65C6-447F-A614-9D76098DE2A2}" name="Média" dataDxfId="480">
      <calculatedColumnFormula>AVERAGE(Table143690117171198152154178[[#This Row],[Teste 1]:[Teste 3]])</calculatedColumnFormula>
    </tableColumn>
  </tableColumns>
  <tableStyleInfo name="TableStyleLight15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8BAE13FC-A6B0-43D0-980E-87F6F28F340E}" name="Table143690117171198152155179" displayName="Table143690117171198152155179" ref="O110:T138" totalsRowShown="0" headerRowDxfId="479" dataDxfId="478">
  <autoFilter ref="O110:T138" xr:uid="{8BAE13FC-A6B0-43D0-980E-87F6F28F340E}"/>
  <tableColumns count="6">
    <tableColumn id="1" xr3:uid="{656F38DF-3B46-40C3-805E-9C4E829B8E16}" name="MongoDB" dataDxfId="477"/>
    <tableColumn id="2" xr3:uid="{44DC58A0-F383-4416-8001-1A9779848E4F}" name="Registos: 1 000 000" dataDxfId="476"/>
    <tableColumn id="3" xr3:uid="{5A51F760-123A-4A4E-B8CB-7DA5EFC97BDF}" name="Teste 1" dataDxfId="475"/>
    <tableColumn id="4" xr3:uid="{C8B6F476-BF86-4C2A-8976-01C7A75908D5}" name="Teste 2" dataDxfId="474"/>
    <tableColumn id="5" xr3:uid="{A39B2168-9643-4D6D-84BE-C82ECB32B855}" name="Teste 3" dataDxfId="473"/>
    <tableColumn id="6" xr3:uid="{1A261534-8392-4622-8365-326568447E43}" name="Média" dataDxfId="472">
      <calculatedColumnFormula>AVERAGE(Table143690117171198152155179[[#This Row],[Teste 1]:[Teste 3]])</calculatedColumnFormula>
    </tableColumn>
  </tableColumns>
  <tableStyleInfo name="TableStyleLight15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1C2734-7F6C-4625-ABE7-50E15A03893A}" name="Table143690117171198152153156180" displayName="Table143690117171198152153156180" ref="O144:T172" totalsRowShown="0" headerRowDxfId="471" dataDxfId="470">
  <autoFilter ref="O144:T172" xr:uid="{601C2734-7F6C-4625-ABE7-50E15A03893A}"/>
  <tableColumns count="6">
    <tableColumn id="1" xr3:uid="{18057E74-4519-4A29-86F6-0B57CF10195F}" name="MongoDB" dataDxfId="469"/>
    <tableColumn id="2" xr3:uid="{8289C8A7-4244-45D4-99F7-E2158412DECD}" name="Registos: 1 000 000" dataDxfId="468"/>
    <tableColumn id="3" xr3:uid="{4FE99593-B434-425F-834B-3E2A793F0C4C}" name="Teste 1" dataDxfId="467"/>
    <tableColumn id="4" xr3:uid="{CB3FB7A2-028E-4027-96EF-528F8E6CE783}" name="Teste 2" dataDxfId="466"/>
    <tableColumn id="5" xr3:uid="{5FAD8967-1D8C-456C-A4BF-8A5197200467}" name="Teste 3" dataDxfId="465"/>
    <tableColumn id="6" xr3:uid="{31AFB799-8D64-49F6-AF24-964B8F33CD08}" name="Média" dataDxfId="464">
      <calculatedColumnFormula>AVERAGE(Table143690117171198152153156180[[#This Row],[Teste 1]:[Teste 3]])</calculatedColumnFormula>
    </tableColumn>
  </tableColumns>
  <tableStyleInfo name="TableStyleLight15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A5D6C8CF-F01C-4A7A-A310-EF4702964242}" name="Table143690117171198152154157181" displayName="Table143690117171198152154157181" ref="O178:T206" totalsRowShown="0" headerRowDxfId="463" dataDxfId="462">
  <autoFilter ref="O178:T206" xr:uid="{A5D6C8CF-F01C-4A7A-A310-EF4702964242}"/>
  <tableColumns count="6">
    <tableColumn id="1" xr3:uid="{620508E7-BC0E-4E54-91F3-1BCB1ED304D0}" name="MongoDB" dataDxfId="461"/>
    <tableColumn id="2" xr3:uid="{CC7CA92F-A89C-4563-BC53-621E79D8B8ED}" name="Registos: 1 000 000" dataDxfId="460"/>
    <tableColumn id="3" xr3:uid="{5A4A1F8B-1C34-4D26-B80D-85E957173667}" name="Teste 1" dataDxfId="459"/>
    <tableColumn id="4" xr3:uid="{6D2F0A9D-ECA7-4404-857D-8AA1723B4555}" name="Teste 2" dataDxfId="458"/>
    <tableColumn id="5" xr3:uid="{BCB19725-CA89-4EF9-832D-22C82DC9837E}" name="Teste 3" dataDxfId="457"/>
    <tableColumn id="6" xr3:uid="{85332E08-7F32-4EB4-AC6D-C180829CC474}" name="Média" dataDxfId="456">
      <calculatedColumnFormula>AVERAGE(Table143690117171198152154157181[[#This Row],[Teste 1]:[Teste 3]])</calculatedColumnFormula>
    </tableColumn>
  </tableColumns>
  <tableStyleInfo name="TableStyleLight15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F76299AF-D557-4C94-A13A-DEF28D27568A}" name="Table143690117171198152158182" displayName="Table143690117171198152158182" ref="O214:T242" totalsRowShown="0" headerRowDxfId="455" dataDxfId="454">
  <autoFilter ref="O214:T242" xr:uid="{F76299AF-D557-4C94-A13A-DEF28D27568A}"/>
  <tableColumns count="6">
    <tableColumn id="1" xr3:uid="{FAF942A4-D547-4866-8DBF-AB649F9D670A}" name="MongoDB" dataDxfId="453"/>
    <tableColumn id="2" xr3:uid="{20ECDE2E-13E9-4BEB-9461-B7ED3AEBB323}" name="Registos: 10 000 000" dataDxfId="452"/>
    <tableColumn id="3" xr3:uid="{1586A775-3E50-42CB-B86B-1DCB7384B7A0}" name="Teste 1" dataDxfId="451"/>
    <tableColumn id="4" xr3:uid="{2EE91528-1133-4901-92F1-DFE467090DBA}" name="Teste 2" dataDxfId="450"/>
    <tableColumn id="5" xr3:uid="{0B0C1551-F6F5-4696-99EC-03193E20DD00}" name="Teste 3" dataDxfId="449"/>
    <tableColumn id="6" xr3:uid="{98D87058-C7AB-46E1-ABBA-19C5211DB0D3}" name="Média" dataDxfId="448">
      <calculatedColumnFormula>AVERAGE(Table143690117171198152158182[[#This Row],[Teste 1]:[Teste 3]])</calculatedColumnFormula>
    </tableColumn>
  </tableColumns>
  <tableStyleInfo name="TableStyleLight15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1290219B-2060-48A9-A6EE-753632E4F0EC}" name="Table143690117171198152153159183" displayName="Table143690117171198152153159183" ref="O248:T276" totalsRowShown="0" headerRowDxfId="447" dataDxfId="446">
  <autoFilter ref="O248:T276" xr:uid="{1290219B-2060-48A9-A6EE-753632E4F0EC}"/>
  <tableColumns count="6">
    <tableColumn id="1" xr3:uid="{97E73E60-778C-4AC1-95AF-6CE67637D017}" name="MongoDB" dataDxfId="445"/>
    <tableColumn id="2" xr3:uid="{A32D6869-492E-45B8-9F0A-52AC98D32F8A}" name="Registos: 10 000 000" dataDxfId="444"/>
    <tableColumn id="3" xr3:uid="{6211C0E1-53FE-4FC9-B5BD-E4A0AE72B278}" name="Teste 1" dataDxfId="443"/>
    <tableColumn id="4" xr3:uid="{9BF3EECC-3663-4EF9-A9FC-D8754DDF096A}" name="Teste 2" dataDxfId="442"/>
    <tableColumn id="5" xr3:uid="{AE4835E9-8669-4406-AA50-BB9B59475E0C}" name="Teste 3" dataDxfId="441"/>
    <tableColumn id="6" xr3:uid="{9F87AB6C-F022-42A2-8CE2-B7A780C82A02}" name="Média" dataDxfId="440">
      <calculatedColumnFormula>AVERAGE(Table143690117171198152153159183[[#This Row],[Teste 1]:[Teste 3]])</calculatedColumnFormula>
    </tableColumn>
  </tableColumns>
  <tableStyleInfo name="TableStyleLight15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9CA77F4B-6D30-4DB8-9D78-E53ABEA225CF}" name="Table143690117171198152154160184" displayName="Table143690117171198152154160184" ref="O282:T310" totalsRowShown="0" headerRowDxfId="439" dataDxfId="438">
  <autoFilter ref="O282:T310" xr:uid="{9CA77F4B-6D30-4DB8-9D78-E53ABEA225CF}"/>
  <tableColumns count="6">
    <tableColumn id="1" xr3:uid="{4A744C51-2711-4CCE-B484-4FA38154A51E}" name="MongoDB" dataDxfId="437"/>
    <tableColumn id="2" xr3:uid="{191520B3-EADE-480D-BE29-A4654C78D69F}" name="Registos: 10 000 000" dataDxfId="436"/>
    <tableColumn id="3" xr3:uid="{0F33102C-0973-492F-B985-41DEF02F57FD}" name="Teste 1" dataDxfId="435"/>
    <tableColumn id="4" xr3:uid="{EA021EBF-466E-4274-922A-935CDBFA3B74}" name="Teste 2" dataDxfId="434"/>
    <tableColumn id="5" xr3:uid="{E97EF0E9-DDC1-43E8-84C6-2295AB3C7433}" name="Teste 3" dataDxfId="433"/>
    <tableColumn id="6" xr3:uid="{9C4CBEAE-90A8-498F-8ED9-4433C23646C8}" name="Média" dataDxfId="432">
      <calculatedColumnFormula>AVERAGE(Table143690117171198152154160184[[#This Row],[Teste 1]:[Teste 3]])</calculatedColumnFormula>
    </tableColumn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35A585C0-6CBB-4DAF-8E45-42D8CF2A2944}" name="Table1680" displayName="Table1680" ref="O5:T20" totalsRowShown="0" headerRowDxfId="1799" dataDxfId="1798">
  <autoFilter ref="O5:T20" xr:uid="{35A585C0-6CBB-4DAF-8E45-42D8CF2A2944}"/>
  <tableColumns count="6">
    <tableColumn id="1" xr3:uid="{FB9A9A4A-4527-4E55-823B-264F6CE0E292}" name="MongoDB" dataDxfId="1797"/>
    <tableColumn id="2" xr3:uid="{4F3497BA-0554-44ED-BB7A-59E85ABFBADC}" name="Registos: 100 000 " dataDxfId="1796"/>
    <tableColumn id="3" xr3:uid="{3D177D12-B89A-4A30-8259-F456D6FA0822}" name="Teste 1" dataDxfId="1795"/>
    <tableColumn id="4" xr3:uid="{8095A177-DFCD-42E0-B3D5-E78BE15EBFA8}" name="Teste 2" dataDxfId="1794"/>
    <tableColumn id="5" xr3:uid="{6F0D8EF8-9459-477F-8488-EF86581C44DD}" name="Teste 3" dataDxfId="1793"/>
    <tableColumn id="6" xr3:uid="{0794826A-8936-4057-999A-A319894A28F7}" name="Média" dataDxfId="1792">
      <calculatedColumnFormula>AVERAGE(Table1680[[#This Row],[Teste 1]:[Teste 3]])</calculatedColumnFormula>
    </tableColumn>
  </tableColumns>
  <tableStyleInfo name="TableStyleLight15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EB7DD7C-3251-447D-93E4-84BA21B070F3}" name="Table143690117171225188" displayName="Table143690117171225188" ref="A6:F28" totalsRowShown="0" headerRowDxfId="431" dataDxfId="430">
  <autoFilter ref="A6:F28" xr:uid="{0EB7DD7C-3251-447D-93E4-84BA21B070F3}"/>
  <tableColumns count="6">
    <tableColumn id="1" xr3:uid="{798C20E0-DB5E-4B95-92A8-1E8715BF89CC}" name="Couchbase" dataDxfId="429"/>
    <tableColumn id="2" xr3:uid="{8E95924E-68BB-40C5-B510-A971188D4FA7}" name="Registos: 100 000" dataDxfId="428"/>
    <tableColumn id="3" xr3:uid="{72F7A871-4297-43BF-8119-B935ABC761B1}" name="Teste 1" dataDxfId="427"/>
    <tableColumn id="4" xr3:uid="{82C7A8BF-75F4-4FB3-AEDD-3D66728BED9A}" name="Teste 2" dataDxfId="426"/>
    <tableColumn id="5" xr3:uid="{CAB4DFB5-9B32-4FC5-8440-2EC7B4DADB4C}" name="Teste 3" dataDxfId="425"/>
    <tableColumn id="6" xr3:uid="{A187341F-18A8-484D-98E3-CA4412B8456F}" name="Média" dataDxfId="424">
      <calculatedColumnFormula>AVERAGE(Table143690117171225188[[#This Row],[Teste 1]:[Teste 3]])</calculatedColumnFormula>
    </tableColumn>
  </tableColumns>
  <tableStyleInfo name="TableStyleLight15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B1D0809E-5B6E-4454-9673-7D3A779DD680}" name="Table143690117171225188189" displayName="Table143690117171225188189" ref="A34:F56" totalsRowShown="0" headerRowDxfId="423" dataDxfId="422">
  <autoFilter ref="A34:F56" xr:uid="{B1D0809E-5B6E-4454-9673-7D3A779DD680}"/>
  <tableColumns count="6">
    <tableColumn id="1" xr3:uid="{B91D718E-0ECD-4C0E-89DA-9647F39AB0DF}" name="Couchbase" dataDxfId="421"/>
    <tableColumn id="2" xr3:uid="{DDB2BDF8-C61F-4DE4-BB8A-03A018950342}" name="Registos: 100 000" dataDxfId="420"/>
    <tableColumn id="3" xr3:uid="{3438449C-38CE-4B35-AA05-1B0B94BDF6DC}" name="Teste 1" dataDxfId="419"/>
    <tableColumn id="4" xr3:uid="{BE09F957-6EA7-4F51-B720-88C25D30C92F}" name="Teste 2" dataDxfId="418"/>
    <tableColumn id="5" xr3:uid="{028CF2C7-484F-44E6-8D1F-59E4187C7FC3}" name="Teste 3" dataDxfId="417"/>
    <tableColumn id="6" xr3:uid="{8A567D0B-B0F3-49EE-A568-F50D7E159833}" name="Média" dataDxfId="416">
      <calculatedColumnFormula>AVERAGE(Table143690117171225188189[[#This Row],[Teste 1]:[Teste 3]])</calculatedColumnFormula>
    </tableColumn>
  </tableColumns>
  <tableStyleInfo name="TableStyleLight15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DF41C226-E947-4F97-829C-FF03685219A4}" name="Table143690117171225188190" displayName="Table143690117171225188190" ref="A62:F84" totalsRowShown="0" headerRowDxfId="415" dataDxfId="414">
  <autoFilter ref="A62:F84" xr:uid="{DF41C226-E947-4F97-829C-FF03685219A4}"/>
  <tableColumns count="6">
    <tableColumn id="1" xr3:uid="{6600F02C-1335-4CC7-8311-8A417F4324FF}" name="Couchbase" dataDxfId="413"/>
    <tableColumn id="2" xr3:uid="{FE7FF769-1175-49DD-B97E-24AF45B692BE}" name="Registos: 100 000" dataDxfId="412"/>
    <tableColumn id="3" xr3:uid="{F30F5CDA-141B-422F-8DF6-5B597AC27170}" name="Teste 1" dataDxfId="411"/>
    <tableColumn id="4" xr3:uid="{7C49A67F-4ACB-4135-82BA-608C406EB76F}" name="Teste 2" dataDxfId="410"/>
    <tableColumn id="5" xr3:uid="{4389A7A7-C53C-4631-83B5-E4CB0AEB1DA4}" name="Teste 3" dataDxfId="409"/>
    <tableColumn id="6" xr3:uid="{4A960ED8-65EA-4D86-AEAC-18EBFEADF220}" name="Média" dataDxfId="408">
      <calculatedColumnFormula>AVERAGE(Table143690117171225188190[[#This Row],[Teste 1]:[Teste 3]])</calculatedColumnFormula>
    </tableColumn>
  </tableColumns>
  <tableStyleInfo name="TableStyleLight15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61D62086-F6CB-484A-B91C-78580208245C}" name="Table143690117171225188191" displayName="Table143690117171225188191" ref="A92:F114" totalsRowShown="0" headerRowDxfId="407" dataDxfId="406">
  <autoFilter ref="A92:F114" xr:uid="{61D62086-F6CB-484A-B91C-78580208245C}"/>
  <tableColumns count="6">
    <tableColumn id="1" xr3:uid="{C6E5481A-4AF3-4F08-BF15-98191567B2D6}" name="Couchbase" dataDxfId="405"/>
    <tableColumn id="2" xr3:uid="{A6C3438C-C6FE-4282-B46F-243541F7BD06}" name="Registos: 1 000 000" dataDxfId="404"/>
    <tableColumn id="3" xr3:uid="{D254A6B5-A02A-4780-AC44-6353FBE705FE}" name="Teste 1" dataDxfId="403"/>
    <tableColumn id="4" xr3:uid="{F25A5A0D-D9FD-4D7A-9A28-8673BE94CDAF}" name="Teste 2" dataDxfId="402"/>
    <tableColumn id="5" xr3:uid="{F9479B22-3C70-4EF6-928C-0EF5197A77B9}" name="Teste 3" dataDxfId="401"/>
    <tableColumn id="6" xr3:uid="{8AB8AE4E-1DD7-4E8A-8A42-E5DEF9E6D0DE}" name="Média" dataDxfId="400">
      <calculatedColumnFormula>AVERAGE(Table143690117171225188191[[#This Row],[Teste 1]:[Teste 3]])</calculatedColumnFormula>
    </tableColumn>
  </tableColumns>
  <tableStyleInfo name="TableStyleLight15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FB1113AF-D98B-4C33-B9FF-936EC0C06CFC}" name="Table143690117171225188189192" displayName="Table143690117171225188189192" ref="A120:F142" totalsRowShown="0" headerRowDxfId="399" dataDxfId="398">
  <autoFilter ref="A120:F142" xr:uid="{FB1113AF-D98B-4C33-B9FF-936EC0C06CFC}"/>
  <tableColumns count="6">
    <tableColumn id="1" xr3:uid="{BADF0B09-56F5-439B-BF65-7A2619A46D74}" name="Couchbase" dataDxfId="397"/>
    <tableColumn id="2" xr3:uid="{DCBF94DD-486E-4010-A4B3-AE84CC3E708F}" name="Registos: 1 000 000" dataDxfId="396"/>
    <tableColumn id="3" xr3:uid="{D4DADDAA-4BF9-4361-BE38-FE197F53B938}" name="Teste 1" dataDxfId="395"/>
    <tableColumn id="4" xr3:uid="{858DE430-5E84-44D6-A5B5-13BC84EC246A}" name="Teste 2" dataDxfId="394"/>
    <tableColumn id="5" xr3:uid="{C9970A86-A32D-4A87-8C7B-D77573BBBF2C}" name="Teste 3" dataDxfId="393"/>
    <tableColumn id="6" xr3:uid="{A38823D6-1AA1-485D-8007-E1DE1E1AEB44}" name="Média" dataDxfId="392">
      <calculatedColumnFormula>AVERAGE(Table143690117171225188189192[[#This Row],[Teste 1]:[Teste 3]])</calculatedColumnFormula>
    </tableColumn>
  </tableColumns>
  <tableStyleInfo name="TableStyleLight15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D9FC44E-7085-411F-AA7F-0EC14AD85552}" name="Table143690117171225188190193" displayName="Table143690117171225188190193" ref="A148:F170" totalsRowShown="0" headerRowDxfId="391" dataDxfId="390">
  <autoFilter ref="A148:F170" xr:uid="{ED9FC44E-7085-411F-AA7F-0EC14AD85552}"/>
  <tableColumns count="6">
    <tableColumn id="1" xr3:uid="{30DA9773-BC14-4F5E-84EA-B8DCF0280600}" name="Couchbase" dataDxfId="389"/>
    <tableColumn id="2" xr3:uid="{AB2C9BCB-9C1A-4652-82AB-EC7DDF36D0BB}" name="Registos: 1 000 000" dataDxfId="388"/>
    <tableColumn id="3" xr3:uid="{6224AE2B-873E-4673-BB1D-DCB07C5FAF97}" name="Teste 1" dataDxfId="387"/>
    <tableColumn id="4" xr3:uid="{BFBCFFFF-CB04-416E-8292-BEBC37022D54}" name="Teste 2" dataDxfId="386"/>
    <tableColumn id="5" xr3:uid="{1F46C332-B765-4A74-979D-B876C591AAAF}" name="Teste 3" dataDxfId="385"/>
    <tableColumn id="6" xr3:uid="{4C3598AD-CF7B-4D68-804F-3C4F071E1AD0}" name="Média" dataDxfId="384">
      <calculatedColumnFormula>AVERAGE(Table143690117171225188190193[[#This Row],[Teste 1]:[Teste 3]])</calculatedColumnFormula>
    </tableColumn>
  </tableColumns>
  <tableStyleInfo name="TableStyleLight15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11C4F496-A6A4-42E4-81B1-F86F69C84BBE}" name="Table143690117171225188194" displayName="Table143690117171225188194" ref="A178:F200" totalsRowShown="0" headerRowDxfId="383" dataDxfId="382">
  <autoFilter ref="A178:F200" xr:uid="{11C4F496-A6A4-42E4-81B1-F86F69C84BBE}"/>
  <tableColumns count="6">
    <tableColumn id="1" xr3:uid="{B9124BB5-4386-4A29-8117-C0597111D1E5}" name="Couchbase" dataDxfId="381"/>
    <tableColumn id="2" xr3:uid="{F188902A-2CBE-437F-8AD1-FD09FDE804C1}" name="Registos: 10 000 000" dataDxfId="380"/>
    <tableColumn id="3" xr3:uid="{1588932E-CC43-4E1C-ACAC-5920D072BE5E}" name="Teste 1" dataDxfId="379"/>
    <tableColumn id="4" xr3:uid="{60777AAA-FBCA-4FC8-82EF-3830473C05D2}" name="Teste 2" dataDxfId="378"/>
    <tableColumn id="5" xr3:uid="{364D9064-DDA2-4E40-8F57-8146F7206B71}" name="Teste 3" dataDxfId="377"/>
    <tableColumn id="6" xr3:uid="{38E8380C-15D3-49EF-A50A-D86481500122}" name="Média" dataDxfId="376">
      <calculatedColumnFormula>AVERAGE(Table143690117171225188194[[#This Row],[Teste 1]:[Teste 3]])</calculatedColumnFormula>
    </tableColumn>
  </tableColumns>
  <tableStyleInfo name="TableStyleLight15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DF33CA1-8B23-47CE-B62E-908BBEE2F290}" name="Table143690117171225188189195" displayName="Table143690117171225188189195" ref="A206:F228" totalsRowShown="0" headerRowDxfId="375" dataDxfId="374">
  <autoFilter ref="A206:F228" xr:uid="{FDF33CA1-8B23-47CE-B62E-908BBEE2F290}"/>
  <tableColumns count="6">
    <tableColumn id="1" xr3:uid="{3F15D884-3ED1-4E44-8B6F-8DD2EB3A96A4}" name="Couchbase" dataDxfId="373"/>
    <tableColumn id="2" xr3:uid="{465F2638-82DB-4FB0-AA98-3467FD34B035}" name="Registos: 10 000 000" dataDxfId="372"/>
    <tableColumn id="3" xr3:uid="{76BA7CF1-DCAD-4264-8A0D-75D660C94A26}" name="Teste 1" dataDxfId="371"/>
    <tableColumn id="4" xr3:uid="{46F6B87A-9AEB-4AF8-A928-A14BA9523443}" name="Teste 2" dataDxfId="370"/>
    <tableColumn id="5" xr3:uid="{CA6F242D-B170-4B95-B2E4-42DC224657D9}" name="Teste 3" dataDxfId="369"/>
    <tableColumn id="6" xr3:uid="{0792283D-0CC8-4D93-8E8F-4854764E12FD}" name="Média" dataDxfId="368">
      <calculatedColumnFormula>AVERAGE(Table143690117171225188189195[[#This Row],[Teste 1]:[Teste 3]])</calculatedColumnFormula>
    </tableColumn>
  </tableColumns>
  <tableStyleInfo name="TableStyleLight15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4C08D85-187C-4350-B05B-7C8EB4FB805F}" name="Table143690117171225188190196" displayName="Table143690117171225188190196" ref="A234:F256" totalsRowShown="0" headerRowDxfId="367" dataDxfId="366">
  <autoFilter ref="A234:F256" xr:uid="{C4C08D85-187C-4350-B05B-7C8EB4FB805F}"/>
  <tableColumns count="6">
    <tableColumn id="1" xr3:uid="{7452BF62-7B03-47F9-A1F0-1CF3123CFAD2}" name="Couchbase" dataDxfId="365"/>
    <tableColumn id="2" xr3:uid="{A3FB596F-FA4D-423A-BACB-41CADCF32CC8}" name="Registos: 10 000 000" dataDxfId="364"/>
    <tableColumn id="3" xr3:uid="{7DFE2DA6-872E-4691-8703-1C210969FC97}" name="Teste 1" dataDxfId="363"/>
    <tableColumn id="4" xr3:uid="{E5DF7098-7FA2-4474-9521-8DA3A9128306}" name="Teste 2" dataDxfId="362"/>
    <tableColumn id="5" xr3:uid="{04D6980B-F6AB-42B0-A50F-66036098C53F}" name="Teste 3" dataDxfId="361"/>
    <tableColumn id="6" xr3:uid="{7C154A05-C067-49FF-A2D8-63F458FE79BE}" name="Média" dataDxfId="360">
      <calculatedColumnFormula>AVERAGE(Table143690117171225188190196[[#This Row],[Teste 1]:[Teste 3]])</calculatedColumnFormula>
    </tableColumn>
  </tableColumns>
  <tableStyleInfo name="TableStyleLight15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04B202C4-A12B-4408-A559-139BDCED1E8C}" name="Table143690117171225188200" displayName="Table143690117171225188200" ref="H6:M28" totalsRowShown="0" headerRowDxfId="359" dataDxfId="358">
  <autoFilter ref="H6:M28" xr:uid="{04B202C4-A12B-4408-A559-139BDCED1E8C}"/>
  <tableColumns count="6">
    <tableColumn id="1" xr3:uid="{28F02963-90CC-465D-8AE1-33E6E779D1EB}" name="CouchDB" dataDxfId="357"/>
    <tableColumn id="2" xr3:uid="{EA99EE5A-481A-477B-BD52-1A0A7C3621E9}" name="Registos: 100 000" dataDxfId="356"/>
    <tableColumn id="3" xr3:uid="{EFB554AB-DBA4-4AC8-B9E4-6E2A18E60558}" name="Teste 1" dataDxfId="355"/>
    <tableColumn id="4" xr3:uid="{4A7D1F90-152D-4157-9D26-2CF6699524EB}" name="Teste 2" dataDxfId="354"/>
    <tableColumn id="5" xr3:uid="{5F4A1556-6631-404D-A752-72AAC216A6E4}" name="Teste 3" dataDxfId="353"/>
    <tableColumn id="6" xr3:uid="{0EF13707-36B2-4D57-A9E5-2ABCD5CC84C7}" name="Média" dataDxfId="352">
      <calculatedColumnFormula>AVERAGE(Table143690117171225188200[[#This Row],[Teste 1]:[Teste 3]])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16395A-977E-4D76-824D-5D9000B17D6B}" name="Table167" displayName="Table167" ref="A26:F41" totalsRowShown="0" headerRowDxfId="1935" dataDxfId="1934">
  <autoFilter ref="A26:F41" xr:uid="{6916395A-977E-4D76-824D-5D9000B17D6B}"/>
  <tableColumns count="6">
    <tableColumn id="1" xr3:uid="{93A94DDA-5C25-44F7-A046-A0FF005D242C}" name="Couchbase" dataDxfId="1933"/>
    <tableColumn id="2" xr3:uid="{43C5F0E2-23E1-41E9-9FA9-387AD941BC70}" name="Registos: 100 000 " dataDxfId="1932"/>
    <tableColumn id="3" xr3:uid="{2931D69B-89D0-44B3-917D-C96A2B5C0D04}" name="Teste 1" dataDxfId="1931"/>
    <tableColumn id="4" xr3:uid="{AA9A9709-69DA-4F29-AFDE-E6E26737435B}" name="Teste 2" dataDxfId="1930"/>
    <tableColumn id="5" xr3:uid="{5546DD49-96BE-4967-9178-39544545C034}" name="Teste 3" dataDxfId="1929"/>
    <tableColumn id="6" xr3:uid="{CEB9F35D-76BF-4B04-B63C-620A5BBBE666}" name="Média" dataDxfId="1928">
      <calculatedColumnFormula>AVERAGE(Table167[[#This Row],[Teste 1]:[Teste 3]])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717ED3D9-DE2E-4B09-A09D-B9738D7F114B}" name="Table16781" displayName="Table16781" ref="O26:T41" totalsRowShown="0" headerRowDxfId="1791" dataDxfId="1790">
  <autoFilter ref="O26:T41" xr:uid="{717ED3D9-DE2E-4B09-A09D-B9738D7F114B}"/>
  <tableColumns count="6">
    <tableColumn id="1" xr3:uid="{9E0DC7A0-8A73-4C1A-8EA0-83281044A89D}" name="MongoDB" dataDxfId="1789"/>
    <tableColumn id="2" xr3:uid="{5C16A311-E40E-43EC-BB59-4DEA77E54493}" name="Registos: 100 000 " dataDxfId="1788"/>
    <tableColumn id="3" xr3:uid="{38665346-8CA5-4E08-BA54-CADB70BAA395}" name="Teste 1" dataDxfId="1787"/>
    <tableColumn id="4" xr3:uid="{5BAA60FF-3E62-42C5-A968-E776C7AD4F82}" name="Teste 2" dataDxfId="1786"/>
    <tableColumn id="5" xr3:uid="{344099E6-5F54-4CBB-88BB-E8202285DC7B}" name="Teste 3" dataDxfId="1785"/>
    <tableColumn id="6" xr3:uid="{E30DCF94-828B-4283-A1BE-8597BC6BCD74}" name="Média" dataDxfId="1784">
      <calculatedColumnFormula>AVERAGE(Table16781[[#This Row],[Teste 1]:[Teste 3]])</calculatedColumnFormula>
    </tableColumn>
  </tableColumns>
  <tableStyleInfo name="TableStyleLight15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4995ED5B-9B60-4324-BE2E-7C28515F5243}" name="Table143690117171225188189201" displayName="Table143690117171225188189201" ref="H34:M56" totalsRowShown="0" headerRowDxfId="351" dataDxfId="350">
  <autoFilter ref="H34:M56" xr:uid="{4995ED5B-9B60-4324-BE2E-7C28515F5243}"/>
  <tableColumns count="6">
    <tableColumn id="1" xr3:uid="{D9A4A5BB-4F1A-4DBE-87B6-4A32448616DA}" name="CouchDB" dataDxfId="349"/>
    <tableColumn id="2" xr3:uid="{96E7CFD9-86B7-4985-BDA4-1A2AA5454880}" name="Registos: 100 000" dataDxfId="348"/>
    <tableColumn id="3" xr3:uid="{6E38F30D-F012-409C-9169-5A68EA39D485}" name="Teste 1" dataDxfId="347"/>
    <tableColumn id="4" xr3:uid="{76C0DA64-53F0-4CE5-9288-E2052A895A94}" name="Teste 2" dataDxfId="346"/>
    <tableColumn id="5" xr3:uid="{924FA450-7F4F-408B-B453-6F9C7FBDA774}" name="Teste 3" dataDxfId="345"/>
    <tableColumn id="6" xr3:uid="{F52D15BE-964B-4BA2-9DAD-8259A2310498}" name="Média" dataDxfId="344">
      <calculatedColumnFormula>AVERAGE(Table143690117171225188189201[[#This Row],[Teste 1]:[Teste 3]])</calculatedColumnFormula>
    </tableColumn>
  </tableColumns>
  <tableStyleInfo name="TableStyleLight15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71CE0D25-A4AA-4E4D-BED3-A589F26CEB58}" name="Table143690117171225188190202" displayName="Table143690117171225188190202" ref="H62:M84" totalsRowShown="0" headerRowDxfId="343" dataDxfId="342">
  <autoFilter ref="H62:M84" xr:uid="{71CE0D25-A4AA-4E4D-BED3-A589F26CEB58}"/>
  <tableColumns count="6">
    <tableColumn id="1" xr3:uid="{D18ACBEC-1EC8-4983-A2FF-587C451DA015}" name="CouchDB" dataDxfId="341"/>
    <tableColumn id="2" xr3:uid="{358B0CB4-D18E-4C01-AA85-C0CAD9F0C7BD}" name="Registos: 100 000" dataDxfId="340"/>
    <tableColumn id="3" xr3:uid="{59F51DFD-4000-4717-A4EF-AF3AB4316598}" name="Teste 1" dataDxfId="339"/>
    <tableColumn id="4" xr3:uid="{4420C455-FF90-4D9B-80BA-5F345E57F42D}" name="Teste 2" dataDxfId="338"/>
    <tableColumn id="5" xr3:uid="{30C1A85B-7165-45FF-B266-F3CE077F3CB7}" name="Teste 3" dataDxfId="337"/>
    <tableColumn id="6" xr3:uid="{AD5A1EDE-C313-4625-88B6-8B13D2A4485D}" name="Média" dataDxfId="336">
      <calculatedColumnFormula>AVERAGE(Table143690117171225188190202[[#This Row],[Teste 1]:[Teste 3]])</calculatedColumnFormula>
    </tableColumn>
  </tableColumns>
  <tableStyleInfo name="TableStyleLight15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09B5284F-AD0B-453E-BB42-1AB03DF304F0}" name="Table143690117171225188191203" displayName="Table143690117171225188191203" ref="H92:M114" totalsRowShown="0" headerRowDxfId="335" dataDxfId="334">
  <autoFilter ref="H92:M114" xr:uid="{09B5284F-AD0B-453E-BB42-1AB03DF304F0}"/>
  <tableColumns count="6">
    <tableColumn id="1" xr3:uid="{5AC17E34-B915-494D-9CD2-75751AB18946}" name="CouchDB" dataDxfId="333"/>
    <tableColumn id="2" xr3:uid="{4E609027-66AA-4BFE-B418-7FA73D017D28}" name="Registos: 1 000 000" dataDxfId="332"/>
    <tableColumn id="3" xr3:uid="{7951BE7A-AC9B-4824-B19A-837E45E3E318}" name="Teste 1" dataDxfId="331"/>
    <tableColumn id="4" xr3:uid="{4D91806E-05D1-490A-B66E-E798D390141C}" name="Teste 2" dataDxfId="330"/>
    <tableColumn id="5" xr3:uid="{CE9C5B7E-73A9-4745-A6AB-56E7C9BF6BAF}" name="Teste 3" dataDxfId="329"/>
    <tableColumn id="6" xr3:uid="{8C8DE7F9-3424-4BD6-B14B-FE60F61BFBB1}" name="Média" dataDxfId="328">
      <calculatedColumnFormula>AVERAGE(Table143690117171225188191203[[#This Row],[Teste 1]:[Teste 3]])</calculatedColumnFormula>
    </tableColumn>
  </tableColumns>
  <tableStyleInfo name="TableStyleLight15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713E5982-D02A-4CED-87DE-0CFE490A3E12}" name="Table143690117171225188189192204" displayName="Table143690117171225188189192204" ref="H120:M142" totalsRowShown="0" headerRowDxfId="327" dataDxfId="326">
  <autoFilter ref="H120:M142" xr:uid="{713E5982-D02A-4CED-87DE-0CFE490A3E12}"/>
  <tableColumns count="6">
    <tableColumn id="1" xr3:uid="{D12C69C1-840B-4050-8F9B-9BA81D9B3B98}" name="CouchDB" dataDxfId="325"/>
    <tableColumn id="2" xr3:uid="{A113A18D-FF55-4070-BF5D-5454C491599F}" name="Registos: 1 000 000" dataDxfId="324"/>
    <tableColumn id="3" xr3:uid="{9C50A51A-1039-4801-BEA1-D67D2C42695A}" name="Teste 1" dataDxfId="323"/>
    <tableColumn id="4" xr3:uid="{4D1A5A47-FF57-44BB-8484-3C8D7FCA366A}" name="Teste 2" dataDxfId="322"/>
    <tableColumn id="5" xr3:uid="{5546AC20-10B8-466B-AF6D-4CF6CBFD5B87}" name="Teste 3" dataDxfId="321"/>
    <tableColumn id="6" xr3:uid="{7AB5BE1B-520A-416E-915D-E9DC7BF74045}" name="Média" dataDxfId="320">
      <calculatedColumnFormula>AVERAGE(Table143690117171225188189192204[[#This Row],[Teste 1]:[Teste 3]])</calculatedColumnFormula>
    </tableColumn>
  </tableColumns>
  <tableStyleInfo name="TableStyleLight15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7417A7D-BA37-4E62-B999-784CDC597545}" name="Table143690117171225188190193205" displayName="Table143690117171225188190193205" ref="H148:M170" totalsRowShown="0" headerRowDxfId="319" dataDxfId="318">
  <autoFilter ref="H148:M170" xr:uid="{D7417A7D-BA37-4E62-B999-784CDC597545}"/>
  <tableColumns count="6">
    <tableColumn id="1" xr3:uid="{69DEE6AE-DAB9-40F4-AB04-19364D6DB624}" name="CouchDB" dataDxfId="317"/>
    <tableColumn id="2" xr3:uid="{2DA5DD34-EFB7-480B-A237-DC244910F22D}" name="Registos: 1 000 000" dataDxfId="316"/>
    <tableColumn id="3" xr3:uid="{082E457E-D50E-4D6A-9E00-7BA93BFC0B3F}" name="Teste 1" dataDxfId="315"/>
    <tableColumn id="4" xr3:uid="{8F8EF91D-7781-4255-97A6-D3360BF317CB}" name="Teste 2" dataDxfId="314"/>
    <tableColumn id="5" xr3:uid="{93DA49BE-20A1-4C40-B44F-97AA23A38BAA}" name="Teste 3" dataDxfId="313"/>
    <tableColumn id="6" xr3:uid="{190B1BE0-D261-43BB-9E1C-D8B4D1D12809}" name="Média" dataDxfId="312">
      <calculatedColumnFormula>AVERAGE(Table143690117171225188190193205[[#This Row],[Teste 1]:[Teste 3]])</calculatedColumnFormula>
    </tableColumn>
  </tableColumns>
  <tableStyleInfo name="TableStyleLight15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289DCA99-E792-4317-B010-91C54B16803B}" name="Table143690117171225188194206" displayName="Table143690117171225188194206" ref="H178:M200" totalsRowShown="0" headerRowDxfId="311" dataDxfId="310">
  <autoFilter ref="H178:M200" xr:uid="{289DCA99-E792-4317-B010-91C54B16803B}"/>
  <tableColumns count="6">
    <tableColumn id="1" xr3:uid="{30C1EACB-AACB-43D2-9EB9-C65612806AFE}" name="CouchDB" dataDxfId="309"/>
    <tableColumn id="2" xr3:uid="{D9E5B875-E3D4-4EF1-A504-E686E2E18723}" name="Registos: 10 000 000" dataDxfId="308"/>
    <tableColumn id="3" xr3:uid="{AC2642A7-A20D-49B5-8EE7-F83051C0AB81}" name="Teste 1" dataDxfId="307"/>
    <tableColumn id="4" xr3:uid="{A861FD64-9A6E-47BB-9AA0-952FD3AE578C}" name="Teste 2" dataDxfId="306"/>
    <tableColumn id="5" xr3:uid="{435AF305-1CBF-4C81-804C-A7C02C86816A}" name="Teste 3" dataDxfId="305"/>
    <tableColumn id="6" xr3:uid="{39F22FE8-2DD3-4AC5-9088-DF7FB4C6B30B}" name="Média" dataDxfId="304">
      <calculatedColumnFormula>AVERAGE(Table143690117171225188194206[[#This Row],[Teste 1]:[Teste 3]])</calculatedColumnFormula>
    </tableColumn>
  </tableColumns>
  <tableStyleInfo name="TableStyleLight15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FDC49B1-9585-480A-A7C9-7998C486B629}" name="Table143690117171225188189195207" displayName="Table143690117171225188189195207" ref="H206:M228" totalsRowShown="0" headerRowDxfId="303" dataDxfId="302">
  <autoFilter ref="H206:M228" xr:uid="{9FDC49B1-9585-480A-A7C9-7998C486B629}"/>
  <tableColumns count="6">
    <tableColumn id="1" xr3:uid="{66F86578-D635-441E-AAD7-2AB1EA0C569B}" name="CouchDB" dataDxfId="301"/>
    <tableColumn id="2" xr3:uid="{7AEB1821-7C6B-4E18-9F2C-30986BAE2A1D}" name="Registos: 10 000 000" dataDxfId="300"/>
    <tableColumn id="3" xr3:uid="{0DAFBDAB-B4FE-4D3E-BF2C-B6BAFF733444}" name="Teste 1" dataDxfId="299"/>
    <tableColumn id="4" xr3:uid="{69FC86F8-7085-4427-B51E-5B987A675FE1}" name="Teste 2" dataDxfId="298"/>
    <tableColumn id="5" xr3:uid="{A834487F-4539-4163-B3B2-324C8C927472}" name="Teste 3" dataDxfId="297"/>
    <tableColumn id="6" xr3:uid="{BA9DD2F8-84B5-41F3-999D-1E91A580360F}" name="Média" dataDxfId="296">
      <calculatedColumnFormula>AVERAGE(Table143690117171225188189195207[[#This Row],[Teste 1]:[Teste 3]])</calculatedColumnFormula>
    </tableColumn>
  </tableColumns>
  <tableStyleInfo name="TableStyleLight15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26CB0B6E-6E3F-4B35-80FA-077AC00EE70B}" name="Table143690117171225188190196208" displayName="Table143690117171225188190196208" ref="H234:M256" totalsRowShown="0" headerRowDxfId="295" dataDxfId="294">
  <autoFilter ref="H234:M256" xr:uid="{26CB0B6E-6E3F-4B35-80FA-077AC00EE70B}"/>
  <tableColumns count="6">
    <tableColumn id="1" xr3:uid="{B8A5DCE6-EABA-4D1E-A6E0-34214170888D}" name="CouchDB" dataDxfId="293"/>
    <tableColumn id="2" xr3:uid="{9A82BCE7-52E0-41E6-B98A-7530E7BD4EC6}" name="Registos: 10 000 000" dataDxfId="292"/>
    <tableColumn id="3" xr3:uid="{6E8F4DFB-6F2E-42AE-A660-81208C07C671}" name="Teste 1" dataDxfId="291"/>
    <tableColumn id="4" xr3:uid="{60D4700B-2498-4003-B5E4-953A66BA8B73}" name="Teste 2" dataDxfId="290"/>
    <tableColumn id="5" xr3:uid="{8C52FE71-9485-4C3F-AFC0-1A3DCC8CCCA6}" name="Teste 3" dataDxfId="289"/>
    <tableColumn id="6" xr3:uid="{E6BBE936-8F82-4CA2-AC03-63DF60A3D8A5}" name="Média" dataDxfId="288">
      <calculatedColumnFormula>AVERAGE(Table143690117171225188190196208[[#This Row],[Teste 1]:[Teste 3]])</calculatedColumnFormula>
    </tableColumn>
  </tableColumns>
  <tableStyleInfo name="TableStyleLight15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6A53E54D-0F5F-4C08-974A-70B467B21DE3}" name="Table143690117171225188212" displayName="Table143690117171225188212" ref="O6:T28" totalsRowShown="0" headerRowDxfId="287" dataDxfId="286">
  <autoFilter ref="O6:T28" xr:uid="{6A53E54D-0F5F-4C08-974A-70B467B21DE3}"/>
  <tableColumns count="6">
    <tableColumn id="1" xr3:uid="{981BDC31-BB20-4E24-BDEC-5ED7771FF3A5}" name="MongoDB" dataDxfId="285"/>
    <tableColumn id="2" xr3:uid="{3F29C5E2-7019-4A90-B5EB-EF290E2C3E36}" name="Registos: 100 000" dataDxfId="284"/>
    <tableColumn id="3" xr3:uid="{3DC27B6D-4E9B-4F79-AF7B-E5DBB8669A8E}" name="Teste 1" dataDxfId="283"/>
    <tableColumn id="4" xr3:uid="{DB4DC275-5250-4DFB-8644-D9CCD8D87C90}" name="Teste 2" dataDxfId="282"/>
    <tableColumn id="5" xr3:uid="{CFF6B4E3-3288-40AF-BA59-9902A78304F4}" name="Teste 3" dataDxfId="281"/>
    <tableColumn id="6" xr3:uid="{9C61D1BD-1E5F-4F62-AE16-ADBAA0B5C16F}" name="Média" dataDxfId="280">
      <calculatedColumnFormula>AVERAGE(Table143690117171225188212[[#This Row],[Teste 1]:[Teste 3]])</calculatedColumnFormula>
    </tableColumn>
  </tableColumns>
  <tableStyleInfo name="TableStyleLight15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DF015734-0AF3-4510-AE94-82DB93532BF2}" name="Table143690117171225188189213" displayName="Table143690117171225188189213" ref="O34:T56" totalsRowShown="0" headerRowDxfId="279" dataDxfId="278">
  <autoFilter ref="O34:T56" xr:uid="{DF015734-0AF3-4510-AE94-82DB93532BF2}"/>
  <tableColumns count="6">
    <tableColumn id="1" xr3:uid="{898A679F-5341-40D1-8022-DC76DC766DA7}" name="MongoDB" dataDxfId="277"/>
    <tableColumn id="2" xr3:uid="{D877CF87-B595-4B88-A673-AD47E8D92F68}" name="Registos: 100 000" dataDxfId="276"/>
    <tableColumn id="3" xr3:uid="{8B66CF5E-EF05-45BC-A84F-FB6A59720389}" name="Teste 1" dataDxfId="275"/>
    <tableColumn id="4" xr3:uid="{1E863F72-A939-4E39-BF75-B3529B44E99C}" name="Teste 2" dataDxfId="274"/>
    <tableColumn id="5" xr3:uid="{9378B797-0035-477C-B724-0FDBEF04E2FE}" name="Teste 3" dataDxfId="273"/>
    <tableColumn id="6" xr3:uid="{04619FEA-35B1-4B6F-B330-33311DC6E670}" name="Média" dataDxfId="272">
      <calculatedColumnFormula>AVERAGE(Table143690117171225188189213[[#This Row],[Teste 1]:[Teste 3]])</calculatedColumnFormula>
    </tableColumn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502D14F-DB9B-4AF9-AB5F-0C1185095FE0}" name="Table1671182" displayName="Table1671182" ref="O47:T62" totalsRowShown="0" headerRowDxfId="1783" dataDxfId="1782">
  <autoFilter ref="O47:T62" xr:uid="{0502D14F-DB9B-4AF9-AB5F-0C1185095FE0}"/>
  <tableColumns count="6">
    <tableColumn id="1" xr3:uid="{D6E65706-DB42-4553-A89D-6BB008C33A4A}" name="MongoDB" dataDxfId="1781"/>
    <tableColumn id="2" xr3:uid="{D4E22FC5-EC35-4E38-8F71-D9733514793C}" name="Registos: 100 000 " dataDxfId="1780"/>
    <tableColumn id="3" xr3:uid="{B22D3F8F-AB65-44F7-952F-2C0993337C3F}" name="Teste 1" dataDxfId="1779"/>
    <tableColumn id="4" xr3:uid="{10AF47E9-941C-4D06-8540-EC8A1FDAB7E1}" name="Teste 2" dataDxfId="1778"/>
    <tableColumn id="5" xr3:uid="{44E51187-D7B8-4BA0-BD2D-5CFAD59AE557}" name="Teste 3" dataDxfId="1777"/>
    <tableColumn id="6" xr3:uid="{F99FFF09-8DA9-469E-BEA2-AF418185C722}" name="Média" dataDxfId="1776">
      <calculatedColumnFormula>AVERAGE(Table1671182[[#This Row],[Teste 1]:[Teste 3]])</calculatedColumnFormula>
    </tableColumn>
  </tableColumns>
  <tableStyleInfo name="TableStyleLight15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BD41C2DA-2857-4EFA-8A5E-D809349C96E3}" name="Table143690117171225188190214" displayName="Table143690117171225188190214" ref="O62:T84" totalsRowShown="0" headerRowDxfId="271" dataDxfId="270">
  <autoFilter ref="O62:T84" xr:uid="{BD41C2DA-2857-4EFA-8A5E-D809349C96E3}"/>
  <tableColumns count="6">
    <tableColumn id="1" xr3:uid="{E0EF2DA6-23D8-43A4-889D-9F3E7831231F}" name="MongoDB" dataDxfId="269"/>
    <tableColumn id="2" xr3:uid="{64CA6F11-7428-485B-9A34-463C5BB2B86C}" name="Registos: 100 000" dataDxfId="268"/>
    <tableColumn id="3" xr3:uid="{A15ECEDE-9CBF-44AC-A254-55EFDDCDD1B0}" name="Teste 1" dataDxfId="267"/>
    <tableColumn id="4" xr3:uid="{897509A2-30CB-419A-B336-67438270AECD}" name="Teste 2" dataDxfId="266"/>
    <tableColumn id="5" xr3:uid="{634B7EAD-49B6-4908-B365-7D238478E572}" name="Teste 3" dataDxfId="265"/>
    <tableColumn id="6" xr3:uid="{8CDCDC61-95CE-4B51-BFCC-DF8E834746DE}" name="Média" dataDxfId="264">
      <calculatedColumnFormula>AVERAGE(Table143690117171225188190214[[#This Row],[Teste 1]:[Teste 3]])</calculatedColumnFormula>
    </tableColumn>
  </tableColumns>
  <tableStyleInfo name="TableStyleLight15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90120E24-9FDF-4D65-AD42-B125E9425E46}" name="Table143690117171225188191215" displayName="Table143690117171225188191215" ref="O92:T114" totalsRowShown="0" headerRowDxfId="263" dataDxfId="262">
  <autoFilter ref="O92:T114" xr:uid="{90120E24-9FDF-4D65-AD42-B125E9425E46}"/>
  <tableColumns count="6">
    <tableColumn id="1" xr3:uid="{B8550569-7D34-46E3-B7C2-4CAC5E9ABA70}" name="MongoDB" dataDxfId="261"/>
    <tableColumn id="2" xr3:uid="{DFBBE3DD-5E9C-4F1F-8649-AAB34F4EE9F8}" name="Registos: 1 000 000" dataDxfId="260"/>
    <tableColumn id="3" xr3:uid="{0A855701-7AD9-4779-B038-153D858FBB52}" name="Teste 1" dataDxfId="259"/>
    <tableColumn id="4" xr3:uid="{F29721E9-20A7-4CFB-93FF-836AD06E6CB6}" name="Teste 2" dataDxfId="258"/>
    <tableColumn id="5" xr3:uid="{BBC688C2-9D45-4843-827F-138682C65070}" name="Teste 3" dataDxfId="257"/>
    <tableColumn id="6" xr3:uid="{E656C1E6-BB44-483F-A8CF-9FD251D73E91}" name="Média" dataDxfId="256">
      <calculatedColumnFormula>AVERAGE(Table143690117171225188191215[[#This Row],[Teste 1]:[Teste 3]])</calculatedColumnFormula>
    </tableColumn>
  </tableColumns>
  <tableStyleInfo name="TableStyleLight15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3EBCDAA5-1524-4592-B351-A7825EA31606}" name="Table143690117171225188189192216" displayName="Table143690117171225188189192216" ref="O120:T142" totalsRowShown="0" headerRowDxfId="255" dataDxfId="254">
  <autoFilter ref="O120:T142" xr:uid="{3EBCDAA5-1524-4592-B351-A7825EA31606}"/>
  <tableColumns count="6">
    <tableColumn id="1" xr3:uid="{35A07699-6363-4CAE-A426-25DDC3506E9C}" name="MongoDB" dataDxfId="253"/>
    <tableColumn id="2" xr3:uid="{A53D68AD-7650-42C8-BAC8-7AB32A100DB4}" name="Registos: 1 000 000" dataDxfId="252"/>
    <tableColumn id="3" xr3:uid="{6BE1580C-78D4-480C-AB37-F9E93A73D4E9}" name="Teste 1" dataDxfId="251"/>
    <tableColumn id="4" xr3:uid="{D7C629CD-C8C6-479E-8AF3-11D5047C03CF}" name="Teste 2" dataDxfId="250"/>
    <tableColumn id="5" xr3:uid="{066D62E1-1F1C-424E-A4C2-2859563BF7FE}" name="Teste 3" dataDxfId="249"/>
    <tableColumn id="6" xr3:uid="{2EF4DF84-5997-4BD8-8174-CFADA0E8C42A}" name="Média" dataDxfId="248">
      <calculatedColumnFormula>AVERAGE(Table143690117171225188189192216[[#This Row],[Teste 1]:[Teste 3]])</calculatedColumnFormula>
    </tableColumn>
  </tableColumns>
  <tableStyleInfo name="TableStyleLight15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DE1AD5F5-17F8-48D2-8030-B50C57A3BBD9}" name="Table143690117171225188190193217" displayName="Table143690117171225188190193217" ref="O148:T170" totalsRowShown="0" headerRowDxfId="247" dataDxfId="246">
  <autoFilter ref="O148:T170" xr:uid="{DE1AD5F5-17F8-48D2-8030-B50C57A3BBD9}"/>
  <tableColumns count="6">
    <tableColumn id="1" xr3:uid="{82A9E3DC-E263-4A49-8E7C-C8389F6C2230}" name="MongoDB" dataDxfId="245"/>
    <tableColumn id="2" xr3:uid="{CAA5A84C-F4DD-49FF-BD11-C5FE09E17849}" name="Registos: 1 000 000" dataDxfId="244"/>
    <tableColumn id="3" xr3:uid="{C8C058A3-AC13-430B-9273-432BD3ECC1FD}" name="Teste 1" dataDxfId="243"/>
    <tableColumn id="4" xr3:uid="{B09A35F1-E99C-49B7-B89D-3C43743630E5}" name="Teste 2" dataDxfId="242"/>
    <tableColumn id="5" xr3:uid="{6DF561FE-672C-45BE-B1B6-AA99F53DD897}" name="Teste 3" dataDxfId="241"/>
    <tableColumn id="6" xr3:uid="{BFAD5A2B-8EA8-445A-9D74-D9288F066299}" name="Média" dataDxfId="240">
      <calculatedColumnFormula>AVERAGE(Table143690117171225188190193217[[#This Row],[Teste 1]:[Teste 3]])</calculatedColumnFormula>
    </tableColumn>
  </tableColumns>
  <tableStyleInfo name="TableStyleLight15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14FDACF0-78FB-4ACF-8A8B-893C77A8255C}" name="Table143690117171225188194218" displayName="Table143690117171225188194218" ref="O178:T200" totalsRowShown="0" headerRowDxfId="239" dataDxfId="238">
  <autoFilter ref="O178:T200" xr:uid="{14FDACF0-78FB-4ACF-8A8B-893C77A8255C}"/>
  <tableColumns count="6">
    <tableColumn id="1" xr3:uid="{DDAFA411-9372-49CA-A061-05D6FF7FA03F}" name="MongoDB" dataDxfId="237"/>
    <tableColumn id="2" xr3:uid="{CB43B2A0-4090-4BAF-BE93-EB62D8E161C4}" name="Registos: 10 000 000" dataDxfId="236"/>
    <tableColumn id="3" xr3:uid="{D57F59AA-8D24-4362-936F-620A524E0FAB}" name="Teste 1" dataDxfId="235"/>
    <tableColumn id="4" xr3:uid="{1FF7CAB7-2FEF-474E-B0CC-808402636457}" name="Teste 2" dataDxfId="234"/>
    <tableColumn id="5" xr3:uid="{BB3D06D3-E9E6-4631-A054-3B0CF95D9CD9}" name="Teste 3" dataDxfId="233"/>
    <tableColumn id="6" xr3:uid="{DEE5A02F-6DB1-453C-B487-EA42F44EB84A}" name="Média" dataDxfId="232">
      <calculatedColumnFormula>AVERAGE(Table143690117171225188194218[[#This Row],[Teste 1]:[Teste 3]])</calculatedColumnFormula>
    </tableColumn>
  </tableColumns>
  <tableStyleInfo name="TableStyleLight15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B906A7D8-30AB-4DED-84FD-5ADB7E5269BA}" name="Table143690117171225188189195219" displayName="Table143690117171225188189195219" ref="O206:T228" totalsRowShown="0" headerRowDxfId="231" dataDxfId="230">
  <autoFilter ref="O206:T228" xr:uid="{B906A7D8-30AB-4DED-84FD-5ADB7E5269BA}"/>
  <tableColumns count="6">
    <tableColumn id="1" xr3:uid="{C7488590-5D37-4254-8679-312A235A4B22}" name="MongoDB" dataDxfId="229"/>
    <tableColumn id="2" xr3:uid="{208E4156-8CFF-4FB4-9F23-7C848F896A74}" name="Registos: 10 000 000" dataDxfId="228"/>
    <tableColumn id="3" xr3:uid="{CCA31B74-8112-4EAB-B317-5E6AC5C15A1F}" name="Teste 1" dataDxfId="227"/>
    <tableColumn id="4" xr3:uid="{3C3AEA80-C412-4E01-9F86-53575AA53563}" name="Teste 2" dataDxfId="226"/>
    <tableColumn id="5" xr3:uid="{4B7DC414-A348-4286-9ECB-AECE20CAABF1}" name="Teste 3" dataDxfId="225"/>
    <tableColumn id="6" xr3:uid="{75625414-7E6B-4662-8F4C-B66A153F5319}" name="Média" dataDxfId="224">
      <calculatedColumnFormula>AVERAGE(Table143690117171225188189195219[[#This Row],[Teste 1]:[Teste 3]])</calculatedColumnFormula>
    </tableColumn>
  </tableColumns>
  <tableStyleInfo name="TableStyleLight15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C4C199EE-9793-4A36-B738-301C3349C81E}" name="Table143690117171225188190196220" displayName="Table143690117171225188190196220" ref="O234:T256" totalsRowShown="0" headerRowDxfId="223" dataDxfId="222">
  <autoFilter ref="O234:T256" xr:uid="{C4C199EE-9793-4A36-B738-301C3349C81E}"/>
  <tableColumns count="6">
    <tableColumn id="1" xr3:uid="{7FAAD822-D7D3-41A2-A534-980CBB378E6A}" name="MongoDB" dataDxfId="221"/>
    <tableColumn id="2" xr3:uid="{53BD4D55-C235-41F3-B80F-70DE1A93709C}" name="Registos: 10 000 000" dataDxfId="220"/>
    <tableColumn id="3" xr3:uid="{7E18105E-9D2C-4578-830D-9041D3A2EAF8}" name="Teste 1" dataDxfId="219"/>
    <tableColumn id="4" xr3:uid="{422541BC-B82E-4C57-BB71-DBDDB6BEFD88}" name="Teste 2" dataDxfId="218"/>
    <tableColumn id="5" xr3:uid="{D7F7862B-9948-4CC7-A117-742EA89C5044}" name="Teste 3" dataDxfId="217"/>
    <tableColumn id="6" xr3:uid="{CDCE1C96-241C-424B-B89B-5BBA45DE88C4}" name="Média" dataDxfId="216">
      <calculatedColumnFormula>AVERAGE(Table143690117171225188190196220[[#This Row],[Teste 1]:[Teste 3]])</calculatedColumnFormula>
    </tableColumn>
  </tableColumns>
  <tableStyleInfo name="TableStyleLight15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9DC5E411-0F9D-4784-92B1-B82D4A6F53F7}" name="Table143690117171252224" displayName="Table143690117171252224" ref="A6:F21" totalsRowShown="0" headerRowDxfId="215" dataDxfId="214">
  <autoFilter ref="A6:F21" xr:uid="{9DC5E411-0F9D-4784-92B1-B82D4A6F53F7}"/>
  <tableColumns count="6">
    <tableColumn id="1" xr3:uid="{BCE81C38-6677-460B-B775-B0C3E28FA605}" name="Couchbase" dataDxfId="213"/>
    <tableColumn id="2" xr3:uid="{01A4E3C3-1A34-41AD-A766-68B830851368}" name="Registos: 100 000" dataDxfId="212"/>
    <tableColumn id="3" xr3:uid="{7F790597-47DE-454F-8512-AD8ED0CD8345}" name="Teste 1" dataDxfId="211"/>
    <tableColumn id="4" xr3:uid="{B1F380D5-79B1-4E4E-8E10-890BFACDC002}" name="Teste 2" dataDxfId="210"/>
    <tableColumn id="5" xr3:uid="{680FFA05-EC3F-4F23-9D75-4272EBD53DC6}" name="Teste 3" dataDxfId="209"/>
    <tableColumn id="6" xr3:uid="{F16FAE16-BFCD-40CE-B471-17F167F3E37B}" name="Média" dataDxfId="208">
      <calculatedColumnFormula>AVERAGE(Table143690117171252224[[#This Row],[Teste 1]:[Teste 3]])</calculatedColumnFormula>
    </tableColumn>
  </tableColumns>
  <tableStyleInfo name="TableStyleLight15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12622981-FEEE-4030-ADEC-7483EF4149D0}" name="Table143690117171252224225" displayName="Table143690117171252224225" ref="A27:F42" totalsRowShown="0" headerRowDxfId="207" dataDxfId="206">
  <autoFilter ref="A27:F42" xr:uid="{12622981-FEEE-4030-ADEC-7483EF4149D0}"/>
  <tableColumns count="6">
    <tableColumn id="1" xr3:uid="{2B374904-FCDC-4E28-A6DE-E7370EA43246}" name="Couchbase" dataDxfId="205"/>
    <tableColumn id="2" xr3:uid="{D31527D7-4B7E-448D-86D2-4FA85E17613E}" name="Registos: 100 000" dataDxfId="204"/>
    <tableColumn id="3" xr3:uid="{3E936035-6C70-4163-BCAE-4A56AF3294BE}" name="Teste 1" dataDxfId="203"/>
    <tableColumn id="4" xr3:uid="{923A5574-0C43-454E-8BB7-1817C4526D48}" name="Teste 2" dataDxfId="202"/>
    <tableColumn id="5" xr3:uid="{B6E184BB-61E4-4E85-A3B1-34B552A7A87B}" name="Teste 3" dataDxfId="201"/>
    <tableColumn id="6" xr3:uid="{64514C6C-ACB1-4C10-9A63-5AAA4B34EC12}" name="Média" dataDxfId="200">
      <calculatedColumnFormula>AVERAGE(Table143690117171252224225[[#This Row],[Teste 1]:[Teste 3]])</calculatedColumnFormula>
    </tableColumn>
  </tableColumns>
  <tableStyleInfo name="TableStyleLight15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812505BF-3030-4938-A1DD-04ECEF2BFBF2}" name="Table143690117171252224226" displayName="Table143690117171252224226" ref="A48:F63" totalsRowShown="0" headerRowDxfId="199" dataDxfId="198">
  <autoFilter ref="A48:F63" xr:uid="{812505BF-3030-4938-A1DD-04ECEF2BFBF2}"/>
  <tableColumns count="6">
    <tableColumn id="1" xr3:uid="{A3E3FABA-ADDC-4BA1-BAFD-0A2E5CC897AC}" name="Couchbase" dataDxfId="197"/>
    <tableColumn id="2" xr3:uid="{2888A915-88F0-405B-A9DC-85FD49A339BC}" name="Registos: 100 000" dataDxfId="196"/>
    <tableColumn id="3" xr3:uid="{B06146F3-FF13-48B0-8C04-66A773C68F7F}" name="Teste 1" dataDxfId="195"/>
    <tableColumn id="4" xr3:uid="{F47F6395-3FB8-4F36-9E17-40C5DBD83637}" name="Teste 2" dataDxfId="194"/>
    <tableColumn id="5" xr3:uid="{A8616C68-A040-46D3-A4ED-8862CB6AC549}" name="Teste 3" dataDxfId="193"/>
    <tableColumn id="6" xr3:uid="{54D5418F-89B6-452F-B680-4B4416A407D9}" name="Média" dataDxfId="192">
      <calculatedColumnFormula>AVERAGE(Table143690117171252224226[[#This Row],[Teste 1]:[Teste 3]])</calculatedColumnFormula>
    </tableColumn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599B337A-091D-4BF1-94E5-93671122BD4B}" name="Table161283" displayName="Table161283" ref="O70:T85" totalsRowShown="0" headerRowDxfId="1775" dataDxfId="1774">
  <autoFilter ref="O70:T85" xr:uid="{599B337A-091D-4BF1-94E5-93671122BD4B}"/>
  <tableColumns count="6">
    <tableColumn id="1" xr3:uid="{2F91CAAA-7B68-46A8-B4D1-471682976324}" name="MongoDB" dataDxfId="1773"/>
    <tableColumn id="2" xr3:uid="{A8419439-3378-4218-B718-0EC05473F5AB}" name="Registos: 1 000 000 " dataDxfId="1772"/>
    <tableColumn id="3" xr3:uid="{275A967A-5668-4FCE-A697-455E1A4C9C51}" name="Teste 1" dataDxfId="1771"/>
    <tableColumn id="4" xr3:uid="{B200F0AB-8AE8-4F0B-8335-D4C155AFEBFC}" name="Teste 2" dataDxfId="1770"/>
    <tableColumn id="5" xr3:uid="{F9387095-2FC4-4137-80E8-B773A1F633CA}" name="Teste 3" dataDxfId="1769"/>
    <tableColumn id="6" xr3:uid="{E37AAFBA-E8C7-4A3A-94D9-25CE553B73D5}" name="Média" dataDxfId="1768">
      <calculatedColumnFormula>AVERAGE(Table161283[[#This Row],[Teste 1]:[Teste 3]])</calculatedColumnFormula>
    </tableColumn>
  </tableColumns>
  <tableStyleInfo name="TableStyleLight15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AAE448F6-9666-44FA-947A-B389B7DBB040}" name="Table143690117171252224227" displayName="Table143690117171252224227" ref="A71:F86" totalsRowShown="0" headerRowDxfId="191" dataDxfId="190">
  <autoFilter ref="A71:F86" xr:uid="{AAE448F6-9666-44FA-947A-B389B7DBB040}"/>
  <tableColumns count="6">
    <tableColumn id="1" xr3:uid="{7A621DBC-B9BE-41E8-894E-0C9A4A88A801}" name="Couchbase" dataDxfId="189"/>
    <tableColumn id="2" xr3:uid="{DBAFC27A-315E-40B8-A212-F3882141D205}" name="Registos: 1 000 000" dataDxfId="188"/>
    <tableColumn id="3" xr3:uid="{75C22471-5C52-4B83-A5E9-93F610CE0962}" name="Teste 1" dataDxfId="187"/>
    <tableColumn id="4" xr3:uid="{EC9B1265-BC00-4066-A1F2-F2016468FF2D}" name="Teste 2" dataDxfId="186"/>
    <tableColumn id="5" xr3:uid="{AF77316B-B2A3-4C27-9957-8539CD7D83D2}" name="Teste 3" dataDxfId="185"/>
    <tableColumn id="6" xr3:uid="{9BA82B31-3974-4E99-BDD7-633A03027E9F}" name="Média" dataDxfId="184">
      <calculatedColumnFormula>AVERAGE(Table143690117171252224227[[#This Row],[Teste 1]:[Teste 3]])</calculatedColumnFormula>
    </tableColumn>
  </tableColumns>
  <tableStyleInfo name="TableStyleLight15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7601AE9B-E6DD-42DE-8989-72EFAD1A33B2}" name="Table143690117171252224225228" displayName="Table143690117171252224225228" ref="A92:F107" totalsRowShown="0" headerRowDxfId="183" dataDxfId="182">
  <autoFilter ref="A92:F107" xr:uid="{7601AE9B-E6DD-42DE-8989-72EFAD1A33B2}"/>
  <tableColumns count="6">
    <tableColumn id="1" xr3:uid="{394C3840-3168-4BC5-A331-BEB286C678DA}" name="Couchbase" dataDxfId="181"/>
    <tableColumn id="2" xr3:uid="{290905D7-4791-47D0-AFC9-17260A790AB3}" name="Registos: 1 000 000" dataDxfId="180"/>
    <tableColumn id="3" xr3:uid="{FA2823DD-684C-4013-96D9-A6278BAB969C}" name="Teste 1" dataDxfId="179"/>
    <tableColumn id="4" xr3:uid="{07F6A2F2-D07D-430D-95C9-506D0E637A2C}" name="Teste 2" dataDxfId="178"/>
    <tableColumn id="5" xr3:uid="{223E4A6F-0EA2-4576-9643-746BB3DA453C}" name="Teste 3" dataDxfId="177"/>
    <tableColumn id="6" xr3:uid="{467EB5FB-FF59-4736-9B31-0F7FD94337DA}" name="Média" dataDxfId="176">
      <calculatedColumnFormula>AVERAGE(Table143690117171252224225228[[#This Row],[Teste 1]:[Teste 3]])</calculatedColumnFormula>
    </tableColumn>
  </tableColumns>
  <tableStyleInfo name="TableStyleLight15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AC4697E0-ACD1-4B82-8115-064D68DF1A5C}" name="Table143690117171252224226229" displayName="Table143690117171252224226229" ref="A113:F128" totalsRowShown="0" headerRowDxfId="175" dataDxfId="174">
  <autoFilter ref="A113:F128" xr:uid="{AC4697E0-ACD1-4B82-8115-064D68DF1A5C}"/>
  <tableColumns count="6">
    <tableColumn id="1" xr3:uid="{DBE4A7E2-7B30-414E-9BBD-6AC46CCBE64C}" name="Couchbase" dataDxfId="173"/>
    <tableColumn id="2" xr3:uid="{2D6109BF-B63C-4C3C-BD94-AD1D4311865C}" name="Registos: 1 000 000" dataDxfId="172"/>
    <tableColumn id="3" xr3:uid="{1B05ECD7-38D0-45B4-AC00-1C781DA5D9C9}" name="Teste 1" dataDxfId="171"/>
    <tableColumn id="4" xr3:uid="{99F5C6A1-5B12-4422-A043-0D559924F238}" name="Teste 2" dataDxfId="170"/>
    <tableColumn id="5" xr3:uid="{21E12900-65C2-4184-B6E8-5776AEB6D00A}" name="Teste 3" dataDxfId="169"/>
    <tableColumn id="6" xr3:uid="{A775C15C-3F73-4450-BFE8-7D9519723F3E}" name="Média" dataDxfId="168">
      <calculatedColumnFormula>AVERAGE(Table143690117171252224226229[[#This Row],[Teste 1]:[Teste 3]])</calculatedColumnFormula>
    </tableColumn>
  </tableColumns>
  <tableStyleInfo name="TableStyleLight15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38AAAA43-E770-411D-8A5A-CB397257E4F2}" name="Table143690117171252224230" displayName="Table143690117171252224230" ref="A136:F151" totalsRowShown="0" headerRowDxfId="167" dataDxfId="166">
  <autoFilter ref="A136:F151" xr:uid="{38AAAA43-E770-411D-8A5A-CB397257E4F2}"/>
  <tableColumns count="6">
    <tableColumn id="1" xr3:uid="{E30CAE10-1E01-4C25-9767-F3244FD1B6B7}" name="Couchbase" dataDxfId="165"/>
    <tableColumn id="2" xr3:uid="{58A5A821-24A3-4507-BB3A-FABFB9DA7A22}" name="Registos: 10 000 000" dataDxfId="164"/>
    <tableColumn id="3" xr3:uid="{ACD5A2CD-0086-4A44-BBAA-D0DDBFDF69D0}" name="Teste 1" dataDxfId="163"/>
    <tableColumn id="4" xr3:uid="{4C8E56D0-2513-4D07-B3B9-4AA4CBA269C2}" name="Teste 2" dataDxfId="162"/>
    <tableColumn id="5" xr3:uid="{799554F2-0310-4E33-AFDC-1DBA7C90AC89}" name="Teste 3" dataDxfId="161"/>
    <tableColumn id="6" xr3:uid="{97A448C8-D4C1-4A4F-A938-3F94C25549E4}" name="Média" dataDxfId="160">
      <calculatedColumnFormula>AVERAGE(Table143690117171252224230[[#This Row],[Teste 1]:[Teste 3]])</calculatedColumnFormula>
    </tableColumn>
  </tableColumns>
  <tableStyleInfo name="TableStyleLight15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7F1A6E9-9DC5-4C44-81C4-766140F255D1}" name="Table143690117171252224225231" displayName="Table143690117171252224225231" ref="A157:F172" totalsRowShown="0" headerRowDxfId="159" dataDxfId="158">
  <autoFilter ref="A157:F172" xr:uid="{07F1A6E9-9DC5-4C44-81C4-766140F255D1}"/>
  <tableColumns count="6">
    <tableColumn id="1" xr3:uid="{1404E157-BD27-4AE1-BAE0-E95641980A0C}" name="Couchbase" dataDxfId="157"/>
    <tableColumn id="2" xr3:uid="{F4EE4B88-E074-4698-86C1-ABBBAF35D2A1}" name="Registos: 10 000 000" dataDxfId="156"/>
    <tableColumn id="3" xr3:uid="{762996FF-4F5F-4363-B436-FBB3C49CCE3A}" name="Teste 1" dataDxfId="155"/>
    <tableColumn id="4" xr3:uid="{474E7BA1-2578-4D3B-960B-4D99E3339588}" name="Teste 2" dataDxfId="154"/>
    <tableColumn id="5" xr3:uid="{CB845F22-5CB5-4CE1-ABC6-2968F4E2616D}" name="Teste 3" dataDxfId="153"/>
    <tableColumn id="6" xr3:uid="{4CE60BB6-285A-4B29-B1F6-247D0E0B40FE}" name="Média" dataDxfId="152">
      <calculatedColumnFormula>AVERAGE(Table143690117171252224225231[[#This Row],[Teste 1]:[Teste 3]])</calculatedColumnFormula>
    </tableColumn>
  </tableColumns>
  <tableStyleInfo name="TableStyleLight15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AE1374BD-D0EB-460B-8F4D-3562256D175E}" name="Table143690117171252224226232" displayName="Table143690117171252224226232" ref="A178:F193" totalsRowShown="0" headerRowDxfId="151" dataDxfId="150">
  <autoFilter ref="A178:F193" xr:uid="{AE1374BD-D0EB-460B-8F4D-3562256D175E}"/>
  <tableColumns count="6">
    <tableColumn id="1" xr3:uid="{E9B52EDE-E81C-4B09-B798-283F327131D5}" name="Couchbase" dataDxfId="149"/>
    <tableColumn id="2" xr3:uid="{4846F2CF-DA25-4425-B790-D24355CAB8ED}" name="Registos: 10 000 000" dataDxfId="148"/>
    <tableColumn id="3" xr3:uid="{604F4E83-913C-4875-8745-961AED7C790B}" name="Teste 1" dataDxfId="147"/>
    <tableColumn id="4" xr3:uid="{1CE5EC87-8F54-4926-B10E-AEA1E0E3AF77}" name="Teste 2" dataDxfId="146"/>
    <tableColumn id="5" xr3:uid="{72FF7D61-31DD-4AFA-A6F5-770F04A629F0}" name="Teste 3" dataDxfId="145"/>
    <tableColumn id="6" xr3:uid="{95AB0754-1F96-476A-A339-464753B18DE5}" name="Média" dataDxfId="144">
      <calculatedColumnFormula>AVERAGE(Table143690117171252224226232[[#This Row],[Teste 1]:[Teste 3]])</calculatedColumnFormula>
    </tableColumn>
  </tableColumns>
  <tableStyleInfo name="TableStyleLight15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D2ACC194-0797-4A58-8B99-0913CA932F66}" name="Table143690117171252224236" displayName="Table143690117171252224236" ref="H6:M21" totalsRowShown="0" headerRowDxfId="143" dataDxfId="142">
  <autoFilter ref="H6:M21" xr:uid="{D2ACC194-0797-4A58-8B99-0913CA932F66}"/>
  <tableColumns count="6">
    <tableColumn id="1" xr3:uid="{F19CFF7E-99AC-4508-90AF-B729F368A191}" name="CouchDB" dataDxfId="141"/>
    <tableColumn id="2" xr3:uid="{E8395E1D-2D92-4B79-A9DF-5E729A84801D}" name="Registos: 100 000" dataDxfId="140"/>
    <tableColumn id="3" xr3:uid="{8FBD92D8-D8D4-4963-96B2-FC77B4CFF74C}" name="Teste 1" dataDxfId="139"/>
    <tableColumn id="4" xr3:uid="{8F53C0EE-2943-416F-9176-1D0ADF57FE44}" name="Teste 2" dataDxfId="138"/>
    <tableColumn id="5" xr3:uid="{0B2933ED-A395-46EF-9410-BE78EE1B5ABA}" name="Teste 3" dataDxfId="137"/>
    <tableColumn id="6" xr3:uid="{8373B8D8-2C54-4146-AD86-941B15DEA218}" name="Média" dataDxfId="136">
      <calculatedColumnFormula>AVERAGE(Table143690117171252224236[[#This Row],[Teste 1]:[Teste 3]])</calculatedColumnFormula>
    </tableColumn>
  </tableColumns>
  <tableStyleInfo name="TableStyleLight15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BF19F601-ED92-4616-8174-609D45903C7B}" name="Table143690117171252224225237" displayName="Table143690117171252224225237" ref="H27:M42" totalsRowShown="0" headerRowDxfId="135" dataDxfId="134">
  <autoFilter ref="H27:M42" xr:uid="{BF19F601-ED92-4616-8174-609D45903C7B}"/>
  <tableColumns count="6">
    <tableColumn id="1" xr3:uid="{9E62732F-D0F0-4ACC-B0DD-F0AA4A0DE7C4}" name="CouchDB" dataDxfId="133"/>
    <tableColumn id="2" xr3:uid="{71557EA0-144C-437F-B0E4-DBC5930C617D}" name="Registos: 100 000" dataDxfId="132"/>
    <tableColumn id="3" xr3:uid="{86463644-D7A7-4604-B0C7-C2D303FDBE3C}" name="Teste 1" dataDxfId="131"/>
    <tableColumn id="4" xr3:uid="{5E9ABDB8-B6F7-4AEC-BF03-C3D21502FB46}" name="Teste 2" dataDxfId="130"/>
    <tableColumn id="5" xr3:uid="{6D71A9E0-36D9-4DBE-B963-F2AD72A81B50}" name="Teste 3" dataDxfId="129"/>
    <tableColumn id="6" xr3:uid="{A4E844EA-2B00-452E-862D-60C94DA89B29}" name="Média" dataDxfId="128">
      <calculatedColumnFormula>AVERAGE(Table143690117171252224225237[[#This Row],[Teste 1]:[Teste 3]])</calculatedColumnFormula>
    </tableColumn>
  </tableColumns>
  <tableStyleInfo name="TableStyleLight15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FA3BB778-44E8-4910-8072-80645D83E541}" name="Table143690117171252224226238" displayName="Table143690117171252224226238" ref="H48:M63" totalsRowShown="0" headerRowDxfId="127" dataDxfId="126">
  <autoFilter ref="H48:M63" xr:uid="{FA3BB778-44E8-4910-8072-80645D83E541}"/>
  <tableColumns count="6">
    <tableColumn id="1" xr3:uid="{74265F6B-8342-4244-B65E-4B9EE0E5CA11}" name="CouchDB" dataDxfId="125"/>
    <tableColumn id="2" xr3:uid="{0B97DDA6-C36B-457D-9DB3-1F0F98861BEB}" name="Registos: 100 000" dataDxfId="124"/>
    <tableColumn id="3" xr3:uid="{2432C1F0-D060-49B4-827D-748DCCD60414}" name="Teste 1" dataDxfId="123"/>
    <tableColumn id="4" xr3:uid="{0B587242-A87F-4FB5-983E-3ED7B784762F}" name="Teste 2" dataDxfId="122"/>
    <tableColumn id="5" xr3:uid="{E051F412-A6DB-4B5A-872C-E0156FF14F36}" name="Teste 3" dataDxfId="121"/>
    <tableColumn id="6" xr3:uid="{4DFD67AD-5E80-4499-A7F8-01B779D937E5}" name="Média" dataDxfId="120">
      <calculatedColumnFormula>AVERAGE(Table143690117171252224226238[[#This Row],[Teste 1]:[Teste 3]])</calculatedColumnFormula>
    </tableColumn>
  </tableColumns>
  <tableStyleInfo name="TableStyleLight15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F2D9651-0D89-405A-9213-A82F80ADE8A3}" name="Table143690117171252224227239" displayName="Table143690117171252224227239" ref="H71:M86" totalsRowShown="0" headerRowDxfId="119" dataDxfId="118">
  <autoFilter ref="H71:M86" xr:uid="{0F2D9651-0D89-405A-9213-A82F80ADE8A3}"/>
  <tableColumns count="6">
    <tableColumn id="1" xr3:uid="{77ECAD83-2D36-42F3-A582-6794975293C3}" name="CouchDB" dataDxfId="117"/>
    <tableColumn id="2" xr3:uid="{5E26AAF8-8CA8-4D23-8032-4F3A37F78D7C}" name="Registos: 1 000 000" dataDxfId="116"/>
    <tableColumn id="3" xr3:uid="{31B20EA4-0FE1-4967-BFBA-A2284C4EF295}" name="Teste 1" dataDxfId="115"/>
    <tableColumn id="4" xr3:uid="{8D7A3A30-6C35-4416-A1B8-D175693A7B9B}" name="Teste 2" dataDxfId="114"/>
    <tableColumn id="5" xr3:uid="{FDFB4B77-7915-4F00-A774-D44D6BE766E7}" name="Teste 3" dataDxfId="113"/>
    <tableColumn id="6" xr3:uid="{2C32CE74-ED42-46BC-BA8B-24053C9AC8CB}" name="Média" dataDxfId="112">
      <calculatedColumnFormula>AVERAGE(Table143690117171252224227239[[#This Row],[Teste 1]:[Teste 3]])</calculatedColumnFormula>
    </tableColumn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11104BD-A62F-47C3-B163-C4D5358F4C83}" name="Table1671384" displayName="Table1671384" ref="O91:T106" totalsRowShown="0" headerRowDxfId="1767" dataDxfId="1766">
  <autoFilter ref="O91:T106" xr:uid="{211104BD-A62F-47C3-B163-C4D5358F4C83}"/>
  <tableColumns count="6">
    <tableColumn id="1" xr3:uid="{500F2E52-EB19-44E9-99C1-C675303819BA}" name="MongoDB" dataDxfId="1765"/>
    <tableColumn id="2" xr3:uid="{902E364F-E7BC-4D51-9E65-891499090995}" name="Registos: 1 000 000 " dataDxfId="1764"/>
    <tableColumn id="3" xr3:uid="{62A71C36-D309-42FD-B710-01867FCEA5D1}" name="Teste 1" dataDxfId="1763"/>
    <tableColumn id="4" xr3:uid="{39987390-A03C-4316-9698-C341B12FCF02}" name="Teste 2" dataDxfId="1762"/>
    <tableColumn id="5" xr3:uid="{BB444B92-52F1-4358-9D23-45D52F59CCD5}" name="Teste 3" dataDxfId="1761"/>
    <tableColumn id="6" xr3:uid="{A83828BA-806A-4235-BE22-DFD385524529}" name="Média" dataDxfId="1760">
      <calculatedColumnFormula>AVERAGE(Table1671384[[#This Row],[Teste 1]:[Teste 3]])</calculatedColumnFormula>
    </tableColumn>
  </tableColumns>
  <tableStyleInfo name="TableStyleLight15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467A3EE1-5094-4D76-B1A3-0137932AE467}" name="Table143690117171252224225228240" displayName="Table143690117171252224225228240" ref="H92:M107" totalsRowShown="0" headerRowDxfId="111" dataDxfId="110">
  <autoFilter ref="H92:M107" xr:uid="{467A3EE1-5094-4D76-B1A3-0137932AE467}"/>
  <tableColumns count="6">
    <tableColumn id="1" xr3:uid="{F76C8B11-6FA2-42B1-AD4B-EB5F07834FA6}" name="CouchDB" dataDxfId="109"/>
    <tableColumn id="2" xr3:uid="{DA06046C-D50F-48B3-80DF-F1AAA25D129B}" name="Registos: 1 000 000" dataDxfId="108"/>
    <tableColumn id="3" xr3:uid="{A859579E-6C05-439A-BFFE-0F600F83C6F3}" name="Teste 1" dataDxfId="107"/>
    <tableColumn id="4" xr3:uid="{3BBF896A-6741-4FC3-8BAE-29CBC4DCB897}" name="Teste 2" dataDxfId="106"/>
    <tableColumn id="5" xr3:uid="{63B3A5D3-1872-4A8D-A986-59799DA9F9F5}" name="Teste 3" dataDxfId="105"/>
    <tableColumn id="6" xr3:uid="{E22C5DB3-54EB-4774-B099-60F1A9590311}" name="Média" dataDxfId="104">
      <calculatedColumnFormula>AVERAGE(Table143690117171252224225228240[[#This Row],[Teste 1]:[Teste 3]])</calculatedColumnFormula>
    </tableColumn>
  </tableColumns>
  <tableStyleInfo name="TableStyleLight15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CBD3F0DC-4965-4820-8824-1411144FF23A}" name="Table143690117171252224226229241" displayName="Table143690117171252224226229241" ref="H113:M128" totalsRowShown="0" headerRowDxfId="103" dataDxfId="102">
  <autoFilter ref="H113:M128" xr:uid="{CBD3F0DC-4965-4820-8824-1411144FF23A}"/>
  <tableColumns count="6">
    <tableColumn id="1" xr3:uid="{26BE3B29-0729-481D-BB28-CCFACA1936B1}" name="CouchDB" dataDxfId="101"/>
    <tableColumn id="2" xr3:uid="{E10F04B8-952A-48EA-BE3B-95443E9A2789}" name="Registos: 1 000 000" dataDxfId="100"/>
    <tableColumn id="3" xr3:uid="{5AD6AAFE-E52A-4496-9AC7-53D17F0885FE}" name="Teste 1" dataDxfId="99"/>
    <tableColumn id="4" xr3:uid="{F90B695B-FC31-4E63-847A-BD28F8564F20}" name="Teste 2" dataDxfId="98"/>
    <tableColumn id="5" xr3:uid="{CAD0217C-00E4-44FE-984E-E84CD99841A6}" name="Teste 3" dataDxfId="97"/>
    <tableColumn id="6" xr3:uid="{655772B6-636D-4807-B8D8-82E35E32C6C5}" name="Média" dataDxfId="96">
      <calculatedColumnFormula>AVERAGE(Table143690117171252224226229241[[#This Row],[Teste 1]:[Teste 3]])</calculatedColumnFormula>
    </tableColumn>
  </tableColumns>
  <tableStyleInfo name="TableStyleLight15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E2AF53D0-BB65-468A-B167-B4EE1FEB96E5}" name="Table143690117171252224230242" displayName="Table143690117171252224230242" ref="H136:M151" totalsRowShown="0" headerRowDxfId="95" dataDxfId="94">
  <autoFilter ref="H136:M151" xr:uid="{E2AF53D0-BB65-468A-B167-B4EE1FEB96E5}"/>
  <tableColumns count="6">
    <tableColumn id="1" xr3:uid="{AF7E3D56-8C3F-4682-8FD3-2E828D5752FC}" name="CouchDB" dataDxfId="93"/>
    <tableColumn id="2" xr3:uid="{58B1AE3E-5B8D-4253-88CA-A9FD15DAF634}" name="Registos: 10 000 000" dataDxfId="92"/>
    <tableColumn id="3" xr3:uid="{F12590C6-1F46-4072-A872-348D37E7E9E2}" name="Teste 1" dataDxfId="91"/>
    <tableColumn id="4" xr3:uid="{FC68D2D7-9ABF-4EB7-859C-6912EE12ED53}" name="Teste 2" dataDxfId="90"/>
    <tableColumn id="5" xr3:uid="{AF957FC1-6E72-42F5-B881-CC272708BCEA}" name="Teste 3" dataDxfId="89"/>
    <tableColumn id="6" xr3:uid="{1EAC29E9-94EC-470D-821F-C4A44B3775C1}" name="Média" dataDxfId="88">
      <calculatedColumnFormula>AVERAGE(Table143690117171252224230242[[#This Row],[Teste 1]:[Teste 3]])</calculatedColumnFormula>
    </tableColumn>
  </tableColumns>
  <tableStyleInfo name="TableStyleLight15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D1AD73F1-EC01-435D-9A83-24DF758D28FA}" name="Table143690117171252224225231243" displayName="Table143690117171252224225231243" ref="H157:M172" totalsRowShown="0" headerRowDxfId="87" dataDxfId="86">
  <autoFilter ref="H157:M172" xr:uid="{D1AD73F1-EC01-435D-9A83-24DF758D28FA}"/>
  <tableColumns count="6">
    <tableColumn id="1" xr3:uid="{61204FB9-D808-422E-ADE9-C289F1D4D5CD}" name="CouchDB" dataDxfId="85"/>
    <tableColumn id="2" xr3:uid="{3E7BE973-5364-4675-B620-20963F4B00E3}" name="Registos: 10 000 000" dataDxfId="84"/>
    <tableColumn id="3" xr3:uid="{4DF25AEF-C0F6-4925-AE4C-89FB8F5E495C}" name="Teste 1" dataDxfId="83"/>
    <tableColumn id="4" xr3:uid="{67BA4373-C58E-4E3C-81BF-421B0C788D8E}" name="Teste 2" dataDxfId="82"/>
    <tableColumn id="5" xr3:uid="{933DD786-AEDE-4541-8A8F-1458AA2A0249}" name="Teste 3" dataDxfId="81"/>
    <tableColumn id="6" xr3:uid="{A377C828-5DC8-4712-9B94-FC261DA319C5}" name="Média" dataDxfId="80">
      <calculatedColumnFormula>AVERAGE(Table143690117171252224225231243[[#This Row],[Teste 1]:[Teste 3]])</calculatedColumnFormula>
    </tableColumn>
  </tableColumns>
  <tableStyleInfo name="TableStyleLight15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9ADE94C5-1C90-4BC4-AADE-3E2855180FDF}" name="Table143690117171252224226232244" displayName="Table143690117171252224226232244" ref="H178:M193" totalsRowShown="0" headerRowDxfId="79" dataDxfId="78">
  <autoFilter ref="H178:M193" xr:uid="{9ADE94C5-1C90-4BC4-AADE-3E2855180FDF}"/>
  <tableColumns count="6">
    <tableColumn id="1" xr3:uid="{E0FA90E0-FAED-47BF-A79D-900DFB1D89F1}" name="CouchDB" dataDxfId="77"/>
    <tableColumn id="2" xr3:uid="{4B88A3B7-33AA-493F-A21C-016556F7ADD7}" name="Registos: 10 000 000" dataDxfId="76"/>
    <tableColumn id="3" xr3:uid="{0E0E324F-5DD7-4C23-842C-EF9A3CD20D28}" name="Teste 1" dataDxfId="75"/>
    <tableColumn id="4" xr3:uid="{3C44BD7B-E21F-44B0-83B6-E62119EAC033}" name="Teste 2" dataDxfId="74"/>
    <tableColumn id="5" xr3:uid="{632EDDC1-7F30-44A9-93CF-B19AC594181B}" name="Teste 3" dataDxfId="73"/>
    <tableColumn id="6" xr3:uid="{99BC8686-2695-42C3-A795-DF37628953D6}" name="Média" dataDxfId="72">
      <calculatedColumnFormula>AVERAGE(Table143690117171252224226232244[[#This Row],[Teste 1]:[Teste 3]])</calculatedColumnFormula>
    </tableColumn>
  </tableColumns>
  <tableStyleInfo name="TableStyleLight15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B3FA5D50-C51E-485B-9006-23A132725F3D}" name="Table143690117171252224248" displayName="Table143690117171252224248" ref="O6:T21" totalsRowShown="0" headerRowDxfId="71" dataDxfId="70">
  <autoFilter ref="O6:T21" xr:uid="{B3FA5D50-C51E-485B-9006-23A132725F3D}"/>
  <tableColumns count="6">
    <tableColumn id="1" xr3:uid="{EA381B4E-3695-4D76-98EF-5601C37468ED}" name="MongoDB" dataDxfId="69"/>
    <tableColumn id="2" xr3:uid="{DCE6BEC0-51D4-440B-90CD-15189191E6C1}" name="Registos: 100 000" dataDxfId="68"/>
    <tableColumn id="3" xr3:uid="{084B639A-C2A0-46AB-BFB6-AAE44A18701F}" name="Teste 1" dataDxfId="67"/>
    <tableColumn id="4" xr3:uid="{37520A6B-E41B-46D6-9031-F798BB62B5B0}" name="Teste 2" dataDxfId="66"/>
    <tableColumn id="5" xr3:uid="{B2A79251-0F76-4FBE-9EEB-9D05C3545D42}" name="Teste 3" dataDxfId="65"/>
    <tableColumn id="6" xr3:uid="{6E89181B-5980-45D5-B74D-7298CDCDE816}" name="Média" dataDxfId="64">
      <calculatedColumnFormula>AVERAGE(Table143690117171252224248[[#This Row],[Teste 1]:[Teste 3]])</calculatedColumnFormula>
    </tableColumn>
  </tableColumns>
  <tableStyleInfo name="TableStyleLight15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E442C0A3-78F5-4FAD-B96D-84FF87D2E6BF}" name="Table143690117171252224225249" displayName="Table143690117171252224225249" ref="O27:T42" totalsRowShown="0" headerRowDxfId="63" dataDxfId="62">
  <autoFilter ref="O27:T42" xr:uid="{E442C0A3-78F5-4FAD-B96D-84FF87D2E6BF}"/>
  <tableColumns count="6">
    <tableColumn id="1" xr3:uid="{AA7FD426-18B4-4037-B11E-9BA32BB0E13F}" name="MongoDB" dataDxfId="61"/>
    <tableColumn id="2" xr3:uid="{6075FEE1-E65E-4BB9-B4E0-FB00A27FC4E5}" name="Registos: 100 000" dataDxfId="60"/>
    <tableColumn id="3" xr3:uid="{C9086D30-825C-4134-875A-C82FD3948414}" name="Teste 1" dataDxfId="59"/>
    <tableColumn id="4" xr3:uid="{BE3F1AAE-A203-49C6-83B9-BAC8A6FB9E17}" name="Teste 2" dataDxfId="58"/>
    <tableColumn id="5" xr3:uid="{8712967D-C3E1-40BC-8336-0B643654845D}" name="Teste 3" dataDxfId="57"/>
    <tableColumn id="6" xr3:uid="{00E54931-89AD-456F-A0D7-BD9A388E9CB7}" name="Média" dataDxfId="56">
      <calculatedColumnFormula>AVERAGE(Table143690117171252224225249[[#This Row],[Teste 1]:[Teste 3]])</calculatedColumnFormula>
    </tableColumn>
  </tableColumns>
  <tableStyleInfo name="TableStyleLight15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FD65CEA4-E935-4B06-982E-E0BE114EEA61}" name="Table143690117171252224226250" displayName="Table143690117171252224226250" ref="O48:T63" totalsRowShown="0" headerRowDxfId="55" dataDxfId="54">
  <autoFilter ref="O48:T63" xr:uid="{FD65CEA4-E935-4B06-982E-E0BE114EEA61}"/>
  <tableColumns count="6">
    <tableColumn id="1" xr3:uid="{227495D2-939A-4922-8782-8A4652ABD296}" name="MongoDB" dataDxfId="53"/>
    <tableColumn id="2" xr3:uid="{FC97D739-80C1-457B-8338-C2D01683B99B}" name="Registos: 100 000" dataDxfId="52"/>
    <tableColumn id="3" xr3:uid="{D45651B3-13D6-493A-A144-487ED7BC0584}" name="Teste 1" dataDxfId="51"/>
    <tableColumn id="4" xr3:uid="{56E6B8AD-EA1F-481A-BCD5-B5D8CDC97CF4}" name="Teste 2" dataDxfId="50"/>
    <tableColumn id="5" xr3:uid="{CEB855A1-2A1A-4ED3-97A8-30F18398A9AB}" name="Teste 3" dataDxfId="49"/>
    <tableColumn id="6" xr3:uid="{9F71A0F4-0594-461F-BD44-D1F5B185A757}" name="Média" dataDxfId="48">
      <calculatedColumnFormula>AVERAGE(Table143690117171252224226250[[#This Row],[Teste 1]:[Teste 3]])</calculatedColumnFormula>
    </tableColumn>
  </tableColumns>
  <tableStyleInfo name="TableStyleLight15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4015F26C-7A69-45B1-B08E-308EAB929F6B}" name="Table143690117171252224227251" displayName="Table143690117171252224227251" ref="O71:T86" totalsRowShown="0" headerRowDxfId="47" dataDxfId="46">
  <autoFilter ref="O71:T86" xr:uid="{4015F26C-7A69-45B1-B08E-308EAB929F6B}"/>
  <tableColumns count="6">
    <tableColumn id="1" xr3:uid="{673C7AF6-691B-4E01-B393-636CD1036885}" name="MongoDB" dataDxfId="45"/>
    <tableColumn id="2" xr3:uid="{3C94B733-3E5D-4880-AAC4-019DB4C0F558}" name="Registos: 1 000 000" dataDxfId="44"/>
    <tableColumn id="3" xr3:uid="{4FD1DEF3-00DC-410A-9492-E0B5BF73ACC2}" name="Teste 1" dataDxfId="43"/>
    <tableColumn id="4" xr3:uid="{AC5012F7-4A5F-45CF-ACB0-BECB28E0DE57}" name="Teste 2" dataDxfId="42"/>
    <tableColumn id="5" xr3:uid="{1F0F7314-4249-4C61-B517-C4D623484CD7}" name="Teste 3" dataDxfId="41"/>
    <tableColumn id="6" xr3:uid="{F85E530F-1B17-4BAE-B569-71E7CB85AAEF}" name="Média" dataDxfId="40">
      <calculatedColumnFormula>AVERAGE(Table143690117171252224227251[[#This Row],[Teste 1]:[Teste 3]])</calculatedColumnFormula>
    </tableColumn>
  </tableColumns>
  <tableStyleInfo name="TableStyleLight15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9156A37A-A9A2-42A8-B129-6BAF9CCE9B56}" name="Table143690117171252224225228252" displayName="Table143690117171252224225228252" ref="O92:T107" totalsRowShown="0" headerRowDxfId="39" dataDxfId="38">
  <autoFilter ref="O92:T107" xr:uid="{9156A37A-A9A2-42A8-B129-6BAF9CCE9B56}"/>
  <tableColumns count="6">
    <tableColumn id="1" xr3:uid="{A977830A-8912-46D9-9FBD-88BC58A537F8}" name="MongoDB" dataDxfId="37"/>
    <tableColumn id="2" xr3:uid="{FE9EBB6A-868B-456F-BAC9-8456705F596F}" name="Registos: 1 000 000" dataDxfId="36"/>
    <tableColumn id="3" xr3:uid="{778404CC-7A8E-4073-8CBA-B10A106B1136}" name="Teste 1" dataDxfId="35"/>
    <tableColumn id="4" xr3:uid="{A574E34D-D2AB-4927-8184-88C964F6B59A}" name="Teste 2" dataDxfId="34"/>
    <tableColumn id="5" xr3:uid="{9BC3F954-DCC0-423A-99FF-320171C93033}" name="Teste 3" dataDxfId="33"/>
    <tableColumn id="6" xr3:uid="{354CA44B-858D-4C13-8BEB-D32F1B7AFB16}" name="Média" dataDxfId="32">
      <calculatedColumnFormula>AVERAGE(Table143690117171252224225228252[[#This Row],[Teste 1]:[Teste 3]])</calculatedColumnFormula>
    </tableColumn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789915D3-8AB1-41B7-BE59-78892F6426BA}" name="Table167111485" displayName="Table167111485" ref="O112:T127" totalsRowShown="0" headerRowDxfId="1759" dataDxfId="1758">
  <autoFilter ref="O112:T127" xr:uid="{789915D3-8AB1-41B7-BE59-78892F6426BA}"/>
  <tableColumns count="6">
    <tableColumn id="1" xr3:uid="{BF6A44CD-CDB4-46B3-8739-BF262EF89EAC}" name="MongoDB" dataDxfId="1757"/>
    <tableColumn id="2" xr3:uid="{A8A28212-4C91-4CAB-A3DC-BD0822E12F4C}" name="Registos: 1 000 000 " dataDxfId="1756"/>
    <tableColumn id="3" xr3:uid="{24C584FF-13E4-425D-BF38-8E430507CE98}" name="Teste 1" dataDxfId="1755"/>
    <tableColumn id="4" xr3:uid="{C0DCA31E-C3AA-417C-A3EF-918F857B5176}" name="Teste 2" dataDxfId="1754"/>
    <tableColumn id="5" xr3:uid="{2339F1AF-0974-4152-9D78-C483ADCD3BF3}" name="Teste 3" dataDxfId="1753"/>
    <tableColumn id="6" xr3:uid="{D322E256-12A3-4166-A62F-3F0D48C6DDA8}" name="Média" dataDxfId="1752">
      <calculatedColumnFormula>AVERAGE(Table167111485[[#This Row],[Teste 1]:[Teste 3]])</calculatedColumnFormula>
    </tableColumn>
  </tableColumns>
  <tableStyleInfo name="TableStyleLight15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22F3DF40-B857-4FD1-8353-95E5478B3034}" name="Table143690117171252224226229253" displayName="Table143690117171252224226229253" ref="O113:T128" totalsRowShown="0" headerRowDxfId="31" dataDxfId="30">
  <autoFilter ref="O113:T128" xr:uid="{22F3DF40-B857-4FD1-8353-95E5478B3034}"/>
  <tableColumns count="6">
    <tableColumn id="1" xr3:uid="{6CEFCCFA-FFE7-4252-893E-C3A7A616C927}" name="MongoDB" dataDxfId="29"/>
    <tableColumn id="2" xr3:uid="{40F4E170-E9F6-44BF-A2FD-E85FCD73D8DB}" name="Registos: 1 000 000" dataDxfId="28"/>
    <tableColumn id="3" xr3:uid="{01016211-9AD4-459A-BC9C-D5EB2B116553}" name="Teste 1" dataDxfId="27"/>
    <tableColumn id="4" xr3:uid="{EF68EAA1-921B-43CF-BD39-6481A4D8A6ED}" name="Teste 2" dataDxfId="26"/>
    <tableColumn id="5" xr3:uid="{5C31B81F-DF40-49CE-8FBD-3F8056F42C62}" name="Teste 3" dataDxfId="25"/>
    <tableColumn id="6" xr3:uid="{3A2433DF-FB2E-4247-BDB3-B4821C0EF3A5}" name="Média" dataDxfId="24">
      <calculatedColumnFormula>AVERAGE(Table143690117171252224226229253[[#This Row],[Teste 1]:[Teste 3]])</calculatedColumnFormula>
    </tableColumn>
  </tableColumns>
  <tableStyleInfo name="TableStyleLight15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59285A8F-2141-4984-92A8-1F7BDA348558}" name="Table143690117171252224230254" displayName="Table143690117171252224230254" ref="O136:T151" totalsRowShown="0" headerRowDxfId="23" dataDxfId="22">
  <autoFilter ref="O136:T151" xr:uid="{59285A8F-2141-4984-92A8-1F7BDA348558}"/>
  <tableColumns count="6">
    <tableColumn id="1" xr3:uid="{45FAE32E-70C9-43B5-AFBC-97FF37E230BC}" name="MongoDB" dataDxfId="21"/>
    <tableColumn id="2" xr3:uid="{1D9D6EDB-61C3-4D6C-8701-A92A299C03D3}" name="Registos: 10 000 000" dataDxfId="20"/>
    <tableColumn id="3" xr3:uid="{0BE8A3AA-F6F7-4901-BBFC-B550F686A133}" name="Teste 1" dataDxfId="19"/>
    <tableColumn id="4" xr3:uid="{4B809D5C-73AF-4E2C-8351-239C739197C4}" name="Teste 2" dataDxfId="18"/>
    <tableColumn id="5" xr3:uid="{9DF86D98-FCA1-4DA7-88B5-7CF78E1AA33E}" name="Teste 3" dataDxfId="17"/>
    <tableColumn id="6" xr3:uid="{3C7BFC7D-2897-4146-96C7-939138DFA78D}" name="Média" dataDxfId="16">
      <calculatedColumnFormula>AVERAGE(Table143690117171252224230254[[#This Row],[Teste 1]:[Teste 3]])</calculatedColumnFormula>
    </tableColumn>
  </tableColumns>
  <tableStyleInfo name="TableStyleLight15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B9C7AFBF-FC19-49E7-9383-B49171461CF5}" name="Table143690117171252224225231255" displayName="Table143690117171252224225231255" ref="O157:T172" totalsRowShown="0" headerRowDxfId="15" dataDxfId="14">
  <autoFilter ref="O157:T172" xr:uid="{B9C7AFBF-FC19-49E7-9383-B49171461CF5}"/>
  <tableColumns count="6">
    <tableColumn id="1" xr3:uid="{ABCCE7FC-1152-41F0-B7CA-0A635D8A9E55}" name="MongoDB" dataDxfId="13"/>
    <tableColumn id="2" xr3:uid="{9F060DF5-2339-44DD-8905-C48D46F914FD}" name="Registos: 10 000 000" dataDxfId="12"/>
    <tableColumn id="3" xr3:uid="{5173807F-A9DE-48CA-B2E2-7FB8E6A8EE5E}" name="Teste 1" dataDxfId="11"/>
    <tableColumn id="4" xr3:uid="{C6281E45-8866-4ADC-9AAC-767F059373BD}" name="Teste 2" dataDxfId="10"/>
    <tableColumn id="5" xr3:uid="{F856B330-059B-4623-922C-FCD6D4F39C8B}" name="Teste 3" dataDxfId="9"/>
    <tableColumn id="6" xr3:uid="{435B09ED-4D7E-4B53-A8E4-ED604B7FD0EB}" name="Média" dataDxfId="8">
      <calculatedColumnFormula>AVERAGE(Table143690117171252224225231255[[#This Row],[Teste 1]:[Teste 3]])</calculatedColumnFormula>
    </tableColumn>
  </tableColumns>
  <tableStyleInfo name="TableStyleLight15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3B98BF8A-A754-4749-8AA5-9EB70C445E90}" name="Table143690117171252224226232256" displayName="Table143690117171252224226232256" ref="O178:T193" totalsRowShown="0" headerRowDxfId="7" dataDxfId="6">
  <autoFilter ref="O178:T193" xr:uid="{3B98BF8A-A754-4749-8AA5-9EB70C445E90}"/>
  <tableColumns count="6">
    <tableColumn id="1" xr3:uid="{34E97AA1-72F1-4CEE-9E8B-9A6F957B2BCF}" name="MongoDB" dataDxfId="5"/>
    <tableColumn id="2" xr3:uid="{7BCECADC-7EFD-4E9C-890F-77FAF3AA6DD9}" name="Registos: 10 000 000" dataDxfId="4"/>
    <tableColumn id="3" xr3:uid="{05439C0B-3B08-4B9D-9378-7CCAC17AD466}" name="Teste 1" dataDxfId="3"/>
    <tableColumn id="4" xr3:uid="{8560DE83-7479-4BD0-96B6-058F1C1206F7}" name="Teste 2" dataDxfId="2"/>
    <tableColumn id="5" xr3:uid="{8F2119E0-1CF0-4EDE-B87A-EFB430181B96}" name="Teste 3" dataDxfId="1"/>
    <tableColumn id="6" xr3:uid="{D4C15FAB-114D-404A-9AA6-0B93A3889325}" name="Média" dataDxfId="0">
      <calculatedColumnFormula>AVERAGE(Table143690117171252224226232256[[#This Row],[Teste 1]:[Teste 3]])</calculatedColumnFormula>
    </tableColumn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AE41FC29-7847-4001-9E7A-A94BBB10523A}" name="Table16121586" displayName="Table16121586" ref="O135:T150" totalsRowShown="0" headerRowDxfId="1751" dataDxfId="1750">
  <autoFilter ref="O135:T150" xr:uid="{AE41FC29-7847-4001-9E7A-A94BBB10523A}"/>
  <tableColumns count="6">
    <tableColumn id="1" xr3:uid="{A94FA799-3994-45DE-9DDA-AA44E627F203}" name="MongoDB" dataDxfId="1749"/>
    <tableColumn id="2" xr3:uid="{B4C76E32-8432-43C3-B581-42E50A46E096}" name="Registos: 10 000 000 " dataDxfId="1748"/>
    <tableColumn id="3" xr3:uid="{B1018DB1-A27B-4E26-8A2E-A7A6EB2ACCBE}" name="Teste 1" dataDxfId="1747"/>
    <tableColumn id="4" xr3:uid="{064EA1DA-F8EA-4676-B753-2B7FE415F51D}" name="Teste 2" dataDxfId="1746"/>
    <tableColumn id="5" xr3:uid="{87B1F224-838D-4E0D-86FA-B1F96159F2E4}" name="Teste 3" dataDxfId="1745"/>
    <tableColumn id="6" xr3:uid="{004A9C67-C700-4F9E-9E9F-D5AE462EB883}" name="Média" dataDxfId="1744">
      <calculatedColumnFormula>AVERAGE(Table16121586[[#This Row],[Teste 1]:[Teste 3]])</calculatedColumnFormula>
    </tableColumn>
  </tableColumns>
  <tableStyleInfo name="TableStyleLight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393CA306-E2FB-4D18-8617-25207B43A8AE}" name="Table167131687" displayName="Table167131687" ref="O156:T171" totalsRowShown="0" headerRowDxfId="1743" dataDxfId="1742">
  <autoFilter ref="O156:T171" xr:uid="{393CA306-E2FB-4D18-8617-25207B43A8AE}"/>
  <tableColumns count="6">
    <tableColumn id="1" xr3:uid="{440A98FD-C283-4437-B950-53F52989F0CA}" name="MongoDB" dataDxfId="1741"/>
    <tableColumn id="2" xr3:uid="{D2831004-62DE-4C03-8B4C-2C027016163C}" name="Registos: 10 000 000 " dataDxfId="1740"/>
    <tableColumn id="3" xr3:uid="{D6199693-D06B-433A-B42D-DEF7B645937C}" name="Teste 1" dataDxfId="1739"/>
    <tableColumn id="4" xr3:uid="{CCB55419-E4F9-400F-B949-6335F3347DC9}" name="Teste 2" dataDxfId="1738"/>
    <tableColumn id="5" xr3:uid="{ECF509F8-58D9-4BF2-97E0-07F7B43DA931}" name="Teste 3" dataDxfId="1737"/>
    <tableColumn id="6" xr3:uid="{3753980C-2E79-4167-A003-FF88002C7822}" name="Média" dataDxfId="1736">
      <calculatedColumnFormula>AVERAGE(Table167131687[[#This Row],[Teste 1]:[Teste 3]])</calculatedColumnFormula>
    </tableColumn>
  </tableColumns>
  <tableStyleInfo name="TableStyleLight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9E047F2B-6393-454E-95BD-4E25ED2280D9}" name="Table16711146488" displayName="Table16711146488" ref="O177:T192" totalsRowShown="0" headerRowDxfId="1735" dataDxfId="1734">
  <autoFilter ref="O177:T192" xr:uid="{9E047F2B-6393-454E-95BD-4E25ED2280D9}"/>
  <tableColumns count="6">
    <tableColumn id="1" xr3:uid="{4B9086EE-42F0-4305-9AD5-5288BF8FE10B}" name="MongoDB" dataDxfId="1733"/>
    <tableColumn id="2" xr3:uid="{D128EFCF-BC1E-40EC-BC19-F595624CAEA2}" name="Registos: 10 000 000 " dataDxfId="1732"/>
    <tableColumn id="3" xr3:uid="{53B6372A-0292-45B2-B39C-5AFE1855C8CC}" name="Teste 1" dataDxfId="1731"/>
    <tableColumn id="4" xr3:uid="{25D29366-6246-440C-ACD3-D20EEDA5FF84}" name="Teste 2" dataDxfId="1730"/>
    <tableColumn id="5" xr3:uid="{A1F29851-479E-4BB8-9D0F-ED58908A0623}" name="Teste 3" dataDxfId="1729"/>
    <tableColumn id="6" xr3:uid="{FA25338C-0F7A-4868-B2C7-EE09A5B91DA1}" name="Média" dataDxfId="1728">
      <calculatedColumnFormula>AVERAGE(Table16711146488[[#This Row],[Teste 1]:[Teste 3]])</calculatedColumnFormula>
    </tableColumn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E3F9847E-BB6B-4FC3-878C-F63F72B2A781}" name="Table1436281" displayName="Table1436281" ref="A7:F29" totalsRowShown="0" headerRowDxfId="1727" dataDxfId="1726">
  <autoFilter ref="A7:F29" xr:uid="{E3F9847E-BB6B-4FC3-878C-F63F72B2A781}"/>
  <tableColumns count="6">
    <tableColumn id="1" xr3:uid="{702050C8-FDA5-43EB-9290-879AAE51B98A}" name="Couchbase" dataDxfId="1725"/>
    <tableColumn id="2" xr3:uid="{E571FBAF-5928-4865-92DD-B6D6C1943F51}" name="100 000 Registos" dataDxfId="1724"/>
    <tableColumn id="3" xr3:uid="{A412FDCD-5E79-4EB2-B814-90679B5BE838}" name="Teste 1" dataDxfId="1723"/>
    <tableColumn id="4" xr3:uid="{234DABC6-A0CA-46A7-A4C7-2617C7E2040F}" name="Teste 2" dataDxfId="1722"/>
    <tableColumn id="5" xr3:uid="{59D7A445-FE68-454C-B161-E85A40A33AC2}" name="Teste 3" dataDxfId="1721"/>
    <tableColumn id="6" xr3:uid="{A36CA3B1-ABC8-44E9-B688-A1262EAB82FA}" name="Média" dataDxfId="1720">
      <calculatedColumnFormula>AVERAGE(Table1436281[[#This Row],[Teste 1]:[Teste 3]])</calculatedColumnFormula>
    </tableColumn>
  </tableColumns>
  <tableStyleInfo name="TableStyleLight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317D828F-E49A-438E-8EED-44F4286A36B4}" name="Table1436281282" displayName="Table1436281282" ref="A35:F57" totalsRowShown="0" headerRowDxfId="1719" dataDxfId="1718">
  <autoFilter ref="A35:F57" xr:uid="{317D828F-E49A-438E-8EED-44F4286A36B4}"/>
  <tableColumns count="6">
    <tableColumn id="1" xr3:uid="{E0539405-C84D-43BE-B8B5-3EF2C3624A3C}" name="Couchbase" dataDxfId="1717"/>
    <tableColumn id="2" xr3:uid="{27ED953A-A8E3-44D9-9654-EECF2F41E641}" name="100 000 Registos" dataDxfId="1716"/>
    <tableColumn id="3" xr3:uid="{DA018ACC-1743-43D4-B05F-960BBD47F10D}" name="Teste 1" dataDxfId="1715"/>
    <tableColumn id="4" xr3:uid="{2F19496E-AB2E-475F-90D3-D981DB03294A}" name="Teste 2" dataDxfId="1714"/>
    <tableColumn id="5" xr3:uid="{00213AC0-14AC-42EA-99CB-4C1A2BE45990}" name="Teste 3" dataDxfId="1713"/>
    <tableColumn id="6" xr3:uid="{CE3447CC-EB56-4D08-82C2-022AF9B2941D}" name="Média" dataDxfId="1712">
      <calculatedColumnFormula>AVERAGE(Table1436281282[[#This Row],[Teste 1]:[Teste 3]])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BADBAD-7D3A-4C8B-80E1-5549295770E4}" name="Table16711" displayName="Table16711" ref="A47:F62" totalsRowShown="0" headerRowDxfId="1927" dataDxfId="1926">
  <autoFilter ref="A47:F62" xr:uid="{4CBADBAD-7D3A-4C8B-80E1-5549295770E4}"/>
  <tableColumns count="6">
    <tableColumn id="1" xr3:uid="{7591AD0A-35CD-4D28-B34C-A5D5108F51D6}" name="Couchbase" dataDxfId="1925"/>
    <tableColumn id="2" xr3:uid="{0906663F-D41C-4829-8D8D-0D1948EDD13F}" name="Registos: 100 000 " dataDxfId="1924"/>
    <tableColumn id="3" xr3:uid="{B03CDF88-24F7-4E4A-8814-76CBCBF742FE}" name="Teste 1" dataDxfId="1923"/>
    <tableColumn id="4" xr3:uid="{CF5E5C19-AD1F-4CB5-8B06-EF2C3D94C9C9}" name="Teste 2" dataDxfId="1922"/>
    <tableColumn id="5" xr3:uid="{D51C66FC-9285-4D97-9FDF-D1AEA9EA3C37}" name="Teste 3" dataDxfId="1921"/>
    <tableColumn id="6" xr3:uid="{DCDB9824-99AF-46F4-8800-7AADD65FE94B}" name="Média" dataDxfId="1920">
      <calculatedColumnFormula>AVERAGE(Table16711[[#This Row],[Teste 1]:[Teste 3]])</calculatedColumnFormula>
    </tableColumn>
  </tableColumns>
  <tableStyleInfo name="TableStyleLight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988AD5A1-5B2B-4311-BBF4-C830326F64DB}" name="Table1436281283" displayName="Table1436281283" ref="A63:F85" totalsRowShown="0" headerRowDxfId="1711" dataDxfId="1710">
  <autoFilter ref="A63:F85" xr:uid="{988AD5A1-5B2B-4311-BBF4-C830326F64DB}"/>
  <tableColumns count="6">
    <tableColumn id="1" xr3:uid="{DED260CD-98E6-487F-8AF9-0F71609114B5}" name="Couchbase" dataDxfId="1709"/>
    <tableColumn id="2" xr3:uid="{DE285269-8165-4C6C-A541-A89086A83FD9}" name="100 000 Registos" dataDxfId="1708"/>
    <tableColumn id="3" xr3:uid="{169AA4FE-2DCF-4F1B-BDA2-60A7C686ABD7}" name="Teste 1" dataDxfId="1707"/>
    <tableColumn id="4" xr3:uid="{CB9F3985-9C97-4AD7-90BE-55066E4906E3}" name="Teste 2" dataDxfId="1706"/>
    <tableColumn id="5" xr3:uid="{0E76C160-6E83-4E2E-A8AF-B3FD00B8FBF0}" name="Teste 3" dataDxfId="1705"/>
    <tableColumn id="6" xr3:uid="{DE8707F7-31CB-42BB-AE48-578797212B41}" name="Média" dataDxfId="1704">
      <calculatedColumnFormula>AVERAGE(Table1436281283[[#This Row],[Teste 1]:[Teste 3]])</calculatedColumnFormula>
    </tableColumn>
  </tableColumns>
  <tableStyleInfo name="TableStyleLight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E9A3C6A7-7535-484C-94B6-E8F1E278299D}" name="Table1436281284" displayName="Table1436281284" ref="A93:F115" totalsRowShown="0" headerRowDxfId="1703" dataDxfId="1702">
  <autoFilter ref="A93:F115" xr:uid="{E9A3C6A7-7535-484C-94B6-E8F1E278299D}"/>
  <tableColumns count="6">
    <tableColumn id="1" xr3:uid="{B16F5010-0CD2-4C89-847B-A22418831577}" name="Couchbase" dataDxfId="1701"/>
    <tableColumn id="2" xr3:uid="{48814332-848E-4E9C-A945-ACB1D2FEF469}" name="Registos: 1 000 000" dataDxfId="1700"/>
    <tableColumn id="3" xr3:uid="{B1BA565E-4E48-4C37-AEA1-41B264C37071}" name="Teste 1" dataDxfId="1699"/>
    <tableColumn id="4" xr3:uid="{5D10C47E-565C-4F80-B6F6-3C80C7D3D81F}" name="Teste 2" dataDxfId="1698"/>
    <tableColumn id="5" xr3:uid="{4842CAB0-D0E2-4437-B517-36E8F33E4FDD}" name="Teste 3" dataDxfId="1697"/>
    <tableColumn id="6" xr3:uid="{DE5C1AF5-40E8-45C4-9043-23E488B2BC12}" name="Média" dataDxfId="1696">
      <calculatedColumnFormula>AVERAGE(Table1436281284[[#This Row],[Teste 1]:[Teste 3]])</calculatedColumnFormula>
    </tableColumn>
  </tableColumns>
  <tableStyleInfo name="TableStyleLight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DCFF0A4E-1A3A-403A-B1F3-8E0B8188CD1A}" name="Table1436281282285" displayName="Table1436281282285" ref="A121:F143" totalsRowShown="0" headerRowDxfId="1695" dataDxfId="1694">
  <autoFilter ref="A121:F143" xr:uid="{DCFF0A4E-1A3A-403A-B1F3-8E0B8188CD1A}"/>
  <tableColumns count="6">
    <tableColumn id="1" xr3:uid="{1244E9C9-2BB6-45BF-8222-1B14D5EEF903}" name="Couchbase" dataDxfId="1693"/>
    <tableColumn id="2" xr3:uid="{9E943CCA-5891-4CD3-A82F-025C9C547A15}" name="Registos: 1 000 000" dataDxfId="1692"/>
    <tableColumn id="3" xr3:uid="{CEFF46F8-0518-48E5-85D0-B52275846BA5}" name="Teste 1" dataDxfId="1691"/>
    <tableColumn id="4" xr3:uid="{635587CA-E5E4-4A06-8519-EB09F70CF2BF}" name="Teste 2" dataDxfId="1690"/>
    <tableColumn id="5" xr3:uid="{9692E14E-52F9-4D1D-97A5-E49B20475A6D}" name="Teste 3" dataDxfId="1689"/>
    <tableColumn id="6" xr3:uid="{6703BF18-F4FC-4E76-B632-2D4B7B140AB3}" name="Média" dataDxfId="1688">
      <calculatedColumnFormula>AVERAGE(Table1436281282285[[#This Row],[Teste 1]:[Teste 3]])</calculatedColumnFormula>
    </tableColumn>
  </tableColumns>
  <tableStyleInfo name="TableStyleLight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889A1C1D-BDF9-40B2-B77F-4B13260237F5}" name="Table1436281283286" displayName="Table1436281283286" ref="A149:F171" totalsRowShown="0" headerRowDxfId="1687" dataDxfId="1686">
  <autoFilter ref="A149:F171" xr:uid="{889A1C1D-BDF9-40B2-B77F-4B13260237F5}"/>
  <tableColumns count="6">
    <tableColumn id="1" xr3:uid="{43B23187-8D7F-4F1E-9B42-7FBE0A34F638}" name="Couchbase" dataDxfId="1685"/>
    <tableColumn id="2" xr3:uid="{682FDFFE-5E74-4BF5-8C97-84ACC54B78E7}" name="Registos: 1 000 000" dataDxfId="1684"/>
    <tableColumn id="3" xr3:uid="{8498CFA8-AA9B-4497-817D-671BF99375BF}" name="Teste 1" dataDxfId="1683"/>
    <tableColumn id="4" xr3:uid="{662DB66B-5044-4AF4-BF80-59F380C2FEC7}" name="Teste 2" dataDxfId="1682"/>
    <tableColumn id="5" xr3:uid="{3A36AC63-E76C-4EE4-942C-C02723F5E79D}" name="Teste 3" dataDxfId="1681"/>
    <tableColumn id="6" xr3:uid="{C2067D72-2525-4DE9-A9BC-1481E11B2446}" name="Média" dataDxfId="1680">
      <calculatedColumnFormula>AVERAGE(Table1436281283286[[#This Row],[Teste 1]:[Teste 3]])</calculatedColumnFormula>
    </tableColumn>
  </tableColumns>
  <tableStyleInfo name="TableStyleLight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DD1B8A0D-85B5-4377-853F-ED2E9CEF33CD}" name="Table1436281287" displayName="Table1436281287" ref="A179:F201" totalsRowShown="0" headerRowDxfId="1679" dataDxfId="1678">
  <autoFilter ref="A179:F201" xr:uid="{DD1B8A0D-85B5-4377-853F-ED2E9CEF33CD}"/>
  <tableColumns count="6">
    <tableColumn id="1" xr3:uid="{D3FC4365-D3CD-4EC8-A0D5-D7D83B1376CD}" name="Couchbase" dataDxfId="1677"/>
    <tableColumn id="2" xr3:uid="{4FED688A-FBF1-4D85-88FB-EF2DDBD7850B}" name="Registos: 10 000 000" dataDxfId="1676"/>
    <tableColumn id="3" xr3:uid="{268787E8-D7A3-456E-80BF-4FB71BCFC4B9}" name="Teste 1" dataDxfId="1675"/>
    <tableColumn id="4" xr3:uid="{CA7F89E1-9C9A-417B-A709-895BCDF518D2}" name="Teste 2" dataDxfId="1674"/>
    <tableColumn id="5" xr3:uid="{5BD17D5B-3E32-494B-A0F9-E2E3EE4862F4}" name="Teste 3" dataDxfId="1673"/>
    <tableColumn id="6" xr3:uid="{158451A4-8624-43B0-B682-0B47BB07ABEB}" name="Média" dataDxfId="1672">
      <calculatedColumnFormula>AVERAGE(Table1436281287[[#This Row],[Teste 1]:[Teste 3]])</calculatedColumnFormula>
    </tableColumn>
  </tableColumns>
  <tableStyleInfo name="TableStyleLight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CC4B1D95-57E4-435C-ACF2-309302D66E4A}" name="Table1436281282288" displayName="Table1436281282288" ref="A207:F229" totalsRowShown="0" headerRowDxfId="1671" dataDxfId="1670">
  <autoFilter ref="A207:F229" xr:uid="{CC4B1D95-57E4-435C-ACF2-309302D66E4A}"/>
  <tableColumns count="6">
    <tableColumn id="1" xr3:uid="{3F294F69-F2F5-4D68-82E8-2BCCED79D7BE}" name="Couchbase" dataDxfId="1669"/>
    <tableColumn id="2" xr3:uid="{37066D9B-1980-4FCA-8246-28BA8E8E49D6}" name="Registos: 10 000 000" dataDxfId="1668"/>
    <tableColumn id="3" xr3:uid="{58DCFD4D-46B6-4536-8E9B-E21F4764566A}" name="Teste 1" dataDxfId="1667"/>
    <tableColumn id="4" xr3:uid="{4E39B26C-A079-4F3F-B907-886E472D5C74}" name="Teste 2" dataDxfId="1666"/>
    <tableColumn id="5" xr3:uid="{11675A46-E0C5-4A2A-A0B2-6EDEF692902C}" name="Teste 3" dataDxfId="1665"/>
    <tableColumn id="6" xr3:uid="{0478C87F-C37C-419B-BA20-B85CEB65AFA8}" name="Média" dataDxfId="1664">
      <calculatedColumnFormula>AVERAGE(Table1436281282288[[#This Row],[Teste 1]:[Teste 3]])</calculatedColumnFormula>
    </tableColumn>
  </tableColumns>
  <tableStyleInfo name="TableStyleLight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8883A803-77C3-4756-92DE-18B0500CD900}" name="Table1436281283289" displayName="Table1436281283289" ref="A235:F257" totalsRowShown="0" headerRowDxfId="1663" dataDxfId="1662">
  <autoFilter ref="A235:F257" xr:uid="{8883A803-77C3-4756-92DE-18B0500CD900}"/>
  <tableColumns count="6">
    <tableColumn id="1" xr3:uid="{0CD70629-B65E-4979-8750-E382A2FCDB05}" name="Couchbase" dataDxfId="1661"/>
    <tableColumn id="2" xr3:uid="{38E31584-5BFD-4987-B0CE-EE497D258558}" name="Registos: 10 000 000" dataDxfId="1660"/>
    <tableColumn id="3" xr3:uid="{96ABF656-BFDD-4D66-9DBE-7153938038C7}" name="Teste 1" dataDxfId="1659"/>
    <tableColumn id="4" xr3:uid="{865C2DB9-1A7B-4A6A-8A04-AA0013A2FDDD}" name="Teste 2" dataDxfId="1658"/>
    <tableColumn id="5" xr3:uid="{AA9A2C54-0AD1-49EF-AFAC-F7A031B78D92}" name="Teste 3" dataDxfId="1657"/>
    <tableColumn id="6" xr3:uid="{DB0579C1-DC87-40F8-A17A-BC0D1B36D992}" name="Média" dataDxfId="1656">
      <calculatedColumnFormula>AVERAGE(Table1436281283289[[#This Row],[Teste 1]:[Teste 3]])</calculatedColumnFormula>
    </tableColumn>
  </tableColumns>
  <tableStyleInfo name="TableStyleLight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E2D6FD95-55DF-467D-9203-25BD0A889409}" name="Table1436281293" displayName="Table1436281293" ref="H7:M29" totalsRowShown="0" headerRowDxfId="1655" dataDxfId="1654">
  <autoFilter ref="H7:M29" xr:uid="{E2D6FD95-55DF-467D-9203-25BD0A889409}"/>
  <tableColumns count="6">
    <tableColumn id="1" xr3:uid="{45F151F4-8612-4D09-A226-11A08D93C64A}" name="CouchDB" dataDxfId="1653"/>
    <tableColumn id="2" xr3:uid="{CDABB8B9-963B-48FD-A066-4A341B09CFA1}" name="100 000 Registos" dataDxfId="1652"/>
    <tableColumn id="3" xr3:uid="{80D38D3C-2494-40A4-85B4-1CADC75BF8AD}" name="Teste 1" dataDxfId="1651"/>
    <tableColumn id="4" xr3:uid="{5EFDE075-9069-484C-8644-07A397166C32}" name="Teste 2" dataDxfId="1650"/>
    <tableColumn id="5" xr3:uid="{6DB2D2AC-9A98-4517-A7CA-DF4CBE0DDE18}" name="Teste 3" dataDxfId="1649"/>
    <tableColumn id="6" xr3:uid="{E808A907-76A7-4BC2-8F81-C6B3C6BC5A51}" name="Média" dataDxfId="1648">
      <calculatedColumnFormula>AVERAGE(Table1436281293[[#This Row],[Teste 1]:[Teste 3]])</calculatedColumnFormula>
    </tableColumn>
  </tableColumns>
  <tableStyleInfo name="TableStyleLight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AE8A9862-CA60-441E-97D4-B67C4372DEBF}" name="Table1436281282294" displayName="Table1436281282294" ref="H35:M57" totalsRowShown="0" headerRowDxfId="1647" dataDxfId="1646">
  <autoFilter ref="H35:M57" xr:uid="{AE8A9862-CA60-441E-97D4-B67C4372DEBF}"/>
  <tableColumns count="6">
    <tableColumn id="1" xr3:uid="{BEE7E755-8C9D-4293-BD08-4C7495BAA4F8}" name="CouchDB" dataDxfId="1645"/>
    <tableColumn id="2" xr3:uid="{7379A314-76CF-4E50-8E2E-2441309D60F4}" name="100 000 Registos" dataDxfId="1644"/>
    <tableColumn id="3" xr3:uid="{8CEBC4A5-B493-4585-A631-20ABF8B0C0DB}" name="Teste 1" dataDxfId="1643"/>
    <tableColumn id="4" xr3:uid="{1D15D0E8-758B-4768-8423-321D906A35F9}" name="Teste 2" dataDxfId="1642"/>
    <tableColumn id="5" xr3:uid="{9FC9A66D-B809-4E8E-89D8-9EA11577C6B1}" name="Teste 3" dataDxfId="1641"/>
    <tableColumn id="6" xr3:uid="{93F0617A-877C-4B36-B970-E7E8BCC1D090}" name="Média" dataDxfId="1640">
      <calculatedColumnFormula>AVERAGE(Table1436281282294[[#This Row],[Teste 1]:[Teste 3]])</calculatedColumnFormula>
    </tableColumn>
  </tableColumns>
  <tableStyleInfo name="TableStyleLight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68D36909-7647-4170-B0F3-5ADAD823793B}" name="Table1436281283295" displayName="Table1436281283295" ref="H63:M85" totalsRowShown="0" headerRowDxfId="1639" dataDxfId="1638">
  <autoFilter ref="H63:M85" xr:uid="{68D36909-7647-4170-B0F3-5ADAD823793B}"/>
  <tableColumns count="6">
    <tableColumn id="1" xr3:uid="{E982055C-C3E8-42F9-8503-AC50FE0C1D0E}" name="CouchDB" dataDxfId="1637"/>
    <tableColumn id="2" xr3:uid="{44915FDD-F36A-464E-9C57-F06CDBF04724}" name="100 000 Registos" dataDxfId="1636"/>
    <tableColumn id="3" xr3:uid="{6F815BEC-118F-4822-9E63-E28F6FFB7DA3}" name="Teste 1" dataDxfId="1635"/>
    <tableColumn id="4" xr3:uid="{B15226A1-E067-4C5E-9B82-D543EA828DDA}" name="Teste 2" dataDxfId="1634"/>
    <tableColumn id="5" xr3:uid="{E85E18C7-2FFD-4B7F-BAEF-F148EB26BC9D}" name="Teste 3" dataDxfId="1633"/>
    <tableColumn id="6" xr3:uid="{09BC2EFD-74D2-45E8-9A42-BD6707629A5F}" name="Média" dataDxfId="1632">
      <calculatedColumnFormula>AVERAGE(Table1436281283295[[#This Row],[Teste 1]:[Teste 3]])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3724F1B-CC0C-46EF-8A46-81C0FE8EA01D}" name="Table1612" displayName="Table1612" ref="A70:F85" totalsRowShown="0" headerRowDxfId="1919" dataDxfId="1918">
  <autoFilter ref="A70:F85" xr:uid="{83724F1B-CC0C-46EF-8A46-81C0FE8EA01D}"/>
  <tableColumns count="6">
    <tableColumn id="1" xr3:uid="{FC7B54CA-E498-4BD1-B169-65F8DAB01F1E}" name="Couchbase" dataDxfId="1917"/>
    <tableColumn id="2" xr3:uid="{9CA158F0-712C-4535-90D8-68653629B915}" name="Registos: 1 000 000 " dataDxfId="1916"/>
    <tableColumn id="3" xr3:uid="{814EAD3F-9BD6-47F5-9DE2-65C04F9D943E}" name="Teste 1" dataDxfId="1915"/>
    <tableColumn id="4" xr3:uid="{C5171CFF-1FCB-4BD4-A20A-B252FF98DCE0}" name="Teste 2" dataDxfId="1914"/>
    <tableColumn id="5" xr3:uid="{D5781DAB-6262-4047-8211-CA0BC507E62D}" name="Teste 3" dataDxfId="1913"/>
    <tableColumn id="6" xr3:uid="{C3B1F426-245D-44E5-8B33-D1B43F4CD2D9}" name="Média" dataDxfId="1912">
      <calculatedColumnFormula>AVERAGE(Table1612[[#This Row],[Teste 1]:[Teste 3]])</calculatedColumnFormula>
    </tableColumn>
  </tableColumns>
  <tableStyleInfo name="TableStyleLight1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F9E8B75F-142B-4B1A-B68D-E5CD1953EDEC}" name="Table1436281284296" displayName="Table1436281284296" ref="H93:M115" totalsRowShown="0" headerRowDxfId="1631" dataDxfId="1630">
  <autoFilter ref="H93:M115" xr:uid="{F9E8B75F-142B-4B1A-B68D-E5CD1953EDEC}"/>
  <tableColumns count="6">
    <tableColumn id="1" xr3:uid="{CFBDCB94-F48D-4DC6-A440-D644736778A2}" name="CouchDB" dataDxfId="1629"/>
    <tableColumn id="2" xr3:uid="{4E7B23E3-52B3-49D3-ABD7-5238D5002FA2}" name="Registos: 1 000 000" dataDxfId="1628"/>
    <tableColumn id="3" xr3:uid="{25BB5D80-DCB2-4756-A539-0CEBD6A20021}" name="Teste 1" dataDxfId="1627"/>
    <tableColumn id="4" xr3:uid="{CF225BEF-BCCD-4AB0-BAD3-0B5159AB8B8D}" name="Teste 2" dataDxfId="1626"/>
    <tableColumn id="5" xr3:uid="{6C405DC2-41F1-45EC-970C-87B34D090F27}" name="Teste 3" dataDxfId="1625"/>
    <tableColumn id="6" xr3:uid="{7AF5769C-C481-4C07-B3C8-A9A1AF1A9CCD}" name="Média" dataDxfId="1624">
      <calculatedColumnFormula>AVERAGE(Table1436281284296[[#This Row],[Teste 1]:[Teste 3]])</calculatedColumnFormula>
    </tableColumn>
  </tableColumns>
  <tableStyleInfo name="TableStyleLight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3015D94C-950B-4C91-A3C8-7660DE92973D}" name="Table1436281282285297" displayName="Table1436281282285297" ref="H121:M143" totalsRowShown="0" headerRowDxfId="1623" dataDxfId="1622">
  <autoFilter ref="H121:M143" xr:uid="{3015D94C-950B-4C91-A3C8-7660DE92973D}"/>
  <tableColumns count="6">
    <tableColumn id="1" xr3:uid="{48C51F0C-A024-42CD-A538-D101A4198473}" name="CouchDB" dataDxfId="1621"/>
    <tableColumn id="2" xr3:uid="{4A8729B2-2E90-44A1-B4C1-819757012AFE}" name="Registos: 1 000 000" dataDxfId="1620"/>
    <tableColumn id="3" xr3:uid="{ADE09BCE-C8B6-489F-A493-0985414FB94C}" name="Teste 1" dataDxfId="1619"/>
    <tableColumn id="4" xr3:uid="{0572DC0C-546B-4DA4-BF95-847F2A28F758}" name="Teste 2" dataDxfId="1618"/>
    <tableColumn id="5" xr3:uid="{FE4D537E-1476-481C-A6A5-82DC8F8F0F0E}" name="Teste 3" dataDxfId="1617"/>
    <tableColumn id="6" xr3:uid="{50D6AA62-BFBC-45F2-96A3-5A5A34DB3ABD}" name="Média" dataDxfId="1616">
      <calculatedColumnFormula>AVERAGE(Table1436281282285297[[#This Row],[Teste 1]:[Teste 3]])</calculatedColumnFormula>
    </tableColumn>
  </tableColumns>
  <tableStyleInfo name="TableStyleLight15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82DCB12E-740D-4021-B92D-8467A382D157}" name="Table1436281283286298" displayName="Table1436281283286298" ref="H149:M171" totalsRowShown="0" headerRowDxfId="1615" dataDxfId="1614">
  <autoFilter ref="H149:M171" xr:uid="{82DCB12E-740D-4021-B92D-8467A382D157}"/>
  <tableColumns count="6">
    <tableColumn id="1" xr3:uid="{E29CCB8C-08E7-4B8A-8FCD-374D35ADB0E3}" name="CouchDB" dataDxfId="1613"/>
    <tableColumn id="2" xr3:uid="{F511EE1A-0D36-4BC2-A842-8015D20F074A}" name="Registos: 1 000 000" dataDxfId="1612"/>
    <tableColumn id="3" xr3:uid="{FE3A3051-2FD4-4FDD-989D-0975E3FD595D}" name="Teste 1" dataDxfId="1611"/>
    <tableColumn id="4" xr3:uid="{CA52997A-6885-47C7-977C-919BF2AB261B}" name="Teste 2" dataDxfId="1610"/>
    <tableColumn id="5" xr3:uid="{243FACBE-1E23-488D-8590-98CBD6B7FC43}" name="Teste 3" dataDxfId="1609"/>
    <tableColumn id="6" xr3:uid="{6021FFB1-B509-4DC2-820C-FB17F4F64DD7}" name="Média" dataDxfId="1608">
      <calculatedColumnFormula>AVERAGE(Table1436281283286298[[#This Row],[Teste 1]:[Teste 3]])</calculatedColumnFormula>
    </tableColumn>
  </tableColumns>
  <tableStyleInfo name="TableStyleLight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B652AD8-6403-4B22-87B6-01B7AD7A1E06}" name="Table1436281287299" displayName="Table1436281287299" ref="H179:M201" totalsRowShown="0" headerRowDxfId="1607" dataDxfId="1606">
  <autoFilter ref="H179:M201" xr:uid="{DB652AD8-6403-4B22-87B6-01B7AD7A1E06}"/>
  <tableColumns count="6">
    <tableColumn id="1" xr3:uid="{4883274A-F0C4-4D77-A5C3-43167D3A8A01}" name="CouchDB" dataDxfId="1605"/>
    <tableColumn id="2" xr3:uid="{5EBD8349-91C7-4666-9821-6781A8CA3F26}" name="Registos: 10 000 000" dataDxfId="1604"/>
    <tableColumn id="3" xr3:uid="{C7DC0479-4A9E-4954-9342-73A969A544B8}" name="Teste 1" dataDxfId="1603"/>
    <tableColumn id="4" xr3:uid="{09649C1B-2FB1-4526-AA17-6B8B08C63D4E}" name="Teste 2" dataDxfId="1602"/>
    <tableColumn id="5" xr3:uid="{566D1C7B-9B57-4D69-B8BD-0DCF43A11D1F}" name="Teste 3" dataDxfId="1601"/>
    <tableColumn id="6" xr3:uid="{4B0B6E0D-46A3-48CE-AD6D-989B8F016DA8}" name="Média" dataDxfId="1600">
      <calculatedColumnFormula>AVERAGE(Table1436281287299[[#This Row],[Teste 1]:[Teste 3]])</calculatedColumnFormula>
    </tableColumn>
  </tableColumns>
  <tableStyleInfo name="TableStyleLight1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BD5E3483-6B24-46AA-BC02-58EDCF67A4F2}" name="Table1436281282288300" displayName="Table1436281282288300" ref="H207:M229" totalsRowShown="0" headerRowDxfId="1599" dataDxfId="1598">
  <autoFilter ref="H207:M229" xr:uid="{BD5E3483-6B24-46AA-BC02-58EDCF67A4F2}"/>
  <tableColumns count="6">
    <tableColumn id="1" xr3:uid="{F526B1FB-5552-4452-9B75-255F114851D8}" name="CouchDB" dataDxfId="1597"/>
    <tableColumn id="2" xr3:uid="{8E848594-0258-430A-A5CE-FCF52C571210}" name="Registos: 10 000 000" dataDxfId="1596"/>
    <tableColumn id="3" xr3:uid="{A3E74C96-187C-48BD-9B84-E34D68383460}" name="Teste 1" dataDxfId="1595"/>
    <tableColumn id="4" xr3:uid="{F11E1D84-86DD-4420-BD5E-D7278FF312A7}" name="Teste 2" dataDxfId="1594"/>
    <tableColumn id="5" xr3:uid="{B8098B51-E111-4B37-B2FD-2EB48EFC24E5}" name="Teste 3" dataDxfId="1593"/>
    <tableColumn id="6" xr3:uid="{B590C50E-D442-435D-9C36-906A9C6CD90C}" name="Média" dataDxfId="1592">
      <calculatedColumnFormula>AVERAGE(Table1436281282288300[[#This Row],[Teste 1]:[Teste 3]])</calculatedColumnFormula>
    </tableColumn>
  </tableColumns>
  <tableStyleInfo name="TableStyleLight1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416C1CCE-A13C-4FFC-BC82-55D27865220D}" name="Table1436281283289301" displayName="Table1436281283289301" ref="H235:M257" totalsRowShown="0" headerRowDxfId="1591" dataDxfId="1590">
  <autoFilter ref="H235:M257" xr:uid="{416C1CCE-A13C-4FFC-BC82-55D27865220D}"/>
  <tableColumns count="6">
    <tableColumn id="1" xr3:uid="{90CC0282-5455-45AE-AED8-95EC4852F0DD}" name="CouchDB" dataDxfId="1589"/>
    <tableColumn id="2" xr3:uid="{F30802CD-8686-483F-82BC-F250A76AD9FB}" name="Registos: 10 000 000" dataDxfId="1588"/>
    <tableColumn id="3" xr3:uid="{469D1502-4683-451C-8FD6-E7C3ED655E23}" name="Teste 1" dataDxfId="1587"/>
    <tableColumn id="4" xr3:uid="{3FB4535A-7642-4D2D-AEC3-E4C4DEE93AA5}" name="Teste 2" dataDxfId="1586"/>
    <tableColumn id="5" xr3:uid="{00714792-8528-4967-9F78-3821503BE8A1}" name="Teste 3" dataDxfId="1585"/>
    <tableColumn id="6" xr3:uid="{4E85311F-F650-4025-A2FE-ABFC5FCB7CC5}" name="Média" dataDxfId="1584">
      <calculatedColumnFormula>AVERAGE(Table1436281283289301[[#This Row],[Teste 1]:[Teste 3]])</calculatedColumnFormula>
    </tableColumn>
  </tableColumns>
  <tableStyleInfo name="TableStyleLight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6C034D7-8057-4715-90A2-138ACF6EDB25}" name="Table1436281293305" displayName="Table1436281293305" ref="O7:T29" totalsRowShown="0" headerRowDxfId="1583" dataDxfId="1582">
  <autoFilter ref="O7:T29" xr:uid="{C6C034D7-8057-4715-90A2-138ACF6EDB25}"/>
  <tableColumns count="6">
    <tableColumn id="1" xr3:uid="{9D1F9AB5-9281-44A4-97AA-7CBB06CE5FE5}" name="MongoDB" dataDxfId="1581"/>
    <tableColumn id="2" xr3:uid="{A8D8E54E-B597-4B71-9752-146BABA48B2E}" name="100 000 Registos" dataDxfId="1580"/>
    <tableColumn id="3" xr3:uid="{38CE733E-741E-4127-814B-031B785D1264}" name="Teste 1" dataDxfId="1579"/>
    <tableColumn id="4" xr3:uid="{1565F282-B439-4ED6-8F30-6EB05EE27FBB}" name="Teste 2" dataDxfId="1578"/>
    <tableColumn id="5" xr3:uid="{08CFE7DA-7557-4259-9BCF-F40C7EC7E399}" name="Teste 3" dataDxfId="1577"/>
    <tableColumn id="6" xr3:uid="{2D5AEBCE-418F-4586-BF0B-00F4E74D30CF}" name="Média" dataDxfId="1576">
      <calculatedColumnFormula>AVERAGE(Table1436281293305[[#This Row],[Teste 1]:[Teste 3]])</calculatedColumnFormula>
    </tableColumn>
  </tableColumns>
  <tableStyleInfo name="TableStyleLight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163DE5F0-8226-4545-9627-F9D67589A844}" name="Table1436281282294306" displayName="Table1436281282294306" ref="O35:T57" totalsRowShown="0" headerRowDxfId="1575" dataDxfId="1574">
  <autoFilter ref="O35:T57" xr:uid="{163DE5F0-8226-4545-9627-F9D67589A844}"/>
  <tableColumns count="6">
    <tableColumn id="1" xr3:uid="{D127EF12-25C0-43BD-802F-57D278D69F64}" name="MongoDB" dataDxfId="1573"/>
    <tableColumn id="2" xr3:uid="{C0DBDEAA-3936-42D1-9E60-FFF003EA7E6D}" name="100 000 Registos" dataDxfId="1572"/>
    <tableColumn id="3" xr3:uid="{D197ED37-6860-4CDD-9A7C-FDC2D1AC5AE8}" name="Teste 1" dataDxfId="1571"/>
    <tableColumn id="4" xr3:uid="{C6344AC0-891B-4418-9354-7C7BAF2E1871}" name="Teste 2" dataDxfId="1570"/>
    <tableColumn id="5" xr3:uid="{A52D5983-7FBD-4A62-80A8-56DBC2337DED}" name="Teste 3" dataDxfId="1569"/>
    <tableColumn id="6" xr3:uid="{9E876720-40FA-4E2D-8412-60D44943CE32}" name="Média" dataDxfId="1568">
      <calculatedColumnFormula>AVERAGE(Table1436281282294306[[#This Row],[Teste 1]:[Teste 3]])</calculatedColumnFormula>
    </tableColumn>
  </tableColumns>
  <tableStyleInfo name="TableStyleLight1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99A9330E-06E3-4E88-92E8-27DF56F12465}" name="Table1436281283295307" displayName="Table1436281283295307" ref="O63:T85" totalsRowShown="0" headerRowDxfId="1567" dataDxfId="1566">
  <autoFilter ref="O63:T85" xr:uid="{99A9330E-06E3-4E88-92E8-27DF56F12465}"/>
  <tableColumns count="6">
    <tableColumn id="1" xr3:uid="{B4F8D192-5E54-4ED9-9837-1C5579FAE750}" name="MongoDB" dataDxfId="1565"/>
    <tableColumn id="2" xr3:uid="{E7382DD2-077D-4947-927F-2946BD32AC48}" name="100 000 Registos" dataDxfId="1564"/>
    <tableColumn id="3" xr3:uid="{BDEC6109-5777-4F03-8AEB-88FC17C7DEF7}" name="Teste 1" dataDxfId="1563"/>
    <tableColumn id="4" xr3:uid="{BFDF01BA-F8AB-4115-8E6B-6B63CF5349EF}" name="Teste 2" dataDxfId="1562"/>
    <tableColumn id="5" xr3:uid="{AC08B18E-9C3F-493A-8A36-904EB607BBEB}" name="Teste 3" dataDxfId="1561"/>
    <tableColumn id="6" xr3:uid="{3F0835A9-9958-4C3F-B955-0352E1DB1A43}" name="Média" dataDxfId="1560">
      <calculatedColumnFormula>AVERAGE(Table1436281283295307[[#This Row],[Teste 1]:[Teste 3]])</calculatedColumnFormula>
    </tableColumn>
  </tableColumns>
  <tableStyleInfo name="TableStyleLight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806FB9CC-837D-4412-9381-FB9D1F2EDDE8}" name="Table1436281284296308" displayName="Table1436281284296308" ref="O93:T115" totalsRowShown="0" headerRowDxfId="1559" dataDxfId="1558">
  <autoFilter ref="O93:T115" xr:uid="{806FB9CC-837D-4412-9381-FB9D1F2EDDE8}"/>
  <tableColumns count="6">
    <tableColumn id="1" xr3:uid="{5167D902-0057-4A46-9367-00CBD4238D0E}" name="MongoDB" dataDxfId="1557"/>
    <tableColumn id="2" xr3:uid="{4DE1AFB8-E25C-46C5-9B1E-C6C4C464F52D}" name="Registos: 1 000 000" dataDxfId="1556"/>
    <tableColumn id="3" xr3:uid="{70897E50-8F26-46DC-A95E-6D3956019B9B}" name="Teste 1" dataDxfId="1555"/>
    <tableColumn id="4" xr3:uid="{60177704-DD2C-4335-A221-F4D772726A09}" name="Teste 2" dataDxfId="1554"/>
    <tableColumn id="5" xr3:uid="{C03FC244-FC72-4DA8-8EDC-4B41C24EAB61}" name="Teste 3" dataDxfId="1553"/>
    <tableColumn id="6" xr3:uid="{A1FEAF88-0FB5-409C-9FA4-BF22444DD3D1}" name="Média" dataDxfId="1552">
      <calculatedColumnFormula>AVERAGE(Table1436281284296308[[#This Row],[Teste 1]:[Teste 3]])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3FFA0E-07EB-49A8-ACAF-21BDE7ABB908}" name="Table16713" displayName="Table16713" ref="A91:F106" totalsRowShown="0" headerRowDxfId="1911" dataDxfId="1910">
  <autoFilter ref="A91:F106" xr:uid="{393FFA0E-07EB-49A8-ACAF-21BDE7ABB908}"/>
  <tableColumns count="6">
    <tableColumn id="1" xr3:uid="{23B1C629-C319-44CE-9C13-A3503879F8FA}" name="Couchbase" dataDxfId="1909"/>
    <tableColumn id="2" xr3:uid="{8E5D37EC-3002-4C7F-B414-BE40B3FB3F68}" name="Registos: 1 000 000 " dataDxfId="1908"/>
    <tableColumn id="3" xr3:uid="{9238610E-B537-45FB-8960-730EC84EA543}" name="Teste 1" dataDxfId="1907"/>
    <tableColumn id="4" xr3:uid="{484A0B84-E2EC-4CEB-9A85-9C2637BF105E}" name="Teste 2" dataDxfId="1906"/>
    <tableColumn id="5" xr3:uid="{FFBA79A9-697D-42CD-8CEB-348AE03B27D1}" name="Teste 3" dataDxfId="1905"/>
    <tableColumn id="6" xr3:uid="{6ECA16B1-73EC-48E5-B151-0B88E545ADB6}" name="Média" dataDxfId="1904">
      <calculatedColumnFormula>AVERAGE(Table16713[[#This Row],[Teste 1]:[Teste 3]])</calculatedColumnFormula>
    </tableColumn>
  </tableColumns>
  <tableStyleInfo name="TableStyleLight1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244D313E-0E53-458F-88C9-ED0DED9EBCDB}" name="Table1436281282285297309" displayName="Table1436281282285297309" ref="O121:T143" totalsRowShown="0" headerRowDxfId="1551" dataDxfId="1550">
  <autoFilter ref="O121:T143" xr:uid="{244D313E-0E53-458F-88C9-ED0DED9EBCDB}"/>
  <tableColumns count="6">
    <tableColumn id="1" xr3:uid="{551B9392-5430-4F36-B2EA-CFA32201AFCD}" name="MongoDB" dataDxfId="1549"/>
    <tableColumn id="2" xr3:uid="{2D9C1956-A7A8-438B-84E1-DB6AA302DC7D}" name="Registos: 1 000 000" dataDxfId="1548"/>
    <tableColumn id="3" xr3:uid="{D80158B7-FF1B-4CE3-8E15-4CACC2895334}" name="Teste 1" dataDxfId="1547"/>
    <tableColumn id="4" xr3:uid="{CDB56011-F941-4656-B4AD-7E45591908E0}" name="Teste 2" dataDxfId="1546"/>
    <tableColumn id="5" xr3:uid="{A6BC8806-3E85-476A-AB23-7F89FA745437}" name="Teste 3" dataDxfId="1545"/>
    <tableColumn id="6" xr3:uid="{96BD010C-9CA4-46E2-A5BB-84435E60B7EC}" name="Média" dataDxfId="1544">
      <calculatedColumnFormula>AVERAGE(Table1436281282285297309[[#This Row],[Teste 1]:[Teste 3]])</calculatedColumnFormula>
    </tableColumn>
  </tableColumns>
  <tableStyleInfo name="TableStyleLight1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79F7DF17-731E-48E5-884C-0DA301B97D15}" name="Table1436281283286298310" displayName="Table1436281283286298310" ref="O149:T171" totalsRowShown="0" headerRowDxfId="1543" dataDxfId="1542">
  <autoFilter ref="O149:T171" xr:uid="{79F7DF17-731E-48E5-884C-0DA301B97D15}"/>
  <tableColumns count="6">
    <tableColumn id="1" xr3:uid="{DC782093-FC95-4974-95D2-38E469B521CC}" name="MongoDB" dataDxfId="1541"/>
    <tableColumn id="2" xr3:uid="{07960656-BB92-4404-B989-26AFC7B38A9E}" name="Registos: 1 000 000" dataDxfId="1540"/>
    <tableColumn id="3" xr3:uid="{81D92CE1-36D3-4DB0-8212-3605C7F1A135}" name="Teste 1" dataDxfId="1539"/>
    <tableColumn id="4" xr3:uid="{2F91771C-BF52-45B5-A760-9880B5FC89D5}" name="Teste 2" dataDxfId="1538"/>
    <tableColumn id="5" xr3:uid="{2DA918F0-6A77-417A-9208-1FCC73CD7F3A}" name="Teste 3" dataDxfId="1537"/>
    <tableColumn id="6" xr3:uid="{33AF9A2E-1039-4C60-87D2-F1CEAD42F917}" name="Média" dataDxfId="1536">
      <calculatedColumnFormula>AVERAGE(Table1436281283286298310[[#This Row],[Teste 1]:[Teste 3]])</calculatedColumnFormula>
    </tableColumn>
  </tableColumns>
  <tableStyleInfo name="TableStyleLight1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E095454C-3592-4165-8DDB-766D5EE88738}" name="Table1436281287299311" displayName="Table1436281287299311" ref="O179:T201" totalsRowShown="0" headerRowDxfId="1535" dataDxfId="1534">
  <autoFilter ref="O179:T201" xr:uid="{E095454C-3592-4165-8DDB-766D5EE88738}"/>
  <tableColumns count="6">
    <tableColumn id="1" xr3:uid="{CA47AAD0-A210-4142-8906-2F2B6BC048C1}" name="MongoDB" dataDxfId="1533"/>
    <tableColumn id="2" xr3:uid="{E629D1DB-C900-4271-913F-D5E21C997AF4}" name="Registos: 10 000 000" dataDxfId="1532"/>
    <tableColumn id="3" xr3:uid="{C42E848F-B7E9-447D-B9EC-D5FA9E4DF6CE}" name="Teste 1" dataDxfId="1531"/>
    <tableColumn id="4" xr3:uid="{F30EC7E4-F962-478A-AD2A-C89219369A85}" name="Teste 2" dataDxfId="1530"/>
    <tableColumn id="5" xr3:uid="{AA1EC874-F03F-49BF-89A7-7829A1ED1FCB}" name="Teste 3" dataDxfId="1529"/>
    <tableColumn id="6" xr3:uid="{30AD7FC2-7E22-48D1-B28D-54707CC982DD}" name="Média" dataDxfId="1528">
      <calculatedColumnFormula>AVERAGE(Table1436281287299311[[#This Row],[Teste 1]:[Teste 3]])</calculatedColumnFormula>
    </tableColumn>
  </tableColumns>
  <tableStyleInfo name="TableStyleLight1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378F8384-ABB6-4F16-BB8F-ED54428B8F1F}" name="Table1436281282288300312" displayName="Table1436281282288300312" ref="O207:T229" totalsRowShown="0" headerRowDxfId="1527" dataDxfId="1526">
  <autoFilter ref="O207:T229" xr:uid="{378F8384-ABB6-4F16-BB8F-ED54428B8F1F}"/>
  <tableColumns count="6">
    <tableColumn id="1" xr3:uid="{494A11BA-7C3F-4B33-99FA-486CFC8425FE}" name="MongoDB" dataDxfId="1525"/>
    <tableColumn id="2" xr3:uid="{8B3AC4DE-48D5-4AAA-9C88-67A367E8E511}" name="Registos: 10 000 000" dataDxfId="1524"/>
    <tableColumn id="3" xr3:uid="{A706D2E3-C08B-4463-9469-BE36DAC37F88}" name="Teste 1" dataDxfId="1523"/>
    <tableColumn id="4" xr3:uid="{D5599634-A750-4659-9627-29125C129FD7}" name="Teste 2" dataDxfId="1522"/>
    <tableColumn id="5" xr3:uid="{5DC07DF8-0A99-400F-80D5-B7DC98E25F8C}" name="Teste 3" dataDxfId="1521"/>
    <tableColumn id="6" xr3:uid="{F6AAE504-3973-4126-9DB3-4EF8A5971B4D}" name="Média" dataDxfId="1520">
      <calculatedColumnFormula>AVERAGE(Table1436281282288300312[[#This Row],[Teste 1]:[Teste 3]])</calculatedColumnFormula>
    </tableColumn>
  </tableColumns>
  <tableStyleInfo name="TableStyleLight1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A40AA938-B3B6-44AB-825F-23116F897B7A}" name="Table1436281283289301313" displayName="Table1436281283289301313" ref="O235:T257" totalsRowShown="0" headerRowDxfId="1519" dataDxfId="1518">
  <autoFilter ref="O235:T257" xr:uid="{A40AA938-B3B6-44AB-825F-23116F897B7A}"/>
  <tableColumns count="6">
    <tableColumn id="1" xr3:uid="{A27406AA-4E7B-41FC-AECE-941AF29F4BA6}" name="MongoDB" dataDxfId="1517"/>
    <tableColumn id="2" xr3:uid="{1D139F1C-F372-47B8-91D1-F111304EF95A}" name="Registos: 10 000 000" dataDxfId="1516"/>
    <tableColumn id="3" xr3:uid="{63ABF4BC-74DA-4FC4-A986-66C457E30AE3}" name="Teste 1" dataDxfId="1515"/>
    <tableColumn id="4" xr3:uid="{C235D1BB-F4A1-41D6-A3B2-8FDB512C0E05}" name="Teste 2" dataDxfId="1514"/>
    <tableColumn id="5" xr3:uid="{A132EF31-6300-4695-9B57-C3CC43BB3D01}" name="Teste 3" dataDxfId="1513"/>
    <tableColumn id="6" xr3:uid="{102E4946-80F4-45C4-A401-FB7A31F7D6C0}" name="Média" dataDxfId="1512">
      <calculatedColumnFormula>AVERAGE(Table1436281283289301313[[#This Row],[Teste 1]:[Teste 3]])</calculatedColumnFormula>
    </tableColumn>
  </tableColumns>
  <tableStyleInfo name="TableStyleLight15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0C7F740F-0EF3-45D2-BB28-0EAC159B31E0}" name="Table1436281317" displayName="Table1436281317" ref="A7:F29" totalsRowShown="0" headerRowDxfId="1511" dataDxfId="1510">
  <autoFilter ref="A7:F29" xr:uid="{0C7F740F-0EF3-45D2-BB28-0EAC159B31E0}"/>
  <tableColumns count="6">
    <tableColumn id="1" xr3:uid="{B8411DF0-3359-4C99-AB24-CECDD7A24717}" name="Couchbase" dataDxfId="1509"/>
    <tableColumn id="2" xr3:uid="{55D25AAC-A078-4730-B1A1-25293405B87A}" name="Registos: 100 000" dataDxfId="1508"/>
    <tableColumn id="3" xr3:uid="{366351C4-12A5-488D-9748-319C00837F87}" name="Teste 1" dataDxfId="1507"/>
    <tableColumn id="4" xr3:uid="{FA629B0A-2751-469E-A96F-256365B2653F}" name="Teste 2" dataDxfId="1506"/>
    <tableColumn id="5" xr3:uid="{1BFE1473-DCA9-40ED-8EF7-E91B84A852C2}" name="Teste 3" dataDxfId="1505"/>
    <tableColumn id="6" xr3:uid="{20FF1557-4848-406D-8D48-F6C445B0E530}" name="Média" dataDxfId="1504">
      <calculatedColumnFormula>AVERAGE(Table1436281317[[#This Row],[Teste 1]:[Teste 3]])</calculatedColumnFormula>
    </tableColumn>
  </tableColumns>
  <tableStyleInfo name="TableStyleLight15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C2B38A32-C744-42DD-9B2E-FBFDD95CB6AC}" name="Table1436281282318" displayName="Table1436281282318" ref="A35:F57" totalsRowShown="0" headerRowDxfId="1503" dataDxfId="1502">
  <autoFilter ref="A35:F57" xr:uid="{C2B38A32-C744-42DD-9B2E-FBFDD95CB6AC}"/>
  <tableColumns count="6">
    <tableColumn id="1" xr3:uid="{A48485DE-EA2A-4200-8052-63B795540836}" name="Couchbase" dataDxfId="1501"/>
    <tableColumn id="2" xr3:uid="{0E4A9034-F515-4FD9-81D7-C54E39FB60BE}" name="Registos: 100 000" dataDxfId="1500"/>
    <tableColumn id="3" xr3:uid="{82227891-AF56-4F87-BD5A-42E10E9DCB58}" name="Teste 1" dataDxfId="1499"/>
    <tableColumn id="4" xr3:uid="{8C98A00F-7513-4D8C-BC79-FFD7329185CF}" name="Teste 2" dataDxfId="1498"/>
    <tableColumn id="5" xr3:uid="{FEC2FA5D-A960-4EF4-A8F9-B1D4DD20AD93}" name="Teste 3" dataDxfId="1497"/>
    <tableColumn id="6" xr3:uid="{FA4AC4F9-5E17-4956-AC68-CC31DAF5F20E}" name="Média" dataDxfId="1496">
      <calculatedColumnFormula>AVERAGE(Table1436281282318[[#This Row],[Teste 1]:[Teste 3]])</calculatedColumnFormula>
    </tableColumn>
  </tableColumns>
  <tableStyleInfo name="TableStyleLight15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BC8A7E34-30FA-453A-93C0-BBD95981E49B}" name="Table1436281283319" displayName="Table1436281283319" ref="A63:F85" totalsRowShown="0" headerRowDxfId="1495" dataDxfId="1494">
  <autoFilter ref="A63:F85" xr:uid="{BC8A7E34-30FA-453A-93C0-BBD95981E49B}"/>
  <tableColumns count="6">
    <tableColumn id="1" xr3:uid="{43B79CE6-B318-419C-B04C-3E3D6D4CC4C3}" name="Couchbase" dataDxfId="1493"/>
    <tableColumn id="2" xr3:uid="{88F7F18C-F7CA-4510-97C7-08E65D2EDD8C}" name="Registos: 100 000" dataDxfId="1492"/>
    <tableColumn id="3" xr3:uid="{49F357D5-5489-40C9-AF2E-305D35138B37}" name="Teste 1" dataDxfId="1491"/>
    <tableColumn id="4" xr3:uid="{CB7F4E12-173D-4C1E-99FF-03BB52C9B180}" name="Teste 2" dataDxfId="1490"/>
    <tableColumn id="5" xr3:uid="{8C39280E-AC72-48AC-8CB5-400D8B3436BD}" name="Teste 3" dataDxfId="1489"/>
    <tableColumn id="6" xr3:uid="{464D81D3-09DC-4451-BB88-6CB1CEC97B24}" name="Média" dataDxfId="1488">
      <calculatedColumnFormula>AVERAGE(Table1436281283319[[#This Row],[Teste 1]:[Teste 3]])</calculatedColumnFormula>
    </tableColumn>
  </tableColumns>
  <tableStyleInfo name="TableStyleLight1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CBD2FB14-60E0-4F9F-9C0A-3873B46CC26C}" name="Table1436281284320" displayName="Table1436281284320" ref="A93:F115" totalsRowShown="0" headerRowDxfId="1487" dataDxfId="1486">
  <autoFilter ref="A93:F115" xr:uid="{CBD2FB14-60E0-4F9F-9C0A-3873B46CC26C}"/>
  <tableColumns count="6">
    <tableColumn id="1" xr3:uid="{6EAEF894-B27B-48CE-A74E-6C11C674771B}" name="Couchbase" dataDxfId="1485"/>
    <tableColumn id="2" xr3:uid="{DC01AE55-1A58-4020-97DB-B1046861CFAD}" name="Registos: 1 000 000" dataDxfId="1484"/>
    <tableColumn id="3" xr3:uid="{CA8E8A0D-2CED-4D79-8A4C-7E720B94F3F7}" name="Teste 1" dataDxfId="1483"/>
    <tableColumn id="4" xr3:uid="{D5F4A21C-1647-4591-A827-07DDE28802AE}" name="Teste 2" dataDxfId="1482"/>
    <tableColumn id="5" xr3:uid="{9EA214E1-2F7C-449B-8FDE-FE952E502703}" name="Teste 3" dataDxfId="1481"/>
    <tableColumn id="6" xr3:uid="{7313D207-B5F6-4BCE-800A-08C7F497C3EF}" name="Média" dataDxfId="1480">
      <calculatedColumnFormula>AVERAGE(Table1436281284320[[#This Row],[Teste 1]:[Teste 3]])</calculatedColumnFormula>
    </tableColumn>
  </tableColumns>
  <tableStyleInfo name="TableStyleLight15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14126DFB-4CC8-4714-9ABD-5B34CAE68B8E}" name="Table1436281282285321" displayName="Table1436281282285321" ref="A121:F143" totalsRowShown="0" headerRowDxfId="1479" dataDxfId="1478">
  <autoFilter ref="A121:F143" xr:uid="{14126DFB-4CC8-4714-9ABD-5B34CAE68B8E}"/>
  <tableColumns count="6">
    <tableColumn id="1" xr3:uid="{50CDA486-B30B-49D4-9162-2AE54E8769C3}" name="Couchbase" dataDxfId="1477"/>
    <tableColumn id="2" xr3:uid="{6FA12E7D-27A7-490F-87CD-2952FECA800D}" name="Registos: 1 000 000" dataDxfId="1476"/>
    <tableColumn id="3" xr3:uid="{064C4436-F699-4931-B3DF-4BD9FF9EB4A6}" name="Teste 1" dataDxfId="1475"/>
    <tableColumn id="4" xr3:uid="{F9B9D84A-88F8-4B41-9786-846ED168D2EB}" name="Teste 2" dataDxfId="1474"/>
    <tableColumn id="5" xr3:uid="{F0C5E456-3799-4224-BEB5-91A310320FF3}" name="Teste 3" dataDxfId="1473"/>
    <tableColumn id="6" xr3:uid="{8B261C0B-69CB-4397-AA53-8C4C238AE8D6}" name="Média" dataDxfId="1472">
      <calculatedColumnFormula>AVERAGE(Table1436281282285321[[#This Row],[Teste 1]:[Teste 3]])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02BDE3-5687-40E4-9C10-195C207F35DC}" name="Table1671114" displayName="Table1671114" ref="A112:F127" totalsRowShown="0" headerRowDxfId="1903" dataDxfId="1902">
  <autoFilter ref="A112:F127" xr:uid="{BF02BDE3-5687-40E4-9C10-195C207F35DC}"/>
  <tableColumns count="6">
    <tableColumn id="1" xr3:uid="{E76F2D0A-9DF7-4829-8EBA-270A1BCA4A83}" name="Couchbase" dataDxfId="1901"/>
    <tableColumn id="2" xr3:uid="{B46B9D70-ABEE-493F-A196-C2AAA80B7F88}" name="Registos: 1 000 000 " dataDxfId="1900"/>
    <tableColumn id="3" xr3:uid="{21EB694D-9D61-4167-B2AF-D401B49A164D}" name="Teste 1" dataDxfId="1899"/>
    <tableColumn id="4" xr3:uid="{D2FF0715-47B6-4C12-983A-F49B52D73DD3}" name="Teste 2" dataDxfId="1898"/>
    <tableColumn id="5" xr3:uid="{B4B52CC6-EF7C-413D-A0D3-494FD15C52C8}" name="Teste 3" dataDxfId="1897"/>
    <tableColumn id="6" xr3:uid="{D444C0AC-0C7B-4D64-8770-D7DF0F72003C}" name="Média" dataDxfId="1896">
      <calculatedColumnFormula>AVERAGE(Table1671114[[#This Row],[Teste 1]:[Teste 3]])</calculatedColumnFormula>
    </tableColumn>
  </tableColumns>
  <tableStyleInfo name="TableStyleLight15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ACBA8B3D-3263-40C1-956B-6C9E0DB911DF}" name="Table1436281283286322" displayName="Table1436281283286322" ref="A149:F171" totalsRowShown="0" headerRowDxfId="1471" dataDxfId="1470">
  <autoFilter ref="A149:F171" xr:uid="{ACBA8B3D-3263-40C1-956B-6C9E0DB911DF}"/>
  <tableColumns count="6">
    <tableColumn id="1" xr3:uid="{10EC6A94-8624-4296-B049-9EA2EBEC7BF7}" name="Couchbase" dataDxfId="1469"/>
    <tableColumn id="2" xr3:uid="{FA4B45AF-DA36-4875-9412-FC51293C2D3E}" name="Registos: 1 000 000" dataDxfId="1468"/>
    <tableColumn id="3" xr3:uid="{13C05523-3C3D-4562-AEB4-F0D0ED3BEF2C}" name="Teste 1" dataDxfId="1467"/>
    <tableColumn id="4" xr3:uid="{AF4E02D5-0B2F-4A7D-B51D-4B2CDB06C764}" name="Teste 2" dataDxfId="1466"/>
    <tableColumn id="5" xr3:uid="{57380097-BDB5-4DA7-BEB9-E526466BDC56}" name="Teste 3" dataDxfId="1465"/>
    <tableColumn id="6" xr3:uid="{FDAA7088-D686-4F72-BD5D-6208D005EF8D}" name="Média" dataDxfId="1464">
      <calculatedColumnFormula>AVERAGE(Table1436281283286322[[#This Row],[Teste 1]:[Teste 3]])</calculatedColumnFormula>
    </tableColumn>
  </tableColumns>
  <tableStyleInfo name="TableStyleLight15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6B13AF30-D620-4F4B-A86B-893CD4DF2F6C}" name="Table1436281287323" displayName="Table1436281287323" ref="A179:F201" totalsRowShown="0" headerRowDxfId="1463" dataDxfId="1462">
  <autoFilter ref="A179:F201" xr:uid="{6B13AF30-D620-4F4B-A86B-893CD4DF2F6C}"/>
  <tableColumns count="6">
    <tableColumn id="1" xr3:uid="{0E54B678-29BE-4589-8E49-E95406CF5ECF}" name="Couchbase" dataDxfId="1461"/>
    <tableColumn id="2" xr3:uid="{513F6B57-610F-4458-BFC0-37A248D628C2}" name="Registos: 10 000 000" dataDxfId="1460"/>
    <tableColumn id="3" xr3:uid="{550ED777-D0F4-42BE-807E-F869452CF20F}" name="Teste 1" dataDxfId="1459"/>
    <tableColumn id="4" xr3:uid="{F0380EAA-4C1E-481A-BC5B-1BF9CDDB4A44}" name="Teste 2" dataDxfId="1458"/>
    <tableColumn id="5" xr3:uid="{15B4DE78-7A96-44CB-9115-A9A858E2EF49}" name="Teste 3" dataDxfId="1457"/>
    <tableColumn id="6" xr3:uid="{1F5151AE-F144-42B4-B9BC-E1AB008DC73D}" name="Média" dataDxfId="1456">
      <calculatedColumnFormula>AVERAGE(Table1436281287323[[#This Row],[Teste 1]:[Teste 3]])</calculatedColumnFormula>
    </tableColumn>
  </tableColumns>
  <tableStyleInfo name="TableStyleLight15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F4C1AEF2-B2A9-45D0-B6D5-B7A0AFBDD99C}" name="Table1436281282288324" displayName="Table1436281282288324" ref="A207:F229" totalsRowShown="0" headerRowDxfId="1455" dataDxfId="1454">
  <autoFilter ref="A207:F229" xr:uid="{F4C1AEF2-B2A9-45D0-B6D5-B7A0AFBDD99C}"/>
  <tableColumns count="6">
    <tableColumn id="1" xr3:uid="{21B007C1-C516-48BD-9D77-17B6039F70FB}" name="Couchbase" dataDxfId="1453"/>
    <tableColumn id="2" xr3:uid="{1400BE4C-6ADA-4B74-8A26-54948F09B8B6}" name="Registos: 10 000 000" dataDxfId="1452"/>
    <tableColumn id="3" xr3:uid="{9A214CB9-BD2E-40D2-8B65-619F4198E7C6}" name="Teste 1" dataDxfId="1451"/>
    <tableColumn id="4" xr3:uid="{F399DB51-C51B-4BC6-9721-C258B3299413}" name="Teste 2" dataDxfId="1450"/>
    <tableColumn id="5" xr3:uid="{A50750CE-174A-4BA4-85DA-38B2189CAA09}" name="Teste 3" dataDxfId="1449"/>
    <tableColumn id="6" xr3:uid="{077A57AC-56DE-4E77-91CC-FDEA5736311D}" name="Média" dataDxfId="1448">
      <calculatedColumnFormula>AVERAGE(Table1436281282288324[[#This Row],[Teste 1]:[Teste 3]])</calculatedColumnFormula>
    </tableColumn>
  </tableColumns>
  <tableStyleInfo name="TableStyleLight1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0569E8E7-433A-44B3-B660-CA5EA3254368}" name="Table1436281283289325" displayName="Table1436281283289325" ref="A235:F257" totalsRowShown="0" headerRowDxfId="1447" dataDxfId="1446">
  <autoFilter ref="A235:F257" xr:uid="{0569E8E7-433A-44B3-B660-CA5EA3254368}"/>
  <tableColumns count="6">
    <tableColumn id="1" xr3:uid="{13AB6FAA-F800-4214-B8CB-8C4280C3AAD3}" name="Couchbase" dataDxfId="1445"/>
    <tableColumn id="2" xr3:uid="{0503D109-4158-4DA9-86AF-C390E0347BEC}" name="Registos: 10 000 000" dataDxfId="1444"/>
    <tableColumn id="3" xr3:uid="{221DE08D-F087-4421-A719-5D3A53F656D4}" name="Teste 1" dataDxfId="1443"/>
    <tableColumn id="4" xr3:uid="{A0959896-C5B9-47F8-A97D-97761FF3B641}" name="Teste 2" dataDxfId="1442"/>
    <tableColumn id="5" xr3:uid="{CFD3DE3F-3CB0-4141-8AF8-B17211012B11}" name="Teste 3" dataDxfId="1441"/>
    <tableColumn id="6" xr3:uid="{E8F2498D-8056-4F9B-9D60-75E8505767D4}" name="Média" dataDxfId="1440">
      <calculatedColumnFormula>AVERAGE(Table1436281283289325[[#This Row],[Teste 1]:[Teste 3]])</calculatedColumnFormula>
    </tableColumn>
  </tableColumns>
  <tableStyleInfo name="TableStyleLight15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BC50DFC4-93B7-4742-AB00-A4D02DC98843}" name="Table1436281293329" displayName="Table1436281293329" ref="H7:M29" totalsRowShown="0" headerRowDxfId="1439" dataDxfId="1438">
  <autoFilter ref="H7:M29" xr:uid="{BC50DFC4-93B7-4742-AB00-A4D02DC98843}"/>
  <tableColumns count="6">
    <tableColumn id="1" xr3:uid="{7AFD7D21-2C8C-47A3-8211-0A63A8ED143D}" name="CouchDB" dataDxfId="1437"/>
    <tableColumn id="2" xr3:uid="{71D21D86-39C9-46B2-BCF7-ADA3DFD4B650}" name="Registos: 100 000" dataDxfId="1436"/>
    <tableColumn id="3" xr3:uid="{055CCFDC-814A-498C-A11C-323F8C561B3C}" name="Teste 1" dataDxfId="1435"/>
    <tableColumn id="4" xr3:uid="{F72B05E5-DD8A-44D5-A0DF-20A8E1987D8C}" name="Teste 2" dataDxfId="1434"/>
    <tableColumn id="5" xr3:uid="{F1811BA4-2A18-48D7-A1B8-BFC5EA2C2FE5}" name="Teste 3" dataDxfId="1433"/>
    <tableColumn id="6" xr3:uid="{FB1C59D5-33B2-4336-92CC-A2AD86FDA856}" name="Média" dataDxfId="1432">
      <calculatedColumnFormula>AVERAGE(Table1436281293329[[#This Row],[Teste 1]:[Teste 3]])</calculatedColumnFormula>
    </tableColumn>
  </tableColumns>
  <tableStyleInfo name="TableStyleLight15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8BD54553-45DC-4D62-A43F-031BF05DAA3B}" name="Table1436281282294330" displayName="Table1436281282294330" ref="H35:M57" totalsRowShown="0" headerRowDxfId="1431" dataDxfId="1430">
  <autoFilter ref="H35:M57" xr:uid="{8BD54553-45DC-4D62-A43F-031BF05DAA3B}"/>
  <tableColumns count="6">
    <tableColumn id="1" xr3:uid="{A0C5A5AB-A7EC-4B26-8A58-CAD5C87E17CF}" name="CouchDB" dataDxfId="1429"/>
    <tableColumn id="2" xr3:uid="{512EAD71-21F3-46F3-B618-CF191918ACFD}" name="Registos: 100 000" dataDxfId="1428"/>
    <tableColumn id="3" xr3:uid="{8DA8CE08-4FCA-42ED-A23F-12AAA92A1BB4}" name="Teste 1" dataDxfId="1427"/>
    <tableColumn id="4" xr3:uid="{65AF9F13-AFE1-45DA-950B-2DE111A90954}" name="Teste 2" dataDxfId="1426"/>
    <tableColumn id="5" xr3:uid="{4FF68071-0CFA-4102-A8FE-F6E4CBD221AE}" name="Teste 3" dataDxfId="1425"/>
    <tableColumn id="6" xr3:uid="{B385C44D-3E11-4B24-AA52-83FC8222C6D7}" name="Média" dataDxfId="1424">
      <calculatedColumnFormula>AVERAGE(Table1436281282294330[[#This Row],[Teste 1]:[Teste 3]])</calculatedColumnFormula>
    </tableColumn>
  </tableColumns>
  <tableStyleInfo name="TableStyleLight15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BF3E574F-150E-4790-B694-2F70DC711C74}" name="Table1436281283295331" displayName="Table1436281283295331" ref="H63:M85" totalsRowShown="0" headerRowDxfId="1423" dataDxfId="1422">
  <autoFilter ref="H63:M85" xr:uid="{BF3E574F-150E-4790-B694-2F70DC711C74}"/>
  <tableColumns count="6">
    <tableColumn id="1" xr3:uid="{1063770C-417A-45B3-A1C3-DCE83F16FD04}" name="CouchDB" dataDxfId="1421"/>
    <tableColumn id="2" xr3:uid="{298D2665-0810-4182-9B64-25CA9B1FC5CF}" name="Registos: 100 000" dataDxfId="1420"/>
    <tableColumn id="3" xr3:uid="{564F17FA-257C-4800-B400-67D6A8E89CA2}" name="Teste 1" dataDxfId="1419"/>
    <tableColumn id="4" xr3:uid="{C3A0CDCA-3E67-4AE5-9D9A-19F57BB28E3A}" name="Teste 2" dataDxfId="1418"/>
    <tableColumn id="5" xr3:uid="{EC21C525-333D-417B-BCDC-ED8AF5E46D43}" name="Teste 3" dataDxfId="1417"/>
    <tableColumn id="6" xr3:uid="{E0DF0CFE-DB52-4402-B28B-648DE2DC67EE}" name="Média" dataDxfId="1416">
      <calculatedColumnFormula>AVERAGE(Table1436281283295331[[#This Row],[Teste 1]:[Teste 3]])</calculatedColumnFormula>
    </tableColumn>
  </tableColumns>
  <tableStyleInfo name="TableStyleLight15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DC943612-7681-4A3A-AA43-50DFDF847E42}" name="Table1436281284296332" displayName="Table1436281284296332" ref="H93:M115" totalsRowShown="0" headerRowDxfId="1415" dataDxfId="1414">
  <autoFilter ref="H93:M115" xr:uid="{DC943612-7681-4A3A-AA43-50DFDF847E42}"/>
  <tableColumns count="6">
    <tableColumn id="1" xr3:uid="{CB9F8DEC-82DE-4CB8-85DC-B2F215C04AEC}" name="CouchDB" dataDxfId="1413"/>
    <tableColumn id="2" xr3:uid="{24746367-EEAC-491D-B086-160AA44322F6}" name="Registos: 1 000 000" dataDxfId="1412"/>
    <tableColumn id="3" xr3:uid="{1AF8F2FE-8FA3-4858-817F-FC5CA9AD6060}" name="Teste 1" dataDxfId="1411"/>
    <tableColumn id="4" xr3:uid="{D67539DA-D103-4EB1-9D95-CE4987055FA6}" name="Teste 2" dataDxfId="1410"/>
    <tableColumn id="5" xr3:uid="{9F3230F2-7ABD-4DEC-989E-09E73DC24DF8}" name="Teste 3" dataDxfId="1409"/>
    <tableColumn id="6" xr3:uid="{89FB9BDE-5596-4089-BDB6-C3900F4204CC}" name="Média" dataDxfId="1408">
      <calculatedColumnFormula>AVERAGE(Table1436281284296332[[#This Row],[Teste 1]:[Teste 3]])</calculatedColumnFormula>
    </tableColumn>
  </tableColumns>
  <tableStyleInfo name="TableStyleLight1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009F48EB-8017-4440-A8A8-12B6243352A7}" name="Table1436281282285297333" displayName="Table1436281282285297333" ref="H121:M143" totalsRowShown="0" headerRowDxfId="1407" dataDxfId="1406">
  <autoFilter ref="H121:M143" xr:uid="{009F48EB-8017-4440-A8A8-12B6243352A7}"/>
  <tableColumns count="6">
    <tableColumn id="1" xr3:uid="{D3638B9E-A771-4A37-8990-6EB1B9BF95EA}" name="CouchDB" dataDxfId="1405"/>
    <tableColumn id="2" xr3:uid="{CAC49956-CF33-43FA-A3EC-DDDD2F6A2DB8}" name="Registos: 1 000 000" dataDxfId="1404"/>
    <tableColumn id="3" xr3:uid="{F929F5E9-0D62-49F9-B115-83D0E79716BD}" name="Teste 1" dataDxfId="1403"/>
    <tableColumn id="4" xr3:uid="{50C9297B-EC99-4C12-B61E-2E7824F8C64A}" name="Teste 2" dataDxfId="1402"/>
    <tableColumn id="5" xr3:uid="{23E68431-5CB3-4541-8298-395BFD15E512}" name="Teste 3" dataDxfId="1401"/>
    <tableColumn id="6" xr3:uid="{AB068010-4503-45D5-8307-C664281D04CE}" name="Média" dataDxfId="1400">
      <calculatedColumnFormula>AVERAGE(Table1436281282285297333[[#This Row],[Teste 1]:[Teste 3]])</calculatedColumnFormula>
    </tableColumn>
  </tableColumns>
  <tableStyleInfo name="TableStyleLight15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C97F76BD-3E86-44EA-81A4-62D9D27DD99B}" name="Table1436281283286298334" displayName="Table1436281283286298334" ref="H149:M171" totalsRowShown="0" headerRowDxfId="1399" dataDxfId="1398">
  <autoFilter ref="H149:M171" xr:uid="{C97F76BD-3E86-44EA-81A4-62D9D27DD99B}"/>
  <tableColumns count="6">
    <tableColumn id="1" xr3:uid="{EAFF9032-E740-4778-9C96-D1D2A097E55D}" name="CouchDB" dataDxfId="1397"/>
    <tableColumn id="2" xr3:uid="{4DBB1A50-DD2C-4250-9D1E-5EB0CFD14F78}" name="Registos: 1 000 000" dataDxfId="1396"/>
    <tableColumn id="3" xr3:uid="{194366DD-901E-41B0-AD95-D3738EBC8D02}" name="Teste 1" dataDxfId="1395"/>
    <tableColumn id="4" xr3:uid="{6B2243BF-18F3-4C33-9C90-9E7EB83E2C16}" name="Teste 2" dataDxfId="1394"/>
    <tableColumn id="5" xr3:uid="{A35A4AFB-071B-4E75-ABEC-9F7048F10727}" name="Teste 3" dataDxfId="1393"/>
    <tableColumn id="6" xr3:uid="{3C62FD44-713B-4315-9F9F-E2771FD79081}" name="Média" dataDxfId="1392">
      <calculatedColumnFormula>AVERAGE(Table1436281283286298334[[#This Row],[Teste 1]:[Teste 3]])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3D4246B-6AFA-4F2B-A29C-D8BF3C90FDD1}" name="Table161215" displayName="Table161215" ref="A135:F150" totalsRowShown="0" headerRowDxfId="1895" dataDxfId="1894">
  <autoFilter ref="A135:F150" xr:uid="{C3D4246B-6AFA-4F2B-A29C-D8BF3C90FDD1}"/>
  <tableColumns count="6">
    <tableColumn id="1" xr3:uid="{5762BDCD-F3A5-4A02-8BAA-8044D0DBADA0}" name="Couchbase" dataDxfId="1893"/>
    <tableColumn id="2" xr3:uid="{A3AAD6CD-63A9-4CAB-9AB9-5300F30A9D55}" name="Registos: 10 000 000 " dataDxfId="1892"/>
    <tableColumn id="3" xr3:uid="{610F5392-1882-46FC-B1F9-4A88E89D6111}" name="Teste 1" dataDxfId="1891"/>
    <tableColumn id="4" xr3:uid="{BD648AA3-2706-4B7D-941E-33FC1013DFE2}" name="Teste 2" dataDxfId="1890"/>
    <tableColumn id="5" xr3:uid="{4CD4966D-942D-4D53-8015-85E1C5DE51D4}" name="Teste 3" dataDxfId="1889"/>
    <tableColumn id="6" xr3:uid="{54648D2A-E9F7-461F-80E3-AA216FC166C9}" name="Média" dataDxfId="1888">
      <calculatedColumnFormula>AVERAGE(Table161215[[#This Row],[Teste 1]:[Teste 3]])</calculatedColumnFormula>
    </tableColumn>
  </tableColumns>
  <tableStyleInfo name="TableStyleLight15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DB9E26E9-8A48-422B-9E8C-EE8DB24BC830}" name="Table1436281287299335" displayName="Table1436281287299335" ref="H179:M201" totalsRowShown="0" headerRowDxfId="1391" dataDxfId="1390">
  <autoFilter ref="H179:M201" xr:uid="{DB9E26E9-8A48-422B-9E8C-EE8DB24BC830}"/>
  <tableColumns count="6">
    <tableColumn id="1" xr3:uid="{F259C6C7-7394-4AF4-86DF-122F4BDD14E9}" name="CouchDB" dataDxfId="1389"/>
    <tableColumn id="2" xr3:uid="{E2683D49-15E5-4D15-A20A-6C88E2DB4F04}" name="Registos: 10 000 000" dataDxfId="1388"/>
    <tableColumn id="3" xr3:uid="{7D9D43B8-E93B-4F3D-843A-4F23679EC794}" name="Teste 1" dataDxfId="1387"/>
    <tableColumn id="4" xr3:uid="{280DD054-3F47-4AE6-9237-F95520A3CE7B}" name="Teste 2" dataDxfId="1386"/>
    <tableColumn id="5" xr3:uid="{DAE2D3B7-CDC5-4AC4-B61D-07E7772012B5}" name="Teste 3" dataDxfId="1385"/>
    <tableColumn id="6" xr3:uid="{2F297FAD-F34C-4A20-84F3-B59DE8EB39C2}" name="Média" dataDxfId="1384">
      <calculatedColumnFormula>AVERAGE(Table1436281287299335[[#This Row],[Teste 1]:[Teste 3]])</calculatedColumnFormula>
    </tableColumn>
  </tableColumns>
  <tableStyleInfo name="TableStyleLight15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B2865A8A-6932-4D67-9BC4-44CA08FC3138}" name="Table1436281282288300336" displayName="Table1436281282288300336" ref="H207:M229" totalsRowShown="0" headerRowDxfId="1383" dataDxfId="1382">
  <autoFilter ref="H207:M229" xr:uid="{B2865A8A-6932-4D67-9BC4-44CA08FC3138}"/>
  <tableColumns count="6">
    <tableColumn id="1" xr3:uid="{0B987A73-99E7-4D8C-BCEA-1F8A3519AB46}" name="CouchDB" dataDxfId="1381"/>
    <tableColumn id="2" xr3:uid="{1D659293-E075-4AA1-BC40-E27B15D7D8FA}" name="Registos: 10 000 000" dataDxfId="1380"/>
    <tableColumn id="3" xr3:uid="{E521837A-CD96-4193-9B00-69EFBBC90498}" name="Teste 1" dataDxfId="1379"/>
    <tableColumn id="4" xr3:uid="{FC70AC41-3651-4F56-ABB4-3B59036E2AAB}" name="Teste 2" dataDxfId="1378"/>
    <tableColumn id="5" xr3:uid="{87D6217B-7618-4B79-ABCE-FF86AD2B5634}" name="Teste 3" dataDxfId="1377"/>
    <tableColumn id="6" xr3:uid="{9E6F5F05-D5D1-412B-868D-9C346D7FA945}" name="Média" dataDxfId="1376">
      <calculatedColumnFormula>AVERAGE(Table1436281282288300336[[#This Row],[Teste 1]:[Teste 3]])</calculatedColumnFormula>
    </tableColumn>
  </tableColumns>
  <tableStyleInfo name="TableStyleLight15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192D5368-E7BE-4377-B677-E24360CEE203}" name="Table1436281283289301337" displayName="Table1436281283289301337" ref="H235:M257" totalsRowShown="0" headerRowDxfId="1375" dataDxfId="1374">
  <autoFilter ref="H235:M257" xr:uid="{192D5368-E7BE-4377-B677-E24360CEE203}"/>
  <tableColumns count="6">
    <tableColumn id="1" xr3:uid="{0886FC52-684C-4410-8633-5A54870C0F42}" name="CouchDB" dataDxfId="1373"/>
    <tableColumn id="2" xr3:uid="{6F0A56BE-AF7B-4F34-9984-85DCE699B39E}" name="Registos: 10 000 000" dataDxfId="1372"/>
    <tableColumn id="3" xr3:uid="{9F24CF22-1BF2-4D25-8149-8E8FCB28F13E}" name="Teste 1" dataDxfId="1371"/>
    <tableColumn id="4" xr3:uid="{FB334AB5-B623-4807-8558-52ADE2AD842B}" name="Teste 2" dataDxfId="1370"/>
    <tableColumn id="5" xr3:uid="{07FE2F8B-FF36-45C6-A3C0-E8478240C815}" name="Teste 3" dataDxfId="1369"/>
    <tableColumn id="6" xr3:uid="{93B56C62-19A0-44E2-83D7-B10E0CA720E5}" name="Média" dataDxfId="1368">
      <calculatedColumnFormula>AVERAGE(Table1436281283289301337[[#This Row],[Teste 1]:[Teste 3]])</calculatedColumnFormula>
    </tableColumn>
  </tableColumns>
  <tableStyleInfo name="TableStyleLight1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D8D8AC54-8FC6-4D6B-AF99-586F5D8DFBF0}" name="Table1436281293305341" displayName="Table1436281293305341" ref="O7:T29" totalsRowShown="0" headerRowDxfId="1367" dataDxfId="1366">
  <autoFilter ref="O7:T29" xr:uid="{D8D8AC54-8FC6-4D6B-AF99-586F5D8DFBF0}"/>
  <tableColumns count="6">
    <tableColumn id="1" xr3:uid="{F669B5B6-A22E-47E0-8A8C-845BFDCEAE88}" name="MongoDB" dataDxfId="1365"/>
    <tableColumn id="2" xr3:uid="{649E4580-BB4C-4D34-917D-A2F056B94CE6}" name="Registos: 100 000" dataDxfId="1364"/>
    <tableColumn id="3" xr3:uid="{25990E9B-4F6A-45ED-99C8-C853A537D6A9}" name="Teste 1" dataDxfId="1363"/>
    <tableColumn id="4" xr3:uid="{0D1B05F2-26F9-429B-8E7D-31509A7038FC}" name="Teste 2" dataDxfId="1362"/>
    <tableColumn id="5" xr3:uid="{78B181D0-60FD-45C6-B17B-AC9AF4250A09}" name="Teste 3" dataDxfId="1361"/>
    <tableColumn id="6" xr3:uid="{26A9654C-FFA2-4D7E-AD3F-F3D84410052B}" name="Média" dataDxfId="1360">
      <calculatedColumnFormula>AVERAGE(Table1436281293305341[[#This Row],[Teste 1]:[Teste 3]])</calculatedColumnFormula>
    </tableColumn>
  </tableColumns>
  <tableStyleInfo name="TableStyleLight15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E5287287-FB4A-4875-9F4F-11FE3E223463}" name="Table1436281282294306342" displayName="Table1436281282294306342" ref="O35:T57" totalsRowShown="0" headerRowDxfId="1359" dataDxfId="1358">
  <autoFilter ref="O35:T57" xr:uid="{E5287287-FB4A-4875-9F4F-11FE3E223463}"/>
  <tableColumns count="6">
    <tableColumn id="1" xr3:uid="{4A2EEA99-9908-4547-A40F-9A55611662BB}" name="MongoDB" dataDxfId="1357"/>
    <tableColumn id="2" xr3:uid="{CE76D5A8-000A-4DB8-AEF2-C6DCBCC47E0E}" name="Registos: 100 000" dataDxfId="1356"/>
    <tableColumn id="3" xr3:uid="{EAD8B164-5B3B-4D4C-9B04-1570DC1E5F0F}" name="Teste 1" dataDxfId="1355"/>
    <tableColumn id="4" xr3:uid="{64686A1D-7F1F-4589-9A14-051A06E81552}" name="Teste 2" dataDxfId="1354"/>
    <tableColumn id="5" xr3:uid="{6F5E970F-3EE9-421E-AE56-F08850623565}" name="Teste 3" dataDxfId="1353"/>
    <tableColumn id="6" xr3:uid="{E1302B29-B669-4342-8E4A-9206E862CBE8}" name="Média" dataDxfId="1352">
      <calculatedColumnFormula>AVERAGE(Table1436281282294306342[[#This Row],[Teste 1]:[Teste 3]])</calculatedColumnFormula>
    </tableColumn>
  </tableColumns>
  <tableStyleInfo name="TableStyleLight15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2BAE2D2F-FCA5-426D-9C92-CA8DC528A251}" name="Table1436281283295307343" displayName="Table1436281283295307343" ref="O63:T85" totalsRowShown="0" headerRowDxfId="1351" dataDxfId="1350">
  <autoFilter ref="O63:T85" xr:uid="{2BAE2D2F-FCA5-426D-9C92-CA8DC528A251}"/>
  <tableColumns count="6">
    <tableColumn id="1" xr3:uid="{3F029835-A92F-412F-BDB5-4C312E1E6AB4}" name="MongoDB" dataDxfId="1349"/>
    <tableColumn id="2" xr3:uid="{022E0B96-2D04-4A9A-A0CE-BE5B4DA3D8EA}" name="Registos: 100 000" dataDxfId="1348"/>
    <tableColumn id="3" xr3:uid="{BEFA3AC5-3F22-4A3C-8C0D-542A218A9081}" name="Teste 1" dataDxfId="1347"/>
    <tableColumn id="4" xr3:uid="{AF343A89-7722-4D59-B7B4-AFD9455147DB}" name="Teste 2" dataDxfId="1346"/>
    <tableColumn id="5" xr3:uid="{BEAB7AF8-63AA-4E75-A457-5D57449A16DF}" name="Teste 3" dataDxfId="1345"/>
    <tableColumn id="6" xr3:uid="{3227CBEB-EC89-4EFD-B085-D0AFEF17B18C}" name="Média" dataDxfId="1344">
      <calculatedColumnFormula>AVERAGE(Table1436281283295307343[[#This Row],[Teste 1]:[Teste 3]])</calculatedColumnFormula>
    </tableColumn>
  </tableColumns>
  <tableStyleInfo name="TableStyleLight15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1EDE2E44-F08A-4519-8977-1D0FDB409CB3}" name="Table1436281284296308344" displayName="Table1436281284296308344" ref="O93:T115" totalsRowShown="0" headerRowDxfId="1343" dataDxfId="1342">
  <autoFilter ref="O93:T115" xr:uid="{1EDE2E44-F08A-4519-8977-1D0FDB409CB3}"/>
  <tableColumns count="6">
    <tableColumn id="1" xr3:uid="{5427361A-0803-4522-B23D-1E4F3C9AE3DF}" name="MongoDB" dataDxfId="1341"/>
    <tableColumn id="2" xr3:uid="{A24FFEEF-100E-4DE4-B0F7-383510138255}" name="Registos: 1 000 000" dataDxfId="1340"/>
    <tableColumn id="3" xr3:uid="{C1802E61-FCF1-4599-A098-D72D04EE34A3}" name="Teste 1" dataDxfId="1339"/>
    <tableColumn id="4" xr3:uid="{A660895A-05B7-4209-A9DF-3E67BB5AEA4C}" name="Teste 2" dataDxfId="1338"/>
    <tableColumn id="5" xr3:uid="{90EB2C23-3511-4433-960A-89C9FDE1E8C0}" name="Teste 3" dataDxfId="1337"/>
    <tableColumn id="6" xr3:uid="{B9E4F079-80AA-4D9E-B9DE-09FE2964D790}" name="Média" dataDxfId="1336">
      <calculatedColumnFormula>AVERAGE(Table1436281284296308344[[#This Row],[Teste 1]:[Teste 3]])</calculatedColumnFormula>
    </tableColumn>
  </tableColumns>
  <tableStyleInfo name="TableStyleLight1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64F3EAE6-444F-4283-85DC-71245F5D333A}" name="Table1436281282285297309345" displayName="Table1436281282285297309345" ref="O121:T143" totalsRowShown="0" headerRowDxfId="1335" dataDxfId="1334">
  <autoFilter ref="O121:T143" xr:uid="{64F3EAE6-444F-4283-85DC-71245F5D333A}"/>
  <tableColumns count="6">
    <tableColumn id="1" xr3:uid="{A79E8853-E5F5-42B9-88A6-66E8D17E4708}" name="MongoDB" dataDxfId="1333"/>
    <tableColumn id="2" xr3:uid="{D060BDE4-FBC5-4DA7-90E5-BEA639D7CDEE}" name="Registos: 1 000 000" dataDxfId="1332"/>
    <tableColumn id="3" xr3:uid="{59FE53A3-808D-4164-98AC-D9DF04C579F8}" name="Teste 1" dataDxfId="1331"/>
    <tableColumn id="4" xr3:uid="{0915F7D6-7802-4EF0-89CB-F5B9DD723D24}" name="Teste 2" dataDxfId="1330"/>
    <tableColumn id="5" xr3:uid="{59A54CD1-CCB4-4275-8857-2546E7415625}" name="Teste 3" dataDxfId="1329"/>
    <tableColumn id="6" xr3:uid="{14AD4AFD-B381-4A7E-AB75-356C4C361754}" name="Média" dataDxfId="1328">
      <calculatedColumnFormula>AVERAGE(Table1436281282285297309345[[#This Row],[Teste 1]:[Teste 3]])</calculatedColumnFormula>
    </tableColumn>
  </tableColumns>
  <tableStyleInfo name="TableStyleLight15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C1A78ED9-02E1-44B4-BE2A-4AA2B3909EAE}" name="Table1436281283286298310346" displayName="Table1436281283286298310346" ref="O149:T171" totalsRowShown="0" headerRowDxfId="1327" dataDxfId="1326">
  <autoFilter ref="O149:T171" xr:uid="{C1A78ED9-02E1-44B4-BE2A-4AA2B3909EAE}"/>
  <tableColumns count="6">
    <tableColumn id="1" xr3:uid="{0B99EB14-0816-462F-8559-0630395D1454}" name="MongoDB" dataDxfId="1325"/>
    <tableColumn id="2" xr3:uid="{2DC02139-2AE1-489A-9C20-8DA5866AE5B3}" name="Registos: 1 000 000" dataDxfId="1324"/>
    <tableColumn id="3" xr3:uid="{AB295434-D061-4D09-8B3E-EA4A0710C4DD}" name="Teste 1" dataDxfId="1323"/>
    <tableColumn id="4" xr3:uid="{5256B32D-D6D6-4D84-8C30-633A43BE2224}" name="Teste 2" dataDxfId="1322"/>
    <tableColumn id="5" xr3:uid="{A35E5B9E-9082-4C02-8BD6-37609A4A6638}" name="Teste 3" dataDxfId="1321"/>
    <tableColumn id="6" xr3:uid="{ED8D8EC3-9CD2-42B1-9ADF-BA4D5ABBFEF7}" name="Média" dataDxfId="1320">
      <calculatedColumnFormula>AVERAGE(Table1436281283286298310346[[#This Row],[Teste 1]:[Teste 3]])</calculatedColumnFormula>
    </tableColumn>
  </tableColumns>
  <tableStyleInfo name="TableStyleLight1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7F3DBA9D-C4C6-47B6-BE4C-58D5ADFB73B1}" name="Table1436281287299311347" displayName="Table1436281287299311347" ref="O179:T201" totalsRowShown="0" headerRowDxfId="1319" dataDxfId="1318">
  <autoFilter ref="O179:T201" xr:uid="{7F3DBA9D-C4C6-47B6-BE4C-58D5ADFB73B1}"/>
  <tableColumns count="6">
    <tableColumn id="1" xr3:uid="{605179E9-30B9-4AAF-94B5-81FF0EB08CBF}" name="MongoDB" dataDxfId="1317"/>
    <tableColumn id="2" xr3:uid="{99CEC62A-B5EB-45CF-B759-FBC1E9B87B76}" name="Registos: 10 000 000" dataDxfId="1316"/>
    <tableColumn id="3" xr3:uid="{055DC271-9E04-4729-8763-34CBC20BE3C3}" name="Teste 1" dataDxfId="1315"/>
    <tableColumn id="4" xr3:uid="{24F32736-D1AC-4133-A6B8-14BEF1E245A3}" name="Teste 2" dataDxfId="1314"/>
    <tableColumn id="5" xr3:uid="{081FE028-B591-4BDB-B836-7E0BEE834530}" name="Teste 3" dataDxfId="1313"/>
    <tableColumn id="6" xr3:uid="{15FE5834-35F0-4916-8FA1-3DBC30B4B87C}" name="Média" dataDxfId="1312">
      <calculatedColumnFormula>AVERAGE(Table1436281287299311347[[#This Row],[Teste 1]:[Teste 3]])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33E2BF-D8C8-44BC-B5FC-10F15E762222}" name="Table1671316" displayName="Table1671316" ref="A156:F171" totalsRowShown="0" headerRowDxfId="1887" dataDxfId="1886">
  <autoFilter ref="A156:F171" xr:uid="{0133E2BF-D8C8-44BC-B5FC-10F15E762222}"/>
  <tableColumns count="6">
    <tableColumn id="1" xr3:uid="{9D52B68A-2F63-4B8D-81BD-731C02A8D71B}" name="Couchbase" dataDxfId="1885"/>
    <tableColumn id="2" xr3:uid="{902587DD-2346-4AF5-A282-D197459DFFA4}" name="Registos: 10 000 000 " dataDxfId="1884"/>
    <tableColumn id="3" xr3:uid="{4C10D009-AFF6-4019-8C2F-55DF463EEEC1}" name="Teste 1" dataDxfId="1883"/>
    <tableColumn id="4" xr3:uid="{092EAD7B-928C-422F-B130-5F8288230E9B}" name="Teste 2" dataDxfId="1882"/>
    <tableColumn id="5" xr3:uid="{306BEA9E-7E28-4B65-B388-0C0E20F8A5C0}" name="Teste 3" dataDxfId="1881"/>
    <tableColumn id="6" xr3:uid="{B40FBCAE-4332-46FE-8473-A03004298F19}" name="Média" dataDxfId="1880">
      <calculatedColumnFormula>AVERAGE(Table1671316[[#This Row],[Teste 1]:[Teste 3]])</calculatedColumnFormula>
    </tableColumn>
  </tableColumns>
  <tableStyleInfo name="TableStyleLight1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B4D7AEAE-81FD-4177-8955-BC78D2C464EF}" name="Table1436281282288300312348" displayName="Table1436281282288300312348" ref="O207:T229" totalsRowShown="0" headerRowDxfId="1311" dataDxfId="1310">
  <autoFilter ref="O207:T229" xr:uid="{B4D7AEAE-81FD-4177-8955-BC78D2C464EF}"/>
  <tableColumns count="6">
    <tableColumn id="1" xr3:uid="{E42909CB-F7DA-458E-B4C8-47801F15F25A}" name="MongoDB" dataDxfId="1309"/>
    <tableColumn id="2" xr3:uid="{FBE171F8-1FE6-464E-909C-F35017AE8A29}" name="Registos: 10 000 000" dataDxfId="1308"/>
    <tableColumn id="3" xr3:uid="{33BB6433-5EA9-4C9A-A21D-E9A948E52E56}" name="Teste 1" dataDxfId="1307"/>
    <tableColumn id="4" xr3:uid="{200FA811-37D4-49ED-8837-BFE115AAD7C7}" name="Teste 2" dataDxfId="1306"/>
    <tableColumn id="5" xr3:uid="{704BCF2D-77B6-4311-828A-BEE418D69635}" name="Teste 3" dataDxfId="1305"/>
    <tableColumn id="6" xr3:uid="{97FA195B-12EF-404B-9CAA-B1A214869D9D}" name="Média" dataDxfId="1304">
      <calculatedColumnFormula>AVERAGE(Table1436281282288300312348[[#This Row],[Teste 1]:[Teste 3]])</calculatedColumnFormula>
    </tableColumn>
  </tableColumns>
  <tableStyleInfo name="TableStyleLight15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B0BA7468-97DE-4982-A631-1E0E271D56D6}" name="Table1436281283289301313349" displayName="Table1436281283289301313349" ref="O235:T257" totalsRowShown="0" headerRowDxfId="1303" dataDxfId="1302">
  <autoFilter ref="O235:T257" xr:uid="{B0BA7468-97DE-4982-A631-1E0E271D56D6}"/>
  <tableColumns count="6">
    <tableColumn id="1" xr3:uid="{4E95220D-9785-4323-AB37-6AA7857DD7C6}" name="MongoDB" dataDxfId="1301"/>
    <tableColumn id="2" xr3:uid="{1C3F9234-D6E4-409B-9815-024456EC4717}" name="Registos: 10 000 000" dataDxfId="1300"/>
    <tableColumn id="3" xr3:uid="{712B1F09-5AA3-40D2-A281-479265263BE2}" name="Teste 1" dataDxfId="1299"/>
    <tableColumn id="4" xr3:uid="{5A984090-39EE-48DA-A381-8D799E39A0DD}" name="Teste 2" dataDxfId="1298"/>
    <tableColumn id="5" xr3:uid="{05D399A6-A943-4FDE-ADD4-6F59E9EC2EBD}" name="Teste 3" dataDxfId="1297"/>
    <tableColumn id="6" xr3:uid="{267399F9-2524-48BB-BEA5-962CF2CE8104}" name="Média" dataDxfId="1296">
      <calculatedColumnFormula>AVERAGE(Table1436281283289301313349[[#This Row],[Teste 1]:[Teste 3]])</calculatedColumnFormula>
    </tableColumn>
  </tableColumns>
  <tableStyleInfo name="TableStyleLight15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27D7604F-F992-4EC8-80F6-B5E4FF45E89E}" name="Table143690117" displayName="Table143690117" ref="A6:F21" totalsRowShown="0" headerRowDxfId="1295" dataDxfId="1294">
  <autoFilter ref="A6:F21" xr:uid="{27D7604F-F992-4EC8-80F6-B5E4FF45E89E}"/>
  <tableColumns count="6">
    <tableColumn id="1" xr3:uid="{E7316186-B8F0-422F-BA3D-FC78002AB8F1}" name="Couchbase" dataDxfId="1293"/>
    <tableColumn id="2" xr3:uid="{6B37749F-0369-4C8C-907F-EFF21390F7B4}" name="Registos: 100 000" dataDxfId="1292"/>
    <tableColumn id="3" xr3:uid="{5473FB19-01A5-4598-8B67-E199DDC43906}" name="Teste 1" dataDxfId="1291"/>
    <tableColumn id="4" xr3:uid="{18C6F2C6-8575-4FEF-96DE-4C14F8F301B9}" name="Teste 2" dataDxfId="1290"/>
    <tableColumn id="5" xr3:uid="{8FC19850-ACDE-4D54-935D-43AA5A981034}" name="Teste 3" dataDxfId="1289"/>
    <tableColumn id="6" xr3:uid="{3F9E361E-25BD-4E24-A9C0-E9A8564A7D0A}" name="Média" dataDxfId="1288">
      <calculatedColumnFormula>AVERAGE(Table143690117[[#This Row],[Teste 1]:[Teste 3]])</calculatedColumnFormula>
    </tableColumn>
  </tableColumns>
  <tableStyleInfo name="TableStyleLight15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A925F-305E-4968-BB79-8096B1C8BA53}" name="Table1436901172" displayName="Table1436901172" ref="A27:F42" totalsRowShown="0" headerRowDxfId="1287" dataDxfId="1286">
  <autoFilter ref="A27:F42" xr:uid="{6FEA925F-305E-4968-BB79-8096B1C8BA53}"/>
  <tableColumns count="6">
    <tableColumn id="1" xr3:uid="{CFFC0C0D-0054-427C-BC39-652726135524}" name="Couchbase" dataDxfId="1285"/>
    <tableColumn id="2" xr3:uid="{547E673B-590C-49B0-9CF1-27432B1C26A0}" name="Registos: 100 000" dataDxfId="1284"/>
    <tableColumn id="3" xr3:uid="{957B7A22-4629-4071-B64E-16744BC22245}" name="Teste 1" dataDxfId="1283"/>
    <tableColumn id="4" xr3:uid="{60352FA2-99C3-494E-8FFD-B65816B15730}" name="Teste 2" dataDxfId="1282"/>
    <tableColumn id="5" xr3:uid="{6FF174E8-881A-47B6-8CC9-B4DEB1119964}" name="Teste 3" dataDxfId="1281"/>
    <tableColumn id="6" xr3:uid="{B7033E26-FB17-43EA-8288-4B48A287F39A}" name="Média" dataDxfId="1280">
      <calculatedColumnFormula>AVERAGE(Table1436901172[[#This Row],[Teste 1]:[Teste 3]])</calculatedColumnFormula>
    </tableColumn>
  </tableColumns>
  <tableStyleInfo name="TableStyleLight1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1E969D-ABB3-41F9-8B5C-E69F37E79903}" name="Table1436901173" displayName="Table1436901173" ref="A48:F63" totalsRowShown="0" headerRowDxfId="1279" dataDxfId="1278">
  <autoFilter ref="A48:F63" xr:uid="{9F1E969D-ABB3-41F9-8B5C-E69F37E79903}"/>
  <tableColumns count="6">
    <tableColumn id="1" xr3:uid="{68A43D0A-F75E-4598-97A6-0E6994BBD3D1}" name="Couchbase" dataDxfId="1277"/>
    <tableColumn id="2" xr3:uid="{B0661E4F-4EB5-40C5-B455-6278A3DF0695}" name="Registos: 100 000" dataDxfId="1276"/>
    <tableColumn id="3" xr3:uid="{E3611F4D-D4B1-4202-91ED-72A5C77EC5E6}" name="Teste 1" dataDxfId="1275"/>
    <tableColumn id="4" xr3:uid="{B7AB2367-C185-42F6-ABEF-593D115FB2E6}" name="Teste 2" dataDxfId="1274"/>
    <tableColumn id="5" xr3:uid="{0E59D518-07F2-4EB8-8E04-34F321FCEB26}" name="Teste 3" dataDxfId="1273"/>
    <tableColumn id="6" xr3:uid="{69DE13F6-8340-4AEE-90E3-C9947CFEF552}" name="Média" dataDxfId="1272">
      <calculatedColumnFormula>AVERAGE(Table1436901173[[#This Row],[Teste 1]:[Teste 3]])</calculatedColumnFormula>
    </tableColumn>
  </tableColumns>
  <tableStyleInfo name="TableStyleLight15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345569-BD07-432F-B265-B1C186F7434E}" name="Table1436901174" displayName="Table1436901174" ref="A71:F86" totalsRowShown="0" headerRowDxfId="1271" dataDxfId="1270">
  <autoFilter ref="A71:F86" xr:uid="{89345569-BD07-432F-B265-B1C186F7434E}"/>
  <tableColumns count="6">
    <tableColumn id="1" xr3:uid="{659ABF43-9D5F-445A-B24D-C65922606F8F}" name="Couchbase" dataDxfId="1269"/>
    <tableColumn id="2" xr3:uid="{5F5F7F8A-7652-4546-8830-9C0DC1C5A092}" name="Registos: 1 000 000" dataDxfId="1268"/>
    <tableColumn id="3" xr3:uid="{94E515B1-CAF3-41EF-8827-1576C4ECA29C}" name="Teste 1" dataDxfId="1267"/>
    <tableColumn id="4" xr3:uid="{ABD8BF60-6016-44C4-981D-FD7A07E49443}" name="Teste 2" dataDxfId="1266"/>
    <tableColumn id="5" xr3:uid="{C255BC4D-3D4A-4F8A-AF7C-93687E167B71}" name="Teste 3" dataDxfId="1265"/>
    <tableColumn id="6" xr3:uid="{E8F99CFB-8F73-45E9-91C5-9647BE17B4BA}" name="Média" dataDxfId="1264">
      <calculatedColumnFormula>AVERAGE(Table1436901174[[#This Row],[Teste 1]:[Teste 3]])</calculatedColumnFormula>
    </tableColumn>
  </tableColumns>
  <tableStyleInfo name="TableStyleLight1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0F0D4C-C13D-4AB8-B73A-2F652B3ABBAE}" name="Table14369011725" displayName="Table14369011725" ref="A92:F107" totalsRowShown="0" headerRowDxfId="1263" dataDxfId="1262">
  <autoFilter ref="A92:F107" xr:uid="{3D0F0D4C-C13D-4AB8-B73A-2F652B3ABBAE}"/>
  <tableColumns count="6">
    <tableColumn id="1" xr3:uid="{5970F29E-98E2-4321-8EE0-6E401516815B}" name="Couchbase" dataDxfId="1261"/>
    <tableColumn id="2" xr3:uid="{9488A2CB-FFFA-4175-B6CE-727DAD81D48E}" name="Registos: 1 000 000" dataDxfId="1260"/>
    <tableColumn id="3" xr3:uid="{8D39688C-57AB-4EC9-A2EE-1C7940969647}" name="Teste 1" dataDxfId="1259"/>
    <tableColumn id="4" xr3:uid="{27255D74-4B90-45E6-B5A6-E5942B87B9BB}" name="Teste 2" dataDxfId="1258"/>
    <tableColumn id="5" xr3:uid="{181A58D1-D181-4F9D-8577-53EBFA3E3DAC}" name="Teste 3" dataDxfId="1257"/>
    <tableColumn id="6" xr3:uid="{51EF0E63-56BC-4539-A148-1AA23BAB5F40}" name="Média" dataDxfId="1256">
      <calculatedColumnFormula>AVERAGE(Table14369011725[[#This Row],[Teste 1]:[Teste 3]])</calculatedColumnFormula>
    </tableColumn>
  </tableColumns>
  <tableStyleInfo name="TableStyleLight15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FC111B-404C-48C4-AF8F-6A0737292EB8}" name="Table14369011738" displayName="Table14369011738" ref="A113:F128" totalsRowShown="0" headerRowDxfId="1255" dataDxfId="1254">
  <autoFilter ref="A113:F128" xr:uid="{B3FC111B-404C-48C4-AF8F-6A0737292EB8}"/>
  <tableColumns count="6">
    <tableColumn id="1" xr3:uid="{3A96DC98-96E7-4A4A-AC54-0130A8F81402}" name="Couchbase" dataDxfId="1253"/>
    <tableColumn id="2" xr3:uid="{A3AE01AC-D23E-4F9D-AB4D-EEB248614991}" name="Registos: 1 000 000" dataDxfId="1252"/>
    <tableColumn id="3" xr3:uid="{AACD98C2-F54D-4D4A-95FF-4097D06B1C8A}" name="Teste 1" dataDxfId="1251"/>
    <tableColumn id="4" xr3:uid="{0FFF5942-4FB3-491B-B2C8-7DE032512A1D}" name="Teste 2" dataDxfId="1250"/>
    <tableColumn id="5" xr3:uid="{4A2B33A3-EFF0-4256-A682-49FEBB237887}" name="Teste 3" dataDxfId="1249"/>
    <tableColumn id="6" xr3:uid="{11ACB1C9-5A6E-42DE-B40A-EA61D755CB9C}" name="Média" dataDxfId="1248">
      <calculatedColumnFormula>AVERAGE(Table14369011738[[#This Row],[Teste 1]:[Teste 3]])</calculatedColumnFormula>
    </tableColumn>
  </tableColumns>
  <tableStyleInfo name="TableStyleLight15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7D7667-BED4-4117-8C6E-55A10E687C4E}" name="Table1436901179" displayName="Table1436901179" ref="A136:F151" totalsRowShown="0" headerRowDxfId="1247" dataDxfId="1246">
  <autoFilter ref="A136:F151" xr:uid="{CD7D7667-BED4-4117-8C6E-55A10E687C4E}"/>
  <tableColumns count="6">
    <tableColumn id="1" xr3:uid="{4AA0521B-5A94-434D-9024-C6AFD1909A6D}" name="Couchbase" dataDxfId="1245"/>
    <tableColumn id="2" xr3:uid="{312442BF-A1C7-4F9F-9794-98FEDF5FD9DA}" name="Registos: 10 000 000" dataDxfId="1244"/>
    <tableColumn id="3" xr3:uid="{C4FE3F86-88CB-41FD-8D10-57157638FBDE}" name="Teste 1" dataDxfId="1243"/>
    <tableColumn id="4" xr3:uid="{A310320A-3951-43C2-A2DB-887B6303ADDE}" name="Teste 2" dataDxfId="1242"/>
    <tableColumn id="5" xr3:uid="{D72A6BC0-8B7E-4D21-8129-416BB8DF36A6}" name="Teste 3" dataDxfId="1241"/>
    <tableColumn id="6" xr3:uid="{7B57BCCC-61AA-4BA0-B0C4-30136F0C1579}" name="Média" dataDxfId="1240">
      <calculatedColumnFormula>AVERAGE(Table1436901179[[#This Row],[Teste 1]:[Teste 3]])</calculatedColumnFormula>
    </tableColumn>
  </tableColumns>
  <tableStyleInfo name="TableStyleLight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8D409-7BD8-46A6-828F-08BE88AE67FB}" name="Table143690117210" displayName="Table143690117210" ref="A157:F172" totalsRowShown="0" headerRowDxfId="1239" dataDxfId="1238">
  <autoFilter ref="A157:F172" xr:uid="{81A8D409-7BD8-46A6-828F-08BE88AE67FB}"/>
  <tableColumns count="6">
    <tableColumn id="1" xr3:uid="{F178830D-9A15-4573-8C49-82F2B96A0020}" name="Couchbase" dataDxfId="1237"/>
    <tableColumn id="2" xr3:uid="{634FC27A-6526-4E5B-BF00-CD35EE709205}" name="Registos: 10 000 000" dataDxfId="1236"/>
    <tableColumn id="3" xr3:uid="{8ED27163-8BDB-46E9-A5B2-4B9052E66EDF}" name="Teste 1" dataDxfId="1235"/>
    <tableColumn id="4" xr3:uid="{8E3E0A10-0F1F-480C-AE5D-A2DEE2A6D1BF}" name="Teste 2" dataDxfId="1234"/>
    <tableColumn id="5" xr3:uid="{75BE5404-4453-47EA-97E1-BB7CDB422E13}" name="Teste 3" dataDxfId="1233"/>
    <tableColumn id="6" xr3:uid="{4228D8BD-FB85-42B2-A09C-867B93AECD24}" name="Média" dataDxfId="1232">
      <calculatedColumnFormula>AVERAGE(Table143690117210[[#This Row],[Teste 1]:[Teste 3]])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B9D2AB28-E96C-4B51-8639-62C69F05EF8A}" name="Table167111464" displayName="Table167111464" ref="A177:F192" totalsRowShown="0" headerRowDxfId="1879" dataDxfId="1878">
  <autoFilter ref="A177:F192" xr:uid="{B9D2AB28-E96C-4B51-8639-62C69F05EF8A}"/>
  <tableColumns count="6">
    <tableColumn id="1" xr3:uid="{ECA972D2-C653-4606-AB80-321387D3A009}" name="Couchbase" dataDxfId="1877"/>
    <tableColumn id="2" xr3:uid="{28689E00-B459-492B-9214-4DFD809FBEF4}" name="Registos: 10 000 000 " dataDxfId="1876"/>
    <tableColumn id="3" xr3:uid="{2890588F-607D-4034-85B1-9384BEEE5F05}" name="Teste 1" dataDxfId="1875"/>
    <tableColumn id="4" xr3:uid="{79B6F3D4-8E4B-4D32-B195-87AC6F726CB2}" name="Teste 2" dataDxfId="1874"/>
    <tableColumn id="5" xr3:uid="{2C779784-9D3E-4D23-983E-5842F29D001D}" name="Teste 3" dataDxfId="1873"/>
    <tableColumn id="6" xr3:uid="{F3D6886E-30FB-4B3B-A4F3-EB40AEE3E3EE}" name="Média" dataDxfId="1872">
      <calculatedColumnFormula>AVERAGE(Table167111464[[#This Row],[Teste 1]:[Teste 3]])</calculatedColumnFormula>
    </tableColumn>
  </tableColumns>
  <tableStyleInfo name="TableStyleLight15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EDD4E4-4C79-4884-90D7-AFC3457658DB}" name="Table143690117317" displayName="Table143690117317" ref="A178:F193" totalsRowShown="0" headerRowDxfId="1231" dataDxfId="1230">
  <autoFilter ref="A178:F193" xr:uid="{90EDD4E4-4C79-4884-90D7-AFC3457658DB}"/>
  <tableColumns count="6">
    <tableColumn id="1" xr3:uid="{C789FE78-8C62-40ED-AB02-416AC3C0522A}" name="Couchbase" dataDxfId="1229"/>
    <tableColumn id="2" xr3:uid="{1E40A626-D959-4832-A4ED-8076BBBC2B4D}" name="Registos: 10 000 000" dataDxfId="1228"/>
    <tableColumn id="3" xr3:uid="{B21FB608-0736-4ACB-9767-5A63F307B8B9}" name="Teste 1" dataDxfId="1227"/>
    <tableColumn id="4" xr3:uid="{21D8867A-20C3-4764-9F08-64B5C0F2BC7C}" name="Teste 2" dataDxfId="1226"/>
    <tableColumn id="5" xr3:uid="{D0BDE0CD-DB9D-4384-AC83-563C3676E62C}" name="Teste 3" dataDxfId="1225"/>
    <tableColumn id="6" xr3:uid="{BD5A30D6-1F69-45F6-A3CC-67A350AAA2A8}" name="Média" dataDxfId="1224">
      <calculatedColumnFormula>AVERAGE(Table143690117317[[#This Row],[Teste 1]:[Teste 3]])</calculatedColumnFormula>
    </tableColumn>
  </tableColumns>
  <tableStyleInfo name="TableStyleLight15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12E0C70-0B33-41F2-8289-2511D6451591}" name="Table14369011721" displayName="Table14369011721" ref="H6:M21" totalsRowShown="0" headerRowDxfId="1223" dataDxfId="1222">
  <autoFilter ref="H6:M21" xr:uid="{912E0C70-0B33-41F2-8289-2511D6451591}"/>
  <tableColumns count="6">
    <tableColumn id="1" xr3:uid="{280C47AB-BD8E-43E9-AABD-DBE8BB0C99AE}" name="CouchDB" dataDxfId="1221"/>
    <tableColumn id="2" xr3:uid="{4C95429F-07FF-4101-9998-A2B479C14EC9}" name="Registos: 100 000" dataDxfId="1220"/>
    <tableColumn id="3" xr3:uid="{D6C6EF6E-49A4-45A5-9B39-870294E4FFAC}" name="Teste 1" dataDxfId="1219"/>
    <tableColumn id="4" xr3:uid="{8A754AA4-BC72-43F0-A0B9-3DDA611833EC}" name="Teste 2" dataDxfId="1218"/>
    <tableColumn id="5" xr3:uid="{3A49452B-68AF-4352-B96B-AD930E4954EA}" name="Teste 3" dataDxfId="1217"/>
    <tableColumn id="6" xr3:uid="{A21DB77E-8DF1-4A82-A069-643837664AE0}" name="Média" dataDxfId="1216">
      <calculatedColumnFormula>AVERAGE(Table14369011721[[#This Row],[Teste 1]:[Teste 3]])</calculatedColumnFormula>
    </tableColumn>
  </tableColumns>
  <tableStyleInfo name="TableStyleLight15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7CFCFF-E3DD-48A6-A735-024888F2CB18}" name="Table143690117222" displayName="Table143690117222" ref="H27:M42" totalsRowShown="0" headerRowDxfId="1215" dataDxfId="1214">
  <autoFilter ref="H27:M42" xr:uid="{0E7CFCFF-E3DD-48A6-A735-024888F2CB18}"/>
  <tableColumns count="6">
    <tableColumn id="1" xr3:uid="{F520A6B4-393A-4DEC-AC95-FB7711254B1A}" name="CouchDB" dataDxfId="1213"/>
    <tableColumn id="2" xr3:uid="{AB5C4D7D-9443-43DE-A75B-989718AE270B}" name="Registos: 100 000" dataDxfId="1212"/>
    <tableColumn id="3" xr3:uid="{A1987777-DAF6-43FB-8185-DC3F0263F086}" name="Teste 1" dataDxfId="1211"/>
    <tableColumn id="4" xr3:uid="{96198629-776A-4E5C-85B1-76050B33C1C9}" name="Teste 2" dataDxfId="1210"/>
    <tableColumn id="5" xr3:uid="{858A8C17-8460-4CE1-9A4A-CCDCA53C42F9}" name="Teste 3" dataDxfId="1209"/>
    <tableColumn id="6" xr3:uid="{83C784FF-4A36-43DD-9EAB-5D78376EE6EE}" name="Média" dataDxfId="1208">
      <calculatedColumnFormula>AVERAGE(Table143690117222[[#This Row],[Teste 1]:[Teste 3]])</calculatedColumnFormula>
    </tableColumn>
  </tableColumns>
  <tableStyleInfo name="TableStyleLight15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4A048B5-8E88-4556-9F2F-F9A5BFD8AFBC}" name="Table143690117323" displayName="Table143690117323" ref="H48:M63" totalsRowShown="0" headerRowDxfId="1207" dataDxfId="1206">
  <autoFilter ref="H48:M63" xr:uid="{D4A048B5-8E88-4556-9F2F-F9A5BFD8AFBC}"/>
  <tableColumns count="6">
    <tableColumn id="1" xr3:uid="{AF64651F-FF67-4B56-B0C2-FCD08729C7EE}" name="CouchDB" dataDxfId="1205"/>
    <tableColumn id="2" xr3:uid="{E90EB4A9-8658-4E7B-9197-45C734CA1EC1}" name="Registos: 100 000" dataDxfId="1204"/>
    <tableColumn id="3" xr3:uid="{035A97E4-EAE7-467F-B5DA-C3AA437D798C}" name="Teste 1" dataDxfId="1203"/>
    <tableColumn id="4" xr3:uid="{1A1A15D9-961A-412A-9680-C556CA96172E}" name="Teste 2" dataDxfId="1202"/>
    <tableColumn id="5" xr3:uid="{EA7434AB-7A5F-4A9A-9575-133758EC19BC}" name="Teste 3" dataDxfId="1201"/>
    <tableColumn id="6" xr3:uid="{1E019050-7A52-4043-B46A-A16098E67BC6}" name="Média" dataDxfId="1200">
      <calculatedColumnFormula>AVERAGE(Table143690117323[[#This Row],[Teste 1]:[Teste 3]])</calculatedColumnFormula>
    </tableColumn>
  </tableColumns>
  <tableStyleInfo name="TableStyleLight1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D4D3A35-986A-46FD-9FE9-70054C1A6364}" name="Table143690117424" displayName="Table143690117424" ref="H71:M86" totalsRowShown="0" headerRowDxfId="1199" dataDxfId="1198">
  <autoFilter ref="H71:M86" xr:uid="{6D4D3A35-986A-46FD-9FE9-70054C1A6364}"/>
  <tableColumns count="6">
    <tableColumn id="1" xr3:uid="{392B31CE-2313-4083-90A5-2B9D26F61682}" name="CouchDB" dataDxfId="1197"/>
    <tableColumn id="2" xr3:uid="{7727ECAC-2E8D-410D-A59C-30CCAD121726}" name="Registos: 1 000 000" dataDxfId="1196"/>
    <tableColumn id="3" xr3:uid="{5F77A3E8-42BD-4E29-A556-9C1A3AFCDA5C}" name="Teste 1" dataDxfId="1195"/>
    <tableColumn id="4" xr3:uid="{49BED963-C9FD-43B6-9650-CCBA91B31FE0}" name="Teste 2" dataDxfId="1194"/>
    <tableColumn id="5" xr3:uid="{EF96EE37-D0AF-451B-9872-4C186957EF9B}" name="Teste 3" dataDxfId="1193"/>
    <tableColumn id="6" xr3:uid="{A6F1D1EC-BB44-4EB3-B8B8-B2426C95701D}" name="Média" dataDxfId="1192">
      <calculatedColumnFormula>AVERAGE(Table143690117424[[#This Row],[Teste 1]:[Teste 3]])</calculatedColumnFormula>
    </tableColumn>
  </tableColumns>
  <tableStyleInfo name="TableStyleLight15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6D38CC6-FE5B-463B-8912-570C9DEE08CC}" name="Table1436901172525" displayName="Table1436901172525" ref="H92:M107" totalsRowShown="0" headerRowDxfId="1191" dataDxfId="1190">
  <autoFilter ref="H92:M107" xr:uid="{76D38CC6-FE5B-463B-8912-570C9DEE08CC}"/>
  <tableColumns count="6">
    <tableColumn id="1" xr3:uid="{90579947-F8DD-40D7-88A3-DAFBAD7CBE23}" name="CouchDB" dataDxfId="1189"/>
    <tableColumn id="2" xr3:uid="{780D65A1-836C-48FE-AFF0-D295326AFE64}" name="Registos: 1 000 000" dataDxfId="1188"/>
    <tableColumn id="3" xr3:uid="{6F837757-2A68-46DB-8B70-086A0E36911F}" name="Teste 1" dataDxfId="1187"/>
    <tableColumn id="4" xr3:uid="{2E63BDFC-44CA-4538-9A32-449DB75861B7}" name="Teste 2" dataDxfId="1186"/>
    <tableColumn id="5" xr3:uid="{5C7C93C5-12A0-4D6E-A908-E29673DC227F}" name="Teste 3" dataDxfId="1185"/>
    <tableColumn id="6" xr3:uid="{28559384-9FCF-4AE7-8BA5-E0261B3B8A34}" name="Média" dataDxfId="1184">
      <calculatedColumnFormula>AVERAGE(Table1436901172525[[#This Row],[Teste 1]:[Teste 3]])</calculatedColumnFormula>
    </tableColumn>
  </tableColumns>
  <tableStyleInfo name="TableStyleLight15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34A1AC8-3008-436D-9AC5-4DDB977C0DF2}" name="Table1436901173826" displayName="Table1436901173826" ref="H113:M128" totalsRowShown="0" headerRowDxfId="1183" dataDxfId="1182">
  <autoFilter ref="H113:M128" xr:uid="{E34A1AC8-3008-436D-9AC5-4DDB977C0DF2}"/>
  <tableColumns count="6">
    <tableColumn id="1" xr3:uid="{64A5F835-C5C1-44A5-A875-82804D9966D6}" name="CouchDB" dataDxfId="1181"/>
    <tableColumn id="2" xr3:uid="{94364C26-46B8-42EA-8672-DE9FEA44263E}" name="Registos: 1 000 000" dataDxfId="1180"/>
    <tableColumn id="3" xr3:uid="{7BAD438F-32DC-43FA-AB22-1523D2AF6F03}" name="Teste 1" dataDxfId="1179"/>
    <tableColumn id="4" xr3:uid="{07656480-0557-4B4E-889F-922A10F516A4}" name="Teste 2" dataDxfId="1178"/>
    <tableColumn id="5" xr3:uid="{694A851A-4D9E-44F7-9213-8FBB94729B49}" name="Teste 3" dataDxfId="1177"/>
    <tableColumn id="6" xr3:uid="{EBA9A485-3605-4444-8B84-ABDB64E22CFD}" name="Média" dataDxfId="1176">
      <calculatedColumnFormula>AVERAGE(Table1436901173826[[#This Row],[Teste 1]:[Teste 3]])</calculatedColumnFormula>
    </tableColumn>
  </tableColumns>
  <tableStyleInfo name="TableStyleLight15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3C68E57-9F84-4482-9ECA-C8E498EFA5B5}" name="Table143690117927" displayName="Table143690117927" ref="H136:M151" totalsRowShown="0" headerRowDxfId="1175" dataDxfId="1174">
  <autoFilter ref="H136:M151" xr:uid="{23C68E57-9F84-4482-9ECA-C8E498EFA5B5}"/>
  <tableColumns count="6">
    <tableColumn id="1" xr3:uid="{AADB3208-0678-4916-932F-6A02E2E0C4A8}" name="CouchDB" dataDxfId="1173"/>
    <tableColumn id="2" xr3:uid="{A04104D6-2662-43E4-9E72-BEB715DA3968}" name="Registos: 10 000 000" dataDxfId="1172"/>
    <tableColumn id="3" xr3:uid="{1A22EEB0-CCD0-4EAF-A889-A12166A07A87}" name="Teste 1" dataDxfId="1171"/>
    <tableColumn id="4" xr3:uid="{75F55336-C4DE-41B9-BE4D-3E8BBC41086E}" name="Teste 2" dataDxfId="1170"/>
    <tableColumn id="5" xr3:uid="{63ABC929-94F6-4972-968E-3418AB55028B}" name="Teste 3" dataDxfId="1169"/>
    <tableColumn id="6" xr3:uid="{41BB051B-4F56-4A32-85E8-94BE802F7D42}" name="Média" dataDxfId="1168">
      <calculatedColumnFormula>AVERAGE(Table143690117927[[#This Row],[Teste 1]:[Teste 3]])</calculatedColumnFormula>
    </tableColumn>
  </tableColumns>
  <tableStyleInfo name="TableStyleLight15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42EC2BD-E812-4C94-9407-1B2B42C09B97}" name="Table14369011721028" displayName="Table14369011721028" ref="H157:M172" totalsRowShown="0" headerRowDxfId="1167" dataDxfId="1166">
  <autoFilter ref="H157:M172" xr:uid="{342EC2BD-E812-4C94-9407-1B2B42C09B97}"/>
  <tableColumns count="6">
    <tableColumn id="1" xr3:uid="{877B7B60-9DF0-4D01-9992-B3FD8FFD31E6}" name="CouchDB" dataDxfId="1165"/>
    <tableColumn id="2" xr3:uid="{BDE87A75-FE00-4BA3-9C07-AB8B9006EA30}" name="Registos: 10 000 000" dataDxfId="1164"/>
    <tableColumn id="3" xr3:uid="{282E9EC2-67A3-4828-83E9-125665AE93B5}" name="Teste 1" dataDxfId="1163"/>
    <tableColumn id="4" xr3:uid="{2DF40E3F-97BF-438A-A534-8CB6337D2096}" name="Teste 2" dataDxfId="1162"/>
    <tableColumn id="5" xr3:uid="{4334987E-CA39-4F6B-A895-12842378D4D4}" name="Teste 3" dataDxfId="1161"/>
    <tableColumn id="6" xr3:uid="{41E1CA5B-C1DF-415C-8730-A33278ED4A7A}" name="Média" dataDxfId="1160">
      <calculatedColumnFormula>AVERAGE(Table14369011721028[[#This Row],[Teste 1]:[Teste 3]])</calculatedColumnFormula>
    </tableColumn>
  </tableColumns>
  <tableStyleInfo name="TableStyleLight1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A1AF4A5-789D-4494-B1EF-839E2C652144}" name="Table14369011731729" displayName="Table14369011731729" ref="H178:M193" totalsRowShown="0" headerRowDxfId="1159" dataDxfId="1158">
  <autoFilter ref="H178:M193" xr:uid="{EA1AF4A5-789D-4494-B1EF-839E2C652144}"/>
  <tableColumns count="6">
    <tableColumn id="1" xr3:uid="{D0382D79-B174-4FA2-9DEE-4E98FEF13D76}" name="CouchDB" dataDxfId="1157"/>
    <tableColumn id="2" xr3:uid="{A6804464-0105-4F9F-A1DD-57AAA98A2462}" name="Registos: 10 000 000" dataDxfId="1156"/>
    <tableColumn id="3" xr3:uid="{4A6606BC-42FA-456D-85E3-60FE895F12E1}" name="Teste 1" dataDxfId="1155"/>
    <tableColumn id="4" xr3:uid="{F4D1E354-F77B-4926-8058-E4B445EE8A4E}" name="Teste 2" dataDxfId="1154"/>
    <tableColumn id="5" xr3:uid="{F9F40F22-9CD0-48FE-AF72-89DBB7334591}" name="Teste 3" dataDxfId="1153"/>
    <tableColumn id="6" xr3:uid="{ECEEDB73-529A-41A8-9525-B20145F94639}" name="Média" dataDxfId="1152">
      <calculatedColumnFormula>AVERAGE(Table14369011731729[[#This Row],[Teste 1]:[Teste 3]])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3.xml"/><Relationship Id="rId13" Type="http://schemas.openxmlformats.org/officeDocument/2006/relationships/table" Target="../tables/table228.xml"/><Relationship Id="rId18" Type="http://schemas.openxmlformats.org/officeDocument/2006/relationships/table" Target="../tables/table233.xml"/><Relationship Id="rId26" Type="http://schemas.openxmlformats.org/officeDocument/2006/relationships/table" Target="../tables/table241.xml"/><Relationship Id="rId3" Type="http://schemas.openxmlformats.org/officeDocument/2006/relationships/table" Target="../tables/table218.xml"/><Relationship Id="rId21" Type="http://schemas.openxmlformats.org/officeDocument/2006/relationships/table" Target="../tables/table236.xml"/><Relationship Id="rId7" Type="http://schemas.openxmlformats.org/officeDocument/2006/relationships/table" Target="../tables/table222.xml"/><Relationship Id="rId12" Type="http://schemas.openxmlformats.org/officeDocument/2006/relationships/table" Target="../tables/table227.xml"/><Relationship Id="rId17" Type="http://schemas.openxmlformats.org/officeDocument/2006/relationships/table" Target="../tables/table232.xml"/><Relationship Id="rId25" Type="http://schemas.openxmlformats.org/officeDocument/2006/relationships/table" Target="../tables/table240.xml"/><Relationship Id="rId2" Type="http://schemas.openxmlformats.org/officeDocument/2006/relationships/table" Target="../tables/table217.xml"/><Relationship Id="rId16" Type="http://schemas.openxmlformats.org/officeDocument/2006/relationships/table" Target="../tables/table231.xml"/><Relationship Id="rId20" Type="http://schemas.openxmlformats.org/officeDocument/2006/relationships/table" Target="../tables/table235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21.xml"/><Relationship Id="rId11" Type="http://schemas.openxmlformats.org/officeDocument/2006/relationships/table" Target="../tables/table226.xml"/><Relationship Id="rId24" Type="http://schemas.openxmlformats.org/officeDocument/2006/relationships/table" Target="../tables/table239.xml"/><Relationship Id="rId5" Type="http://schemas.openxmlformats.org/officeDocument/2006/relationships/table" Target="../tables/table220.xml"/><Relationship Id="rId15" Type="http://schemas.openxmlformats.org/officeDocument/2006/relationships/table" Target="../tables/table230.xml"/><Relationship Id="rId23" Type="http://schemas.openxmlformats.org/officeDocument/2006/relationships/table" Target="../tables/table238.xml"/><Relationship Id="rId28" Type="http://schemas.openxmlformats.org/officeDocument/2006/relationships/table" Target="../tables/table243.xml"/><Relationship Id="rId10" Type="http://schemas.openxmlformats.org/officeDocument/2006/relationships/table" Target="../tables/table225.xml"/><Relationship Id="rId19" Type="http://schemas.openxmlformats.org/officeDocument/2006/relationships/table" Target="../tables/table234.xml"/><Relationship Id="rId4" Type="http://schemas.openxmlformats.org/officeDocument/2006/relationships/table" Target="../tables/table219.xml"/><Relationship Id="rId9" Type="http://schemas.openxmlformats.org/officeDocument/2006/relationships/table" Target="../tables/table224.xml"/><Relationship Id="rId14" Type="http://schemas.openxmlformats.org/officeDocument/2006/relationships/table" Target="../tables/table229.xml"/><Relationship Id="rId22" Type="http://schemas.openxmlformats.org/officeDocument/2006/relationships/table" Target="../tables/table237.xml"/><Relationship Id="rId27" Type="http://schemas.openxmlformats.org/officeDocument/2006/relationships/table" Target="../tables/table2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.xml"/><Relationship Id="rId13" Type="http://schemas.openxmlformats.org/officeDocument/2006/relationships/table" Target="../tables/table40.xml"/><Relationship Id="rId18" Type="http://schemas.openxmlformats.org/officeDocument/2006/relationships/table" Target="../tables/table45.xml"/><Relationship Id="rId26" Type="http://schemas.openxmlformats.org/officeDocument/2006/relationships/table" Target="../tables/table53.xml"/><Relationship Id="rId3" Type="http://schemas.openxmlformats.org/officeDocument/2006/relationships/table" Target="../tables/table30.xml"/><Relationship Id="rId21" Type="http://schemas.openxmlformats.org/officeDocument/2006/relationships/table" Target="../tables/table48.xml"/><Relationship Id="rId7" Type="http://schemas.openxmlformats.org/officeDocument/2006/relationships/table" Target="../tables/table34.xml"/><Relationship Id="rId12" Type="http://schemas.openxmlformats.org/officeDocument/2006/relationships/table" Target="../tables/table39.xml"/><Relationship Id="rId17" Type="http://schemas.openxmlformats.org/officeDocument/2006/relationships/table" Target="../tables/table44.xml"/><Relationship Id="rId25" Type="http://schemas.openxmlformats.org/officeDocument/2006/relationships/table" Target="../tables/table52.xml"/><Relationship Id="rId2" Type="http://schemas.openxmlformats.org/officeDocument/2006/relationships/table" Target="../tables/table29.xml"/><Relationship Id="rId16" Type="http://schemas.openxmlformats.org/officeDocument/2006/relationships/table" Target="../tables/table43.xml"/><Relationship Id="rId20" Type="http://schemas.openxmlformats.org/officeDocument/2006/relationships/table" Target="../tables/table47.xml"/><Relationship Id="rId1" Type="http://schemas.openxmlformats.org/officeDocument/2006/relationships/table" Target="../tables/table28.xml"/><Relationship Id="rId6" Type="http://schemas.openxmlformats.org/officeDocument/2006/relationships/table" Target="../tables/table33.xml"/><Relationship Id="rId11" Type="http://schemas.openxmlformats.org/officeDocument/2006/relationships/table" Target="../tables/table38.xml"/><Relationship Id="rId24" Type="http://schemas.openxmlformats.org/officeDocument/2006/relationships/table" Target="../tables/table51.xml"/><Relationship Id="rId5" Type="http://schemas.openxmlformats.org/officeDocument/2006/relationships/table" Target="../tables/table32.xml"/><Relationship Id="rId15" Type="http://schemas.openxmlformats.org/officeDocument/2006/relationships/table" Target="../tables/table42.xml"/><Relationship Id="rId23" Type="http://schemas.openxmlformats.org/officeDocument/2006/relationships/table" Target="../tables/table50.xml"/><Relationship Id="rId10" Type="http://schemas.openxmlformats.org/officeDocument/2006/relationships/table" Target="../tables/table37.xml"/><Relationship Id="rId19" Type="http://schemas.openxmlformats.org/officeDocument/2006/relationships/table" Target="../tables/table46.xml"/><Relationship Id="rId4" Type="http://schemas.openxmlformats.org/officeDocument/2006/relationships/table" Target="../tables/table31.xml"/><Relationship Id="rId9" Type="http://schemas.openxmlformats.org/officeDocument/2006/relationships/table" Target="../tables/table36.xml"/><Relationship Id="rId14" Type="http://schemas.openxmlformats.org/officeDocument/2006/relationships/table" Target="../tables/table41.xml"/><Relationship Id="rId22" Type="http://schemas.openxmlformats.org/officeDocument/2006/relationships/table" Target="../tables/table49.xml"/><Relationship Id="rId27" Type="http://schemas.openxmlformats.org/officeDocument/2006/relationships/table" Target="../tables/table5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1.xml"/><Relationship Id="rId13" Type="http://schemas.openxmlformats.org/officeDocument/2006/relationships/table" Target="../tables/table66.xml"/><Relationship Id="rId18" Type="http://schemas.openxmlformats.org/officeDocument/2006/relationships/table" Target="../tables/table71.xml"/><Relationship Id="rId26" Type="http://schemas.openxmlformats.org/officeDocument/2006/relationships/table" Target="../tables/table79.xml"/><Relationship Id="rId3" Type="http://schemas.openxmlformats.org/officeDocument/2006/relationships/table" Target="../tables/table56.xml"/><Relationship Id="rId21" Type="http://schemas.openxmlformats.org/officeDocument/2006/relationships/table" Target="../tables/table74.xml"/><Relationship Id="rId7" Type="http://schemas.openxmlformats.org/officeDocument/2006/relationships/table" Target="../tables/table60.xml"/><Relationship Id="rId12" Type="http://schemas.openxmlformats.org/officeDocument/2006/relationships/table" Target="../tables/table65.xml"/><Relationship Id="rId17" Type="http://schemas.openxmlformats.org/officeDocument/2006/relationships/table" Target="../tables/table70.xml"/><Relationship Id="rId25" Type="http://schemas.openxmlformats.org/officeDocument/2006/relationships/table" Target="../tables/table78.xml"/><Relationship Id="rId2" Type="http://schemas.openxmlformats.org/officeDocument/2006/relationships/table" Target="../tables/table55.xml"/><Relationship Id="rId16" Type="http://schemas.openxmlformats.org/officeDocument/2006/relationships/table" Target="../tables/table69.xml"/><Relationship Id="rId20" Type="http://schemas.openxmlformats.org/officeDocument/2006/relationships/table" Target="../tables/table7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9.xml"/><Relationship Id="rId11" Type="http://schemas.openxmlformats.org/officeDocument/2006/relationships/table" Target="../tables/table64.xml"/><Relationship Id="rId24" Type="http://schemas.openxmlformats.org/officeDocument/2006/relationships/table" Target="../tables/table77.xml"/><Relationship Id="rId5" Type="http://schemas.openxmlformats.org/officeDocument/2006/relationships/table" Target="../tables/table58.xml"/><Relationship Id="rId15" Type="http://schemas.openxmlformats.org/officeDocument/2006/relationships/table" Target="../tables/table68.xml"/><Relationship Id="rId23" Type="http://schemas.openxmlformats.org/officeDocument/2006/relationships/table" Target="../tables/table76.xml"/><Relationship Id="rId28" Type="http://schemas.openxmlformats.org/officeDocument/2006/relationships/table" Target="../tables/table81.xml"/><Relationship Id="rId10" Type="http://schemas.openxmlformats.org/officeDocument/2006/relationships/table" Target="../tables/table63.xml"/><Relationship Id="rId19" Type="http://schemas.openxmlformats.org/officeDocument/2006/relationships/table" Target="../tables/table72.xml"/><Relationship Id="rId4" Type="http://schemas.openxmlformats.org/officeDocument/2006/relationships/table" Target="../tables/table57.xml"/><Relationship Id="rId9" Type="http://schemas.openxmlformats.org/officeDocument/2006/relationships/table" Target="../tables/table62.xml"/><Relationship Id="rId14" Type="http://schemas.openxmlformats.org/officeDocument/2006/relationships/table" Target="../tables/table67.xml"/><Relationship Id="rId22" Type="http://schemas.openxmlformats.org/officeDocument/2006/relationships/table" Target="../tables/table75.xml"/><Relationship Id="rId27" Type="http://schemas.openxmlformats.org/officeDocument/2006/relationships/table" Target="../tables/table8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8.xml"/><Relationship Id="rId13" Type="http://schemas.openxmlformats.org/officeDocument/2006/relationships/table" Target="../tables/table93.xml"/><Relationship Id="rId18" Type="http://schemas.openxmlformats.org/officeDocument/2006/relationships/table" Target="../tables/table98.xml"/><Relationship Id="rId26" Type="http://schemas.openxmlformats.org/officeDocument/2006/relationships/table" Target="../tables/table106.xml"/><Relationship Id="rId3" Type="http://schemas.openxmlformats.org/officeDocument/2006/relationships/table" Target="../tables/table83.xml"/><Relationship Id="rId21" Type="http://schemas.openxmlformats.org/officeDocument/2006/relationships/table" Target="../tables/table101.xml"/><Relationship Id="rId7" Type="http://schemas.openxmlformats.org/officeDocument/2006/relationships/table" Target="../tables/table87.xml"/><Relationship Id="rId12" Type="http://schemas.openxmlformats.org/officeDocument/2006/relationships/table" Target="../tables/table92.xml"/><Relationship Id="rId17" Type="http://schemas.openxmlformats.org/officeDocument/2006/relationships/table" Target="../tables/table97.xml"/><Relationship Id="rId25" Type="http://schemas.openxmlformats.org/officeDocument/2006/relationships/table" Target="../tables/table105.xml"/><Relationship Id="rId2" Type="http://schemas.openxmlformats.org/officeDocument/2006/relationships/table" Target="../tables/table82.xml"/><Relationship Id="rId16" Type="http://schemas.openxmlformats.org/officeDocument/2006/relationships/table" Target="../tables/table96.xml"/><Relationship Id="rId20" Type="http://schemas.openxmlformats.org/officeDocument/2006/relationships/table" Target="../tables/table100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6.xml"/><Relationship Id="rId11" Type="http://schemas.openxmlformats.org/officeDocument/2006/relationships/table" Target="../tables/table91.xml"/><Relationship Id="rId24" Type="http://schemas.openxmlformats.org/officeDocument/2006/relationships/table" Target="../tables/table104.xml"/><Relationship Id="rId5" Type="http://schemas.openxmlformats.org/officeDocument/2006/relationships/table" Target="../tables/table85.xml"/><Relationship Id="rId15" Type="http://schemas.openxmlformats.org/officeDocument/2006/relationships/table" Target="../tables/table95.xml"/><Relationship Id="rId23" Type="http://schemas.openxmlformats.org/officeDocument/2006/relationships/table" Target="../tables/table103.xml"/><Relationship Id="rId28" Type="http://schemas.openxmlformats.org/officeDocument/2006/relationships/table" Target="../tables/table108.xml"/><Relationship Id="rId10" Type="http://schemas.openxmlformats.org/officeDocument/2006/relationships/table" Target="../tables/table90.xml"/><Relationship Id="rId19" Type="http://schemas.openxmlformats.org/officeDocument/2006/relationships/table" Target="../tables/table99.xml"/><Relationship Id="rId4" Type="http://schemas.openxmlformats.org/officeDocument/2006/relationships/table" Target="../tables/table84.xml"/><Relationship Id="rId9" Type="http://schemas.openxmlformats.org/officeDocument/2006/relationships/table" Target="../tables/table89.xml"/><Relationship Id="rId14" Type="http://schemas.openxmlformats.org/officeDocument/2006/relationships/table" Target="../tables/table94.xml"/><Relationship Id="rId22" Type="http://schemas.openxmlformats.org/officeDocument/2006/relationships/table" Target="../tables/table102.xml"/><Relationship Id="rId27" Type="http://schemas.openxmlformats.org/officeDocument/2006/relationships/table" Target="../tables/table10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5.xml"/><Relationship Id="rId13" Type="http://schemas.openxmlformats.org/officeDocument/2006/relationships/table" Target="../tables/table120.xml"/><Relationship Id="rId18" Type="http://schemas.openxmlformats.org/officeDocument/2006/relationships/table" Target="../tables/table125.xml"/><Relationship Id="rId26" Type="http://schemas.openxmlformats.org/officeDocument/2006/relationships/table" Target="../tables/table133.xml"/><Relationship Id="rId3" Type="http://schemas.openxmlformats.org/officeDocument/2006/relationships/table" Target="../tables/table110.xml"/><Relationship Id="rId21" Type="http://schemas.openxmlformats.org/officeDocument/2006/relationships/table" Target="../tables/table128.xml"/><Relationship Id="rId7" Type="http://schemas.openxmlformats.org/officeDocument/2006/relationships/table" Target="../tables/table114.xml"/><Relationship Id="rId12" Type="http://schemas.openxmlformats.org/officeDocument/2006/relationships/table" Target="../tables/table119.xml"/><Relationship Id="rId17" Type="http://schemas.openxmlformats.org/officeDocument/2006/relationships/table" Target="../tables/table124.xml"/><Relationship Id="rId25" Type="http://schemas.openxmlformats.org/officeDocument/2006/relationships/table" Target="../tables/table132.xml"/><Relationship Id="rId2" Type="http://schemas.openxmlformats.org/officeDocument/2006/relationships/table" Target="../tables/table109.xml"/><Relationship Id="rId16" Type="http://schemas.openxmlformats.org/officeDocument/2006/relationships/table" Target="../tables/table123.xml"/><Relationship Id="rId20" Type="http://schemas.openxmlformats.org/officeDocument/2006/relationships/table" Target="../tables/table12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3.xml"/><Relationship Id="rId11" Type="http://schemas.openxmlformats.org/officeDocument/2006/relationships/table" Target="../tables/table118.xml"/><Relationship Id="rId24" Type="http://schemas.openxmlformats.org/officeDocument/2006/relationships/table" Target="../tables/table131.xml"/><Relationship Id="rId5" Type="http://schemas.openxmlformats.org/officeDocument/2006/relationships/table" Target="../tables/table112.xml"/><Relationship Id="rId15" Type="http://schemas.openxmlformats.org/officeDocument/2006/relationships/table" Target="../tables/table122.xml"/><Relationship Id="rId23" Type="http://schemas.openxmlformats.org/officeDocument/2006/relationships/table" Target="../tables/table130.xml"/><Relationship Id="rId28" Type="http://schemas.openxmlformats.org/officeDocument/2006/relationships/table" Target="../tables/table135.xml"/><Relationship Id="rId10" Type="http://schemas.openxmlformats.org/officeDocument/2006/relationships/table" Target="../tables/table117.xml"/><Relationship Id="rId19" Type="http://schemas.openxmlformats.org/officeDocument/2006/relationships/table" Target="../tables/table126.xml"/><Relationship Id="rId4" Type="http://schemas.openxmlformats.org/officeDocument/2006/relationships/table" Target="../tables/table111.xml"/><Relationship Id="rId9" Type="http://schemas.openxmlformats.org/officeDocument/2006/relationships/table" Target="../tables/table116.xml"/><Relationship Id="rId14" Type="http://schemas.openxmlformats.org/officeDocument/2006/relationships/table" Target="../tables/table121.xml"/><Relationship Id="rId22" Type="http://schemas.openxmlformats.org/officeDocument/2006/relationships/table" Target="../tables/table129.xml"/><Relationship Id="rId27" Type="http://schemas.openxmlformats.org/officeDocument/2006/relationships/table" Target="../tables/table1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2.xml"/><Relationship Id="rId13" Type="http://schemas.openxmlformats.org/officeDocument/2006/relationships/table" Target="../tables/table147.xml"/><Relationship Id="rId18" Type="http://schemas.openxmlformats.org/officeDocument/2006/relationships/table" Target="../tables/table152.xml"/><Relationship Id="rId26" Type="http://schemas.openxmlformats.org/officeDocument/2006/relationships/table" Target="../tables/table160.xml"/><Relationship Id="rId3" Type="http://schemas.openxmlformats.org/officeDocument/2006/relationships/table" Target="../tables/table137.xml"/><Relationship Id="rId21" Type="http://schemas.openxmlformats.org/officeDocument/2006/relationships/table" Target="../tables/table155.xml"/><Relationship Id="rId7" Type="http://schemas.openxmlformats.org/officeDocument/2006/relationships/table" Target="../tables/table141.xml"/><Relationship Id="rId12" Type="http://schemas.openxmlformats.org/officeDocument/2006/relationships/table" Target="../tables/table146.xml"/><Relationship Id="rId17" Type="http://schemas.openxmlformats.org/officeDocument/2006/relationships/table" Target="../tables/table151.xml"/><Relationship Id="rId25" Type="http://schemas.openxmlformats.org/officeDocument/2006/relationships/table" Target="../tables/table159.xml"/><Relationship Id="rId2" Type="http://schemas.openxmlformats.org/officeDocument/2006/relationships/table" Target="../tables/table136.xml"/><Relationship Id="rId16" Type="http://schemas.openxmlformats.org/officeDocument/2006/relationships/table" Target="../tables/table150.xml"/><Relationship Id="rId20" Type="http://schemas.openxmlformats.org/officeDocument/2006/relationships/table" Target="../tables/table154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40.xml"/><Relationship Id="rId11" Type="http://schemas.openxmlformats.org/officeDocument/2006/relationships/table" Target="../tables/table145.xml"/><Relationship Id="rId24" Type="http://schemas.openxmlformats.org/officeDocument/2006/relationships/table" Target="../tables/table158.xml"/><Relationship Id="rId5" Type="http://schemas.openxmlformats.org/officeDocument/2006/relationships/table" Target="../tables/table139.xml"/><Relationship Id="rId15" Type="http://schemas.openxmlformats.org/officeDocument/2006/relationships/table" Target="../tables/table149.xml"/><Relationship Id="rId23" Type="http://schemas.openxmlformats.org/officeDocument/2006/relationships/table" Target="../tables/table157.xml"/><Relationship Id="rId28" Type="http://schemas.openxmlformats.org/officeDocument/2006/relationships/table" Target="../tables/table162.xml"/><Relationship Id="rId10" Type="http://schemas.openxmlformats.org/officeDocument/2006/relationships/table" Target="../tables/table144.xml"/><Relationship Id="rId19" Type="http://schemas.openxmlformats.org/officeDocument/2006/relationships/table" Target="../tables/table153.xml"/><Relationship Id="rId4" Type="http://schemas.openxmlformats.org/officeDocument/2006/relationships/table" Target="../tables/table138.xml"/><Relationship Id="rId9" Type="http://schemas.openxmlformats.org/officeDocument/2006/relationships/table" Target="../tables/table143.xml"/><Relationship Id="rId14" Type="http://schemas.openxmlformats.org/officeDocument/2006/relationships/table" Target="../tables/table148.xml"/><Relationship Id="rId22" Type="http://schemas.openxmlformats.org/officeDocument/2006/relationships/table" Target="../tables/table156.xml"/><Relationship Id="rId27" Type="http://schemas.openxmlformats.org/officeDocument/2006/relationships/table" Target="../tables/table16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9.xml"/><Relationship Id="rId13" Type="http://schemas.openxmlformats.org/officeDocument/2006/relationships/table" Target="../tables/table174.xml"/><Relationship Id="rId18" Type="http://schemas.openxmlformats.org/officeDocument/2006/relationships/table" Target="../tables/table179.xml"/><Relationship Id="rId26" Type="http://schemas.openxmlformats.org/officeDocument/2006/relationships/table" Target="../tables/table187.xml"/><Relationship Id="rId3" Type="http://schemas.openxmlformats.org/officeDocument/2006/relationships/table" Target="../tables/table164.xml"/><Relationship Id="rId21" Type="http://schemas.openxmlformats.org/officeDocument/2006/relationships/table" Target="../tables/table182.xml"/><Relationship Id="rId7" Type="http://schemas.openxmlformats.org/officeDocument/2006/relationships/table" Target="../tables/table168.xml"/><Relationship Id="rId12" Type="http://schemas.openxmlformats.org/officeDocument/2006/relationships/table" Target="../tables/table173.xml"/><Relationship Id="rId17" Type="http://schemas.openxmlformats.org/officeDocument/2006/relationships/table" Target="../tables/table178.xml"/><Relationship Id="rId25" Type="http://schemas.openxmlformats.org/officeDocument/2006/relationships/table" Target="../tables/table186.xml"/><Relationship Id="rId2" Type="http://schemas.openxmlformats.org/officeDocument/2006/relationships/table" Target="../tables/table163.xml"/><Relationship Id="rId16" Type="http://schemas.openxmlformats.org/officeDocument/2006/relationships/table" Target="../tables/table177.xml"/><Relationship Id="rId20" Type="http://schemas.openxmlformats.org/officeDocument/2006/relationships/table" Target="../tables/table18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7.xml"/><Relationship Id="rId11" Type="http://schemas.openxmlformats.org/officeDocument/2006/relationships/table" Target="../tables/table172.xml"/><Relationship Id="rId24" Type="http://schemas.openxmlformats.org/officeDocument/2006/relationships/table" Target="../tables/table185.xml"/><Relationship Id="rId5" Type="http://schemas.openxmlformats.org/officeDocument/2006/relationships/table" Target="../tables/table166.xml"/><Relationship Id="rId15" Type="http://schemas.openxmlformats.org/officeDocument/2006/relationships/table" Target="../tables/table176.xml"/><Relationship Id="rId23" Type="http://schemas.openxmlformats.org/officeDocument/2006/relationships/table" Target="../tables/table184.xml"/><Relationship Id="rId28" Type="http://schemas.openxmlformats.org/officeDocument/2006/relationships/table" Target="../tables/table189.xml"/><Relationship Id="rId10" Type="http://schemas.openxmlformats.org/officeDocument/2006/relationships/table" Target="../tables/table171.xml"/><Relationship Id="rId19" Type="http://schemas.openxmlformats.org/officeDocument/2006/relationships/table" Target="../tables/table180.xml"/><Relationship Id="rId4" Type="http://schemas.openxmlformats.org/officeDocument/2006/relationships/table" Target="../tables/table165.xml"/><Relationship Id="rId9" Type="http://schemas.openxmlformats.org/officeDocument/2006/relationships/table" Target="../tables/table170.xml"/><Relationship Id="rId14" Type="http://schemas.openxmlformats.org/officeDocument/2006/relationships/table" Target="../tables/table175.xml"/><Relationship Id="rId22" Type="http://schemas.openxmlformats.org/officeDocument/2006/relationships/table" Target="../tables/table183.xml"/><Relationship Id="rId27" Type="http://schemas.openxmlformats.org/officeDocument/2006/relationships/table" Target="../tables/table18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6.xml"/><Relationship Id="rId13" Type="http://schemas.openxmlformats.org/officeDocument/2006/relationships/table" Target="../tables/table201.xml"/><Relationship Id="rId18" Type="http://schemas.openxmlformats.org/officeDocument/2006/relationships/table" Target="../tables/table206.xml"/><Relationship Id="rId26" Type="http://schemas.openxmlformats.org/officeDocument/2006/relationships/table" Target="../tables/table214.xml"/><Relationship Id="rId3" Type="http://schemas.openxmlformats.org/officeDocument/2006/relationships/table" Target="../tables/table191.xml"/><Relationship Id="rId21" Type="http://schemas.openxmlformats.org/officeDocument/2006/relationships/table" Target="../tables/table209.xml"/><Relationship Id="rId7" Type="http://schemas.openxmlformats.org/officeDocument/2006/relationships/table" Target="../tables/table195.xml"/><Relationship Id="rId12" Type="http://schemas.openxmlformats.org/officeDocument/2006/relationships/table" Target="../tables/table200.xml"/><Relationship Id="rId17" Type="http://schemas.openxmlformats.org/officeDocument/2006/relationships/table" Target="../tables/table205.xml"/><Relationship Id="rId25" Type="http://schemas.openxmlformats.org/officeDocument/2006/relationships/table" Target="../tables/table213.xml"/><Relationship Id="rId2" Type="http://schemas.openxmlformats.org/officeDocument/2006/relationships/table" Target="../tables/table190.xml"/><Relationship Id="rId16" Type="http://schemas.openxmlformats.org/officeDocument/2006/relationships/table" Target="../tables/table204.xml"/><Relationship Id="rId20" Type="http://schemas.openxmlformats.org/officeDocument/2006/relationships/table" Target="../tables/table20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94.xml"/><Relationship Id="rId11" Type="http://schemas.openxmlformats.org/officeDocument/2006/relationships/table" Target="../tables/table199.xml"/><Relationship Id="rId24" Type="http://schemas.openxmlformats.org/officeDocument/2006/relationships/table" Target="../tables/table212.xml"/><Relationship Id="rId5" Type="http://schemas.openxmlformats.org/officeDocument/2006/relationships/table" Target="../tables/table193.xml"/><Relationship Id="rId15" Type="http://schemas.openxmlformats.org/officeDocument/2006/relationships/table" Target="../tables/table203.xml"/><Relationship Id="rId23" Type="http://schemas.openxmlformats.org/officeDocument/2006/relationships/table" Target="../tables/table211.xml"/><Relationship Id="rId28" Type="http://schemas.openxmlformats.org/officeDocument/2006/relationships/table" Target="../tables/table216.xml"/><Relationship Id="rId10" Type="http://schemas.openxmlformats.org/officeDocument/2006/relationships/table" Target="../tables/table198.xml"/><Relationship Id="rId19" Type="http://schemas.openxmlformats.org/officeDocument/2006/relationships/table" Target="../tables/table207.xml"/><Relationship Id="rId4" Type="http://schemas.openxmlformats.org/officeDocument/2006/relationships/table" Target="../tables/table192.xml"/><Relationship Id="rId9" Type="http://schemas.openxmlformats.org/officeDocument/2006/relationships/table" Target="../tables/table197.xml"/><Relationship Id="rId14" Type="http://schemas.openxmlformats.org/officeDocument/2006/relationships/table" Target="../tables/table202.xml"/><Relationship Id="rId22" Type="http://schemas.openxmlformats.org/officeDocument/2006/relationships/table" Target="../tables/table210.xml"/><Relationship Id="rId27" Type="http://schemas.openxmlformats.org/officeDocument/2006/relationships/table" Target="../tables/table2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B06F-6BFA-4445-9AA4-E78E66AAE565}">
  <dimension ref="C2:H37"/>
  <sheetViews>
    <sheetView zoomScale="90" zoomScaleNormal="90" workbookViewId="0">
      <selection activeCell="J10" sqref="J10"/>
    </sheetView>
  </sheetViews>
  <sheetFormatPr defaultRowHeight="15" x14ac:dyDescent="0.25"/>
  <cols>
    <col min="3" max="3" width="26.28515625" customWidth="1"/>
    <col min="4" max="4" width="22.28515625" customWidth="1"/>
    <col min="5" max="5" width="16.42578125" customWidth="1"/>
    <col min="6" max="6" width="15.7109375" customWidth="1"/>
    <col min="7" max="7" width="20" customWidth="1"/>
    <col min="8" max="8" width="34.5703125" customWidth="1"/>
    <col min="10" max="10" width="25" customWidth="1"/>
    <col min="11" max="11" width="23.7109375" customWidth="1"/>
    <col min="12" max="12" width="14.140625" customWidth="1"/>
    <col min="13" max="13" width="17.85546875" customWidth="1"/>
    <col min="14" max="14" width="18.5703125" customWidth="1"/>
    <col min="15" max="15" width="19.7109375" customWidth="1"/>
  </cols>
  <sheetData>
    <row r="2" spans="3:8" ht="18.75" x14ac:dyDescent="0.3">
      <c r="E2" s="1" t="s">
        <v>54</v>
      </c>
    </row>
    <row r="3" spans="3:8" ht="15.75" thickBot="1" x14ac:dyDescent="0.3"/>
    <row r="4" spans="3:8" ht="16.5" thickBot="1" x14ac:dyDescent="0.3">
      <c r="C4" s="9" t="s">
        <v>54</v>
      </c>
      <c r="D4" s="10" t="s">
        <v>4</v>
      </c>
      <c r="E4" s="10" t="s">
        <v>86</v>
      </c>
      <c r="F4" s="10" t="s">
        <v>87</v>
      </c>
      <c r="G4" s="10" t="s">
        <v>83</v>
      </c>
      <c r="H4" s="10" t="s">
        <v>88</v>
      </c>
    </row>
    <row r="5" spans="3:8" ht="15.75" customHeight="1" x14ac:dyDescent="0.25">
      <c r="C5" s="36" t="s">
        <v>29</v>
      </c>
      <c r="D5" s="4" t="s">
        <v>30</v>
      </c>
      <c r="E5" s="39" t="s">
        <v>32</v>
      </c>
      <c r="F5" s="4" t="s">
        <v>56</v>
      </c>
      <c r="G5" s="4">
        <v>1</v>
      </c>
      <c r="H5" s="4" t="s">
        <v>89</v>
      </c>
    </row>
    <row r="6" spans="3:8" ht="16.5" customHeight="1" x14ac:dyDescent="0.25">
      <c r="C6" s="37"/>
      <c r="D6" s="4" t="s">
        <v>31</v>
      </c>
      <c r="E6" s="40"/>
      <c r="F6" s="4" t="s">
        <v>57</v>
      </c>
      <c r="G6" s="4">
        <v>3</v>
      </c>
      <c r="H6" s="4" t="s">
        <v>90</v>
      </c>
    </row>
    <row r="7" spans="3:8" ht="17.25" customHeight="1" x14ac:dyDescent="0.25">
      <c r="C7" s="37"/>
      <c r="E7" s="40"/>
      <c r="F7" s="4" t="s">
        <v>78</v>
      </c>
      <c r="G7" s="4">
        <v>6</v>
      </c>
      <c r="H7" s="4" t="s">
        <v>84</v>
      </c>
    </row>
    <row r="8" spans="3:8" ht="0.75" customHeight="1" thickBot="1" x14ac:dyDescent="0.3">
      <c r="C8" s="38"/>
      <c r="D8" s="6"/>
      <c r="E8" s="41"/>
      <c r="F8" s="5"/>
      <c r="G8" s="12"/>
      <c r="H8" s="11"/>
    </row>
    <row r="9" spans="3:8" ht="15" customHeight="1" x14ac:dyDescent="0.25">
      <c r="C9" s="36" t="s">
        <v>33</v>
      </c>
      <c r="D9" s="4" t="s">
        <v>34</v>
      </c>
      <c r="E9" s="39" t="s">
        <v>32</v>
      </c>
      <c r="F9" s="4" t="s">
        <v>56</v>
      </c>
      <c r="G9" s="4">
        <v>1</v>
      </c>
      <c r="H9" s="4" t="s">
        <v>89</v>
      </c>
    </row>
    <row r="10" spans="3:8" ht="16.5" customHeight="1" x14ac:dyDescent="0.25">
      <c r="C10" s="37"/>
      <c r="D10" s="4" t="s">
        <v>35</v>
      </c>
      <c r="E10" s="40"/>
      <c r="F10" s="4" t="s">
        <v>57</v>
      </c>
      <c r="G10" s="4">
        <v>3</v>
      </c>
      <c r="H10" s="4" t="s">
        <v>90</v>
      </c>
    </row>
    <row r="11" spans="3:8" ht="15" customHeight="1" x14ac:dyDescent="0.25">
      <c r="C11" s="37"/>
      <c r="D11" s="4"/>
      <c r="E11" s="40"/>
      <c r="F11" s="4" t="s">
        <v>78</v>
      </c>
      <c r="G11" s="13">
        <v>6</v>
      </c>
      <c r="H11" s="4" t="s">
        <v>84</v>
      </c>
    </row>
    <row r="12" spans="3:8" ht="2.25" customHeight="1" thickBot="1" x14ac:dyDescent="0.3">
      <c r="C12" s="38"/>
      <c r="D12" s="6"/>
      <c r="E12" s="41"/>
      <c r="F12" s="5"/>
      <c r="G12" s="12"/>
      <c r="H12" s="11" t="s">
        <v>79</v>
      </c>
    </row>
    <row r="13" spans="3:8" ht="14.25" customHeight="1" x14ac:dyDescent="0.25">
      <c r="C13" s="36" t="s">
        <v>36</v>
      </c>
      <c r="D13" s="39" t="s">
        <v>37</v>
      </c>
      <c r="E13" s="39" t="s">
        <v>32</v>
      </c>
      <c r="F13" s="4" t="s">
        <v>56</v>
      </c>
      <c r="G13" s="4">
        <v>1</v>
      </c>
      <c r="H13" s="4" t="s">
        <v>89</v>
      </c>
    </row>
    <row r="14" spans="3:8" ht="17.25" customHeight="1" x14ac:dyDescent="0.25">
      <c r="C14" s="37"/>
      <c r="D14" s="40"/>
      <c r="E14" s="40"/>
      <c r="F14" s="4" t="s">
        <v>57</v>
      </c>
      <c r="G14" s="4">
        <v>3</v>
      </c>
      <c r="H14" s="4" t="s">
        <v>90</v>
      </c>
    </row>
    <row r="15" spans="3:8" ht="15" customHeight="1" x14ac:dyDescent="0.25">
      <c r="C15" s="37"/>
      <c r="D15" s="40"/>
      <c r="E15" s="40"/>
      <c r="F15" s="4" t="s">
        <v>78</v>
      </c>
      <c r="G15" s="13">
        <v>6</v>
      </c>
      <c r="H15" s="4" t="s">
        <v>84</v>
      </c>
    </row>
    <row r="16" spans="3:8" ht="0.75" customHeight="1" thickBot="1" x14ac:dyDescent="0.3">
      <c r="C16" s="38"/>
      <c r="D16" s="41"/>
      <c r="E16" s="41"/>
      <c r="F16" s="5"/>
      <c r="G16" s="12"/>
      <c r="H16" s="11" t="s">
        <v>79</v>
      </c>
    </row>
    <row r="17" spans="3:8" ht="16.5" customHeight="1" x14ac:dyDescent="0.25">
      <c r="C17" s="36" t="s">
        <v>38</v>
      </c>
      <c r="D17" s="4" t="s">
        <v>39</v>
      </c>
      <c r="E17" s="39" t="s">
        <v>41</v>
      </c>
      <c r="F17" s="4" t="s">
        <v>56</v>
      </c>
      <c r="G17" s="4">
        <v>1</v>
      </c>
      <c r="H17" s="4" t="s">
        <v>89</v>
      </c>
    </row>
    <row r="18" spans="3:8" ht="15" customHeight="1" x14ac:dyDescent="0.25">
      <c r="C18" s="37"/>
      <c r="D18" s="4" t="s">
        <v>40</v>
      </c>
      <c r="E18" s="40"/>
      <c r="F18" s="4" t="s">
        <v>57</v>
      </c>
      <c r="G18" s="4">
        <v>3</v>
      </c>
      <c r="H18" s="4" t="s">
        <v>90</v>
      </c>
    </row>
    <row r="19" spans="3:8" ht="16.5" customHeight="1" x14ac:dyDescent="0.25">
      <c r="C19" s="37"/>
      <c r="D19" s="4"/>
      <c r="E19" s="40"/>
      <c r="F19" s="4" t="s">
        <v>78</v>
      </c>
      <c r="G19" s="13">
        <v>6</v>
      </c>
      <c r="H19" s="4" t="s">
        <v>84</v>
      </c>
    </row>
    <row r="20" spans="3:8" ht="0.75" customHeight="1" thickBot="1" x14ac:dyDescent="0.3">
      <c r="C20" s="38"/>
      <c r="D20" s="6"/>
      <c r="E20" s="41"/>
      <c r="F20" s="5"/>
      <c r="G20" s="12"/>
      <c r="H20" s="11" t="s">
        <v>79</v>
      </c>
    </row>
    <row r="21" spans="3:8" ht="15.75" customHeight="1" x14ac:dyDescent="0.25">
      <c r="C21" s="36" t="s">
        <v>42</v>
      </c>
      <c r="D21" s="4" t="s">
        <v>43</v>
      </c>
      <c r="E21" s="39" t="s">
        <v>45</v>
      </c>
      <c r="F21" s="4" t="s">
        <v>56</v>
      </c>
      <c r="G21" s="4">
        <v>1</v>
      </c>
      <c r="H21" s="4" t="s">
        <v>89</v>
      </c>
    </row>
    <row r="22" spans="3:8" ht="16.5" customHeight="1" x14ac:dyDescent="0.25">
      <c r="C22" s="37"/>
      <c r="D22" s="4" t="s">
        <v>44</v>
      </c>
      <c r="E22" s="40"/>
      <c r="F22" s="4" t="s">
        <v>57</v>
      </c>
      <c r="G22" s="4">
        <v>3</v>
      </c>
      <c r="H22" s="4" t="s">
        <v>90</v>
      </c>
    </row>
    <row r="23" spans="3:8" ht="17.25" customHeight="1" x14ac:dyDescent="0.25">
      <c r="C23" s="37"/>
      <c r="D23" s="8"/>
      <c r="E23" s="40"/>
      <c r="F23" s="4" t="s">
        <v>78</v>
      </c>
      <c r="G23" s="13">
        <v>6</v>
      </c>
      <c r="H23" s="4" t="s">
        <v>84</v>
      </c>
    </row>
    <row r="24" spans="3:8" ht="0.75" customHeight="1" thickBot="1" x14ac:dyDescent="0.3">
      <c r="C24" s="38"/>
      <c r="D24" s="6"/>
      <c r="E24" s="41"/>
      <c r="F24" s="5"/>
      <c r="G24" s="12"/>
      <c r="H24" s="11"/>
    </row>
    <row r="25" spans="3:8" ht="14.45" customHeight="1" x14ac:dyDescent="0.25">
      <c r="C25" s="36" t="s">
        <v>46</v>
      </c>
      <c r="D25" s="4" t="s">
        <v>47</v>
      </c>
      <c r="E25" s="39" t="s">
        <v>32</v>
      </c>
      <c r="F25" s="4" t="s">
        <v>56</v>
      </c>
      <c r="G25" s="4">
        <v>1</v>
      </c>
      <c r="H25" s="4" t="s">
        <v>89</v>
      </c>
    </row>
    <row r="26" spans="3:8" ht="17.25" customHeight="1" x14ac:dyDescent="0.25">
      <c r="C26" s="37"/>
      <c r="D26" s="4" t="s">
        <v>48</v>
      </c>
      <c r="E26" s="40"/>
      <c r="F26" s="4" t="s">
        <v>57</v>
      </c>
      <c r="G26" s="4">
        <v>3</v>
      </c>
      <c r="H26" s="4" t="s">
        <v>90</v>
      </c>
    </row>
    <row r="27" spans="3:8" ht="15.75" customHeight="1" x14ac:dyDescent="0.25">
      <c r="C27" s="37"/>
      <c r="D27" s="4"/>
      <c r="E27" s="40"/>
      <c r="F27" s="4" t="s">
        <v>78</v>
      </c>
      <c r="G27" s="13">
        <v>6</v>
      </c>
      <c r="H27" s="4" t="s">
        <v>84</v>
      </c>
    </row>
    <row r="28" spans="3:8" ht="1.5" customHeight="1" thickBot="1" x14ac:dyDescent="0.3">
      <c r="C28" s="38"/>
      <c r="D28" s="6"/>
      <c r="E28" s="41"/>
      <c r="F28" s="5"/>
      <c r="G28" s="12"/>
      <c r="H28" s="11"/>
    </row>
    <row r="29" spans="3:8" ht="15.75" customHeight="1" x14ac:dyDescent="0.25">
      <c r="C29" s="30" t="s">
        <v>49</v>
      </c>
      <c r="D29" s="23" t="s">
        <v>50</v>
      </c>
      <c r="E29" s="33" t="s">
        <v>55</v>
      </c>
      <c r="F29" s="23" t="s">
        <v>56</v>
      </c>
      <c r="G29" s="23">
        <v>1</v>
      </c>
      <c r="H29" s="23" t="s">
        <v>89</v>
      </c>
    </row>
    <row r="30" spans="3:8" ht="15" customHeight="1" x14ac:dyDescent="0.25">
      <c r="C30" s="31"/>
      <c r="D30" s="23" t="s">
        <v>51</v>
      </c>
      <c r="E30" s="34"/>
      <c r="F30" s="23" t="s">
        <v>57</v>
      </c>
      <c r="G30" s="23">
        <v>3</v>
      </c>
      <c r="H30" s="23" t="s">
        <v>90</v>
      </c>
    </row>
    <row r="31" spans="3:8" ht="15.75" customHeight="1" x14ac:dyDescent="0.25">
      <c r="C31" s="31"/>
      <c r="D31" s="24"/>
      <c r="E31" s="34"/>
      <c r="F31" s="23" t="s">
        <v>78</v>
      </c>
      <c r="G31" s="25">
        <v>6</v>
      </c>
      <c r="H31" s="23" t="s">
        <v>84</v>
      </c>
    </row>
    <row r="32" spans="3:8" ht="1.5" customHeight="1" thickBot="1" x14ac:dyDescent="0.3">
      <c r="C32" s="32"/>
      <c r="D32" s="26"/>
      <c r="E32" s="35"/>
      <c r="F32" s="27"/>
      <c r="G32" s="28"/>
      <c r="H32" s="29"/>
    </row>
    <row r="33" spans="3:8" ht="15.75" customHeight="1" x14ac:dyDescent="0.25">
      <c r="C33" s="30" t="s">
        <v>52</v>
      </c>
      <c r="D33" s="33" t="s">
        <v>53</v>
      </c>
      <c r="E33" s="33" t="s">
        <v>32</v>
      </c>
      <c r="F33" s="23" t="s">
        <v>56</v>
      </c>
      <c r="G33" s="23">
        <v>1</v>
      </c>
      <c r="H33" s="23" t="s">
        <v>89</v>
      </c>
    </row>
    <row r="34" spans="3:8" ht="15" customHeight="1" x14ac:dyDescent="0.25">
      <c r="C34" s="31"/>
      <c r="D34" s="34"/>
      <c r="E34" s="34"/>
      <c r="F34" s="23" t="s">
        <v>57</v>
      </c>
      <c r="G34" s="23">
        <v>3</v>
      </c>
      <c r="H34" s="23" t="s">
        <v>90</v>
      </c>
    </row>
    <row r="35" spans="3:8" ht="18" customHeight="1" x14ac:dyDescent="0.25">
      <c r="C35" s="31"/>
      <c r="D35" s="34"/>
      <c r="E35" s="34"/>
      <c r="F35" s="23" t="s">
        <v>78</v>
      </c>
      <c r="G35" s="25">
        <v>6</v>
      </c>
      <c r="H35" s="23" t="s">
        <v>84</v>
      </c>
    </row>
    <row r="36" spans="3:8" ht="0.75" customHeight="1" thickBot="1" x14ac:dyDescent="0.3">
      <c r="C36" s="32"/>
      <c r="D36" s="35"/>
      <c r="E36" s="35"/>
      <c r="F36" s="27"/>
      <c r="G36" s="26"/>
      <c r="H36" s="29"/>
    </row>
    <row r="37" spans="3:8" ht="16.5" customHeight="1" x14ac:dyDescent="0.25"/>
  </sheetData>
  <mergeCells count="18">
    <mergeCell ref="C5:C8"/>
    <mergeCell ref="E5:E8"/>
    <mergeCell ref="C9:C12"/>
    <mergeCell ref="E9:E12"/>
    <mergeCell ref="C13:C16"/>
    <mergeCell ref="D13:D16"/>
    <mergeCell ref="E13:E16"/>
    <mergeCell ref="C33:C36"/>
    <mergeCell ref="D33:D36"/>
    <mergeCell ref="E33:E36"/>
    <mergeCell ref="C17:C20"/>
    <mergeCell ref="C21:C24"/>
    <mergeCell ref="E17:E20"/>
    <mergeCell ref="E21:E24"/>
    <mergeCell ref="C25:C28"/>
    <mergeCell ref="E25:E28"/>
    <mergeCell ref="C29:C32"/>
    <mergeCell ref="E29:E3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9872-5927-4031-B1AF-0723F9251DAA}">
  <dimension ref="A1:AH239"/>
  <sheetViews>
    <sheetView tabSelected="1" zoomScale="85" zoomScaleNormal="85" workbookViewId="0">
      <selection activeCell="K3" sqref="K3"/>
    </sheetView>
  </sheetViews>
  <sheetFormatPr defaultRowHeight="15" x14ac:dyDescent="0.25"/>
  <cols>
    <col min="1" max="1" width="15.7109375" customWidth="1"/>
    <col min="2" max="2" width="25.7109375" customWidth="1"/>
    <col min="3" max="4" width="14.140625" customWidth="1"/>
    <col min="5" max="5" width="13.7109375" customWidth="1"/>
    <col min="6" max="6" width="13.85546875" customWidth="1"/>
    <col min="7" max="7" width="11.140625" customWidth="1"/>
    <col min="8" max="8" width="14.42578125" customWidth="1"/>
    <col min="9" max="9" width="26.140625" customWidth="1"/>
    <col min="10" max="10" width="13.28515625" customWidth="1"/>
    <col min="11" max="12" width="13.7109375" customWidth="1"/>
    <col min="13" max="13" width="13.5703125" customWidth="1"/>
    <col min="14" max="14" width="11.7109375" customWidth="1"/>
    <col min="15" max="15" width="15.28515625" customWidth="1"/>
    <col min="16" max="16" width="25.5703125" customWidth="1"/>
    <col min="17" max="17" width="13.28515625" customWidth="1"/>
    <col min="18" max="18" width="14" customWidth="1"/>
    <col min="19" max="19" width="13.140625" customWidth="1"/>
    <col min="20" max="20" width="13.85546875" customWidth="1"/>
    <col min="21" max="21" width="11.28515625" customWidth="1"/>
    <col min="22" max="22" width="12.140625" customWidth="1"/>
    <col min="23" max="23" width="12.28515625" customWidth="1"/>
    <col min="24" max="24" width="12.140625" customWidth="1"/>
    <col min="25" max="25" width="11.7109375" customWidth="1"/>
    <col min="26" max="26" width="12.140625" customWidth="1"/>
    <col min="27" max="27" width="11.5703125" customWidth="1"/>
    <col min="28" max="28" width="12.7109375" customWidth="1"/>
    <col min="29" max="29" width="11.5703125" customWidth="1"/>
    <col min="30" max="30" width="11.28515625" customWidth="1"/>
    <col min="31" max="31" width="11.7109375" customWidth="1"/>
    <col min="32" max="32" width="12.28515625" customWidth="1"/>
    <col min="33" max="33" width="13.28515625" customWidth="1"/>
    <col min="34" max="34" width="25.28515625" customWidth="1"/>
    <col min="35" max="35" width="11.42578125" customWidth="1"/>
    <col min="36" max="36" width="12.42578125" customWidth="1"/>
    <col min="37" max="37" width="11.140625" customWidth="1"/>
    <col min="38" max="38" width="11.28515625" customWidth="1"/>
    <col min="39" max="39" width="12.7109375" customWidth="1"/>
    <col min="40" max="40" width="11.42578125" customWidth="1"/>
    <col min="41" max="41" width="11.7109375" customWidth="1"/>
    <col min="42" max="42" width="11.5703125" customWidth="1"/>
    <col min="43" max="43" width="11.42578125" customWidth="1"/>
    <col min="44" max="44" width="12.85546875" customWidth="1"/>
    <col min="45" max="45" width="10.42578125" customWidth="1"/>
    <col min="46" max="46" width="11" customWidth="1"/>
    <col min="47" max="47" width="10.7109375" customWidth="1"/>
  </cols>
  <sheetData>
    <row r="1" spans="1:20" ht="18.75" x14ac:dyDescent="0.3">
      <c r="H1" s="1" t="s">
        <v>27</v>
      </c>
    </row>
    <row r="2" spans="1:20" ht="18.75" x14ac:dyDescent="0.3">
      <c r="H2" s="1" t="s">
        <v>28</v>
      </c>
    </row>
    <row r="4" spans="1:20" ht="15.75" x14ac:dyDescent="0.25">
      <c r="A4" s="2" t="s">
        <v>62</v>
      </c>
      <c r="H4" s="2" t="s">
        <v>62</v>
      </c>
      <c r="O4" s="2" t="s">
        <v>62</v>
      </c>
    </row>
    <row r="5" spans="1:20" ht="15.75" x14ac:dyDescent="0.25">
      <c r="A5" s="2" t="s">
        <v>65</v>
      </c>
      <c r="H5" s="2" t="s">
        <v>65</v>
      </c>
      <c r="O5" s="2" t="s">
        <v>65</v>
      </c>
    </row>
    <row r="6" spans="1:20" ht="15.75" x14ac:dyDescent="0.25">
      <c r="A6" s="16" t="s">
        <v>59</v>
      </c>
      <c r="B6" s="21" t="s">
        <v>62</v>
      </c>
      <c r="C6" s="16" t="s">
        <v>82</v>
      </c>
      <c r="D6" s="16" t="s">
        <v>64</v>
      </c>
      <c r="E6" s="16" t="s">
        <v>63</v>
      </c>
      <c r="F6" s="16" t="s">
        <v>18</v>
      </c>
      <c r="G6" s="16"/>
      <c r="H6" s="16" t="s">
        <v>12</v>
      </c>
      <c r="I6" s="21" t="s">
        <v>62</v>
      </c>
      <c r="J6" s="16" t="s">
        <v>82</v>
      </c>
      <c r="K6" s="16" t="s">
        <v>64</v>
      </c>
      <c r="L6" s="16" t="s">
        <v>63</v>
      </c>
      <c r="M6" s="16" t="s">
        <v>18</v>
      </c>
      <c r="N6" s="16"/>
      <c r="O6" s="16" t="s">
        <v>13</v>
      </c>
      <c r="P6" s="21" t="s">
        <v>62</v>
      </c>
      <c r="Q6" s="16" t="s">
        <v>82</v>
      </c>
      <c r="R6" s="16" t="s">
        <v>64</v>
      </c>
      <c r="S6" s="16" t="s">
        <v>63</v>
      </c>
      <c r="T6" s="16" t="s">
        <v>18</v>
      </c>
    </row>
    <row r="7" spans="1:20" x14ac:dyDescent="0.25">
      <c r="A7" s="16" t="s">
        <v>0</v>
      </c>
      <c r="B7" s="16" t="s">
        <v>1</v>
      </c>
      <c r="C7" s="17">
        <v>49593</v>
      </c>
      <c r="D7" s="17">
        <v>45037</v>
      </c>
      <c r="E7" s="17">
        <v>46418</v>
      </c>
      <c r="F7" s="17">
        <f>AVERAGE(Table143690117171252224[[#This Row],[Teste 1]:[Teste 3]])</f>
        <v>47016</v>
      </c>
      <c r="G7" s="16"/>
      <c r="H7" s="16" t="s">
        <v>0</v>
      </c>
      <c r="I7" s="16" t="s">
        <v>1</v>
      </c>
      <c r="J7" s="17">
        <v>53129</v>
      </c>
      <c r="K7" s="17">
        <v>55258</v>
      </c>
      <c r="L7" s="17">
        <v>51348</v>
      </c>
      <c r="M7" s="17">
        <f>AVERAGE(Table143690117171252224236[[#This Row],[Teste 1]:[Teste 3]])</f>
        <v>53245</v>
      </c>
      <c r="N7" s="16"/>
      <c r="O7" s="16" t="s">
        <v>0</v>
      </c>
      <c r="P7" s="16" t="s">
        <v>1</v>
      </c>
      <c r="Q7" s="17">
        <v>27963</v>
      </c>
      <c r="R7" s="17">
        <v>29083</v>
      </c>
      <c r="S7" s="17">
        <v>27025</v>
      </c>
      <c r="T7" s="17">
        <f>AVERAGE(Table143690117171252224248[[#This Row],[Teste 1]:[Teste 3]])</f>
        <v>28023.666666666668</v>
      </c>
    </row>
    <row r="8" spans="1:20" x14ac:dyDescent="0.25">
      <c r="A8" s="16" t="s">
        <v>0</v>
      </c>
      <c r="B8" s="16" t="s">
        <v>2</v>
      </c>
      <c r="C8" s="17">
        <v>1896.3918937594999</v>
      </c>
      <c r="D8" s="17">
        <v>2220.3965628261199</v>
      </c>
      <c r="E8" s="17">
        <v>2015.29790294496</v>
      </c>
      <c r="F8" s="17">
        <f>AVERAGE(Table143690117171252224[[#This Row],[Teste 1]:[Teste 3]])</f>
        <v>2044.0287865101934</v>
      </c>
      <c r="G8" s="16"/>
      <c r="H8" s="16" t="s">
        <v>0</v>
      </c>
      <c r="I8" s="16" t="s">
        <v>2</v>
      </c>
      <c r="J8" s="17">
        <v>1882.19</v>
      </c>
      <c r="K8" s="17">
        <v>1809.71</v>
      </c>
      <c r="L8" s="17">
        <v>1947.52</v>
      </c>
      <c r="M8" s="17">
        <f>AVERAGE(Table143690117171252224236[[#This Row],[Teste 1]:[Teste 3]])</f>
        <v>1879.8066666666666</v>
      </c>
      <c r="N8" s="16"/>
      <c r="O8" s="16" t="s">
        <v>0</v>
      </c>
      <c r="P8" s="16" t="s">
        <v>2</v>
      </c>
      <c r="Q8" s="17">
        <v>3576.1542037692602</v>
      </c>
      <c r="R8" s="17">
        <v>3438.4348244678999</v>
      </c>
      <c r="S8" s="17">
        <v>3700.2775208140602</v>
      </c>
      <c r="T8" s="17">
        <f>AVERAGE(Table143690117171252224248[[#This Row],[Teste 1]:[Teste 3]])</f>
        <v>3571.6221830170739</v>
      </c>
    </row>
    <row r="9" spans="1:20" x14ac:dyDescent="0.25">
      <c r="A9" s="16" t="s">
        <v>3</v>
      </c>
      <c r="B9" s="16" t="s">
        <v>4</v>
      </c>
      <c r="C9" s="17">
        <v>1</v>
      </c>
      <c r="D9" s="17">
        <v>1</v>
      </c>
      <c r="E9" s="17">
        <v>1</v>
      </c>
      <c r="F9" s="17">
        <f>AVERAGE(Table143690117171252224[[#This Row],[Teste 1]:[Teste 3]])</f>
        <v>1</v>
      </c>
      <c r="G9" s="16"/>
      <c r="H9" s="16" t="s">
        <v>3</v>
      </c>
      <c r="I9" s="16" t="s">
        <v>4</v>
      </c>
      <c r="J9" s="17">
        <v>1</v>
      </c>
      <c r="K9" s="17">
        <v>1</v>
      </c>
      <c r="L9" s="17">
        <v>1</v>
      </c>
      <c r="M9" s="17">
        <f>AVERAGE(Table143690117171252224236[[#This Row],[Teste 1]:[Teste 3]])</f>
        <v>1</v>
      </c>
      <c r="N9" s="16"/>
      <c r="O9" s="16" t="s">
        <v>3</v>
      </c>
      <c r="P9" s="16" t="s">
        <v>4</v>
      </c>
      <c r="Q9" s="17">
        <v>1</v>
      </c>
      <c r="R9" s="17">
        <v>1</v>
      </c>
      <c r="S9" s="17">
        <v>1</v>
      </c>
      <c r="T9" s="17">
        <f>AVERAGE(Table143690117171252224248[[#This Row],[Teste 1]:[Teste 3]])</f>
        <v>1</v>
      </c>
    </row>
    <row r="10" spans="1:20" x14ac:dyDescent="0.25">
      <c r="A10" s="16" t="s">
        <v>3</v>
      </c>
      <c r="B10" s="16" t="s">
        <v>5</v>
      </c>
      <c r="C10" s="17">
        <v>9</v>
      </c>
      <c r="D10" s="17">
        <v>10</v>
      </c>
      <c r="E10" s="17">
        <v>6</v>
      </c>
      <c r="F10" s="17">
        <f>AVERAGE(Table143690117171252224[[#This Row],[Teste 1]:[Teste 3]])</f>
        <v>8.3333333333333339</v>
      </c>
      <c r="G10" s="16"/>
      <c r="H10" s="16" t="s">
        <v>3</v>
      </c>
      <c r="I10" s="16" t="s">
        <v>5</v>
      </c>
      <c r="J10" s="17">
        <v>8</v>
      </c>
      <c r="K10" s="17">
        <v>9</v>
      </c>
      <c r="L10" s="17">
        <v>7</v>
      </c>
      <c r="M10" s="17">
        <f>AVERAGE(Table143690117171252224236[[#This Row],[Teste 1]:[Teste 3]])</f>
        <v>8</v>
      </c>
      <c r="N10" s="16"/>
      <c r="O10" s="16" t="s">
        <v>3</v>
      </c>
      <c r="P10" s="16" t="s">
        <v>5</v>
      </c>
      <c r="Q10" s="17">
        <v>973</v>
      </c>
      <c r="R10" s="17">
        <v>1108</v>
      </c>
      <c r="S10" s="17">
        <v>1133</v>
      </c>
      <c r="T10" s="17">
        <f>AVERAGE(Table143690117171252224248[[#This Row],[Teste 1]:[Teste 3]])</f>
        <v>1071.3333333333333</v>
      </c>
    </row>
    <row r="11" spans="1:20" x14ac:dyDescent="0.25">
      <c r="A11" s="16" t="s">
        <v>3</v>
      </c>
      <c r="B11" s="16" t="s">
        <v>6</v>
      </c>
      <c r="C11" s="17">
        <v>9</v>
      </c>
      <c r="D11" s="17">
        <v>10</v>
      </c>
      <c r="E11" s="17">
        <v>6</v>
      </c>
      <c r="F11" s="17">
        <f>AVERAGE(Table143690117171252224[[#This Row],[Teste 1]:[Teste 3]])</f>
        <v>8.3333333333333339</v>
      </c>
      <c r="G11" s="16"/>
      <c r="H11" s="16" t="s">
        <v>3</v>
      </c>
      <c r="I11" s="16" t="s">
        <v>6</v>
      </c>
      <c r="J11" s="17">
        <v>8</v>
      </c>
      <c r="K11" s="17">
        <v>9</v>
      </c>
      <c r="L11" s="17">
        <v>7</v>
      </c>
      <c r="M11" s="17">
        <f>AVERAGE(Table143690117171252224236[[#This Row],[Teste 1]:[Teste 3]])</f>
        <v>8</v>
      </c>
      <c r="N11" s="16"/>
      <c r="O11" s="16" t="s">
        <v>3</v>
      </c>
      <c r="P11" s="16" t="s">
        <v>6</v>
      </c>
      <c r="Q11" s="17">
        <v>973</v>
      </c>
      <c r="R11" s="17">
        <v>1108</v>
      </c>
      <c r="S11" s="17">
        <v>1133</v>
      </c>
      <c r="T11" s="17">
        <f>AVERAGE(Table143690117171252224248[[#This Row],[Teste 1]:[Teste 3]])</f>
        <v>1071.3333333333333</v>
      </c>
    </row>
    <row r="12" spans="1:20" x14ac:dyDescent="0.25">
      <c r="A12" s="16" t="s">
        <v>3</v>
      </c>
      <c r="B12" s="16" t="s">
        <v>7</v>
      </c>
      <c r="C12" s="17">
        <v>9</v>
      </c>
      <c r="D12" s="17">
        <v>10</v>
      </c>
      <c r="E12" s="17">
        <v>6</v>
      </c>
      <c r="F12" s="17">
        <f>AVERAGE(Table143690117171252224[[#This Row],[Teste 1]:[Teste 3]])</f>
        <v>8.3333333333333339</v>
      </c>
      <c r="G12" s="16"/>
      <c r="H12" s="16" t="s">
        <v>3</v>
      </c>
      <c r="I12" s="16" t="s">
        <v>7</v>
      </c>
      <c r="J12" s="17">
        <v>8</v>
      </c>
      <c r="K12" s="17">
        <v>9</v>
      </c>
      <c r="L12" s="17">
        <v>7</v>
      </c>
      <c r="M12" s="17">
        <f>AVERAGE(Table143690117171252224236[[#This Row],[Teste 1]:[Teste 3]])</f>
        <v>8</v>
      </c>
      <c r="N12" s="16"/>
      <c r="O12" s="16" t="s">
        <v>3</v>
      </c>
      <c r="P12" s="16" t="s">
        <v>7</v>
      </c>
      <c r="Q12" s="17">
        <v>973</v>
      </c>
      <c r="R12" s="17">
        <v>1108</v>
      </c>
      <c r="S12" s="17">
        <v>1133</v>
      </c>
      <c r="T12" s="17">
        <f>AVERAGE(Table143690117171252224248[[#This Row],[Teste 1]:[Teste 3]])</f>
        <v>1071.3333333333333</v>
      </c>
    </row>
    <row r="13" spans="1:20" x14ac:dyDescent="0.25">
      <c r="A13" s="16" t="s">
        <v>3</v>
      </c>
      <c r="B13" s="16" t="s">
        <v>8</v>
      </c>
      <c r="C13" s="17">
        <v>9</v>
      </c>
      <c r="D13" s="17">
        <v>10</v>
      </c>
      <c r="E13" s="17">
        <v>6</v>
      </c>
      <c r="F13" s="17">
        <f>AVERAGE(Table143690117171252224[[#This Row],[Teste 1]:[Teste 3]])</f>
        <v>8.3333333333333339</v>
      </c>
      <c r="G13" s="16"/>
      <c r="H13" s="16" t="s">
        <v>3</v>
      </c>
      <c r="I13" s="16" t="s">
        <v>8</v>
      </c>
      <c r="J13" s="17">
        <v>8</v>
      </c>
      <c r="K13" s="17">
        <v>9</v>
      </c>
      <c r="L13" s="17">
        <v>7</v>
      </c>
      <c r="M13" s="17">
        <f>AVERAGE(Table143690117171252224236[[#This Row],[Teste 1]:[Teste 3]])</f>
        <v>8</v>
      </c>
      <c r="N13" s="16"/>
      <c r="O13" s="16" t="s">
        <v>3</v>
      </c>
      <c r="P13" s="16" t="s">
        <v>8</v>
      </c>
      <c r="Q13" s="17">
        <v>973</v>
      </c>
      <c r="R13" s="17">
        <v>1108</v>
      </c>
      <c r="S13" s="17">
        <v>1133</v>
      </c>
      <c r="T13" s="17">
        <f>AVERAGE(Table143690117171252224248[[#This Row],[Teste 1]:[Teste 3]])</f>
        <v>1071.3333333333333</v>
      </c>
    </row>
    <row r="14" spans="1:20" x14ac:dyDescent="0.25">
      <c r="A14" s="16" t="s">
        <v>3</v>
      </c>
      <c r="B14" s="16" t="s">
        <v>9</v>
      </c>
      <c r="C14" s="17">
        <v>9</v>
      </c>
      <c r="D14" s="17">
        <v>10</v>
      </c>
      <c r="E14" s="17">
        <v>6</v>
      </c>
      <c r="F14" s="17">
        <f>AVERAGE(Table143690117171252224[[#This Row],[Teste 1]:[Teste 3]])</f>
        <v>8.3333333333333339</v>
      </c>
      <c r="G14" s="16"/>
      <c r="H14" s="16" t="s">
        <v>3</v>
      </c>
      <c r="I14" s="16" t="s">
        <v>9</v>
      </c>
      <c r="J14" s="17">
        <v>8</v>
      </c>
      <c r="K14" s="17">
        <v>9</v>
      </c>
      <c r="L14" s="17">
        <v>7</v>
      </c>
      <c r="M14" s="17">
        <f>AVERAGE(Table143690117171252224236[[#This Row],[Teste 1]:[Teste 3]])</f>
        <v>8</v>
      </c>
      <c r="N14" s="16"/>
      <c r="O14" s="16" t="s">
        <v>3</v>
      </c>
      <c r="P14" s="16" t="s">
        <v>9</v>
      </c>
      <c r="Q14" s="17">
        <v>973</v>
      </c>
      <c r="R14" s="17">
        <v>1108</v>
      </c>
      <c r="S14" s="17">
        <v>1133</v>
      </c>
      <c r="T14" s="17">
        <f>AVERAGE(Table143690117171252224248[[#This Row],[Teste 1]:[Teste 3]])</f>
        <v>1071.3333333333333</v>
      </c>
    </row>
    <row r="15" spans="1:20" x14ac:dyDescent="0.25">
      <c r="A15" s="16" t="s">
        <v>17</v>
      </c>
      <c r="B15" s="16" t="s">
        <v>4</v>
      </c>
      <c r="C15" s="17">
        <v>100000</v>
      </c>
      <c r="D15" s="17">
        <v>100000</v>
      </c>
      <c r="E15" s="17">
        <v>100000</v>
      </c>
      <c r="F15" s="17">
        <f>AVERAGE(Table143690117171252224[[#This Row],[Teste 1]:[Teste 3]])</f>
        <v>100000</v>
      </c>
      <c r="G15" s="16"/>
      <c r="H15" s="16" t="s">
        <v>17</v>
      </c>
      <c r="I15" s="16" t="s">
        <v>4</v>
      </c>
      <c r="J15" s="17">
        <v>100000</v>
      </c>
      <c r="K15" s="17">
        <v>100000</v>
      </c>
      <c r="L15" s="17">
        <v>100000</v>
      </c>
      <c r="M15" s="17">
        <f>AVERAGE(Table143690117171252224236[[#This Row],[Teste 1]:[Teste 3]])</f>
        <v>100000</v>
      </c>
      <c r="N15" s="16"/>
      <c r="O15" s="16" t="s">
        <v>17</v>
      </c>
      <c r="P15" s="16" t="s">
        <v>4</v>
      </c>
      <c r="Q15" s="17">
        <v>100000</v>
      </c>
      <c r="R15" s="17">
        <v>100000</v>
      </c>
      <c r="S15" s="17">
        <v>100000</v>
      </c>
      <c r="T15" s="17">
        <f>AVERAGE(Table143690117171252224248[[#This Row],[Teste 1]:[Teste 3]])</f>
        <v>100000</v>
      </c>
    </row>
    <row r="16" spans="1:20" x14ac:dyDescent="0.25">
      <c r="A16" s="16" t="s">
        <v>17</v>
      </c>
      <c r="B16" s="16" t="s">
        <v>5</v>
      </c>
      <c r="C16" s="17">
        <v>761.52796999999998</v>
      </c>
      <c r="D16" s="17">
        <v>419.99712</v>
      </c>
      <c r="E16" s="17">
        <v>248.78793999999999</v>
      </c>
      <c r="F16" s="17">
        <f>AVERAGE(Table143690117171252224[[#This Row],[Teste 1]:[Teste 3]])</f>
        <v>476.77100999999999</v>
      </c>
      <c r="G16" s="16"/>
      <c r="H16" s="16" t="s">
        <v>17</v>
      </c>
      <c r="I16" s="16" t="s">
        <v>5</v>
      </c>
      <c r="J16" s="17">
        <v>508.25</v>
      </c>
      <c r="K16" s="17">
        <v>529.19000000000005</v>
      </c>
      <c r="L16" s="17">
        <v>490.27</v>
      </c>
      <c r="M16" s="17">
        <f>AVERAGE(Table143690117171252224236[[#This Row],[Teste 1]:[Teste 3]])</f>
        <v>509.23666666666668</v>
      </c>
      <c r="N16" s="16"/>
      <c r="O16" s="16" t="s">
        <v>17</v>
      </c>
      <c r="P16" s="16" t="s">
        <v>5</v>
      </c>
      <c r="Q16" s="17">
        <v>267.49788999999998</v>
      </c>
      <c r="R16" s="17">
        <v>278.52471000000003</v>
      </c>
      <c r="S16" s="17">
        <v>257.90401000000003</v>
      </c>
      <c r="T16" s="17">
        <f>AVERAGE(Table143690117171252224248[[#This Row],[Teste 1]:[Teste 3]])</f>
        <v>267.97553666666664</v>
      </c>
    </row>
    <row r="17" spans="1:20" x14ac:dyDescent="0.25">
      <c r="A17" s="16" t="s">
        <v>17</v>
      </c>
      <c r="B17" s="16" t="s">
        <v>6</v>
      </c>
      <c r="C17" s="17">
        <v>132</v>
      </c>
      <c r="D17" s="17">
        <v>136</v>
      </c>
      <c r="E17" s="17">
        <v>95</v>
      </c>
      <c r="F17" s="17">
        <f>AVERAGE(Table143690117171252224[[#This Row],[Teste 1]:[Teste 3]])</f>
        <v>121</v>
      </c>
      <c r="G17" s="16"/>
      <c r="H17" s="16" t="s">
        <v>17</v>
      </c>
      <c r="I17" s="16" t="s">
        <v>6</v>
      </c>
      <c r="J17" s="17">
        <v>344</v>
      </c>
      <c r="K17" s="17">
        <v>329</v>
      </c>
      <c r="L17" s="17">
        <v>314</v>
      </c>
      <c r="M17" s="17">
        <f>AVERAGE(Table143690117171252224236[[#This Row],[Teste 1]:[Teste 3]])</f>
        <v>329</v>
      </c>
      <c r="N17" s="16"/>
      <c r="O17" s="16" t="s">
        <v>17</v>
      </c>
      <c r="P17" s="16" t="s">
        <v>6</v>
      </c>
      <c r="Q17" s="17">
        <v>181</v>
      </c>
      <c r="R17" s="17">
        <v>173</v>
      </c>
      <c r="S17" s="17">
        <v>165</v>
      </c>
      <c r="T17" s="17">
        <f>AVERAGE(Table143690117171252224248[[#This Row],[Teste 1]:[Teste 3]])</f>
        <v>173</v>
      </c>
    </row>
    <row r="18" spans="1:20" x14ac:dyDescent="0.25">
      <c r="A18" s="16" t="s">
        <v>17</v>
      </c>
      <c r="B18" s="16" t="s">
        <v>7</v>
      </c>
      <c r="C18" s="17">
        <v>638975</v>
      </c>
      <c r="D18" s="17">
        <v>20575</v>
      </c>
      <c r="E18" s="17">
        <v>25279</v>
      </c>
      <c r="F18" s="17">
        <f>AVERAGE(Table143690117171252224[[#This Row],[Teste 1]:[Teste 3]])</f>
        <v>228276.33333333334</v>
      </c>
      <c r="G18" s="16"/>
      <c r="H18" s="16" t="s">
        <v>17</v>
      </c>
      <c r="I18" s="16" t="s">
        <v>7</v>
      </c>
      <c r="J18" s="17">
        <v>575409</v>
      </c>
      <c r="K18" s="17">
        <v>637182</v>
      </c>
      <c r="L18" s="17">
        <v>662070</v>
      </c>
      <c r="M18" s="17">
        <f>AVERAGE(Table143690117171252224236[[#This Row],[Teste 1]:[Teste 3]])</f>
        <v>624887</v>
      </c>
      <c r="N18" s="16"/>
      <c r="O18" s="16" t="s">
        <v>17</v>
      </c>
      <c r="P18" s="16" t="s">
        <v>7</v>
      </c>
      <c r="Q18" s="17">
        <v>302847</v>
      </c>
      <c r="R18" s="17">
        <v>335359</v>
      </c>
      <c r="S18" s="17">
        <v>34879</v>
      </c>
      <c r="T18" s="17">
        <f>AVERAGE(Table143690117171252224248[[#This Row],[Teste 1]:[Teste 3]])</f>
        <v>224361.66666666666</v>
      </c>
    </row>
    <row r="19" spans="1:20" x14ac:dyDescent="0.25">
      <c r="A19" s="16" t="s">
        <v>17</v>
      </c>
      <c r="B19" s="16" t="s">
        <v>8</v>
      </c>
      <c r="C19" s="17">
        <v>1929</v>
      </c>
      <c r="D19" s="17">
        <v>723</v>
      </c>
      <c r="E19" s="17">
        <v>476</v>
      </c>
      <c r="F19" s="17">
        <f>AVERAGE(Table143690117171252224[[#This Row],[Teste 1]:[Teste 3]])</f>
        <v>1042.6666666666667</v>
      </c>
      <c r="G19" s="16"/>
      <c r="H19" s="16" t="s">
        <v>17</v>
      </c>
      <c r="I19" s="16" t="s">
        <v>8</v>
      </c>
      <c r="J19" s="17">
        <v>830</v>
      </c>
      <c r="K19" s="17">
        <v>870</v>
      </c>
      <c r="L19" s="17">
        <v>792</v>
      </c>
      <c r="M19" s="17">
        <f>AVERAGE(Table143690117171252224236[[#This Row],[Teste 1]:[Teste 3]])</f>
        <v>830.66666666666663</v>
      </c>
      <c r="N19" s="16"/>
      <c r="O19" s="16" t="s">
        <v>17</v>
      </c>
      <c r="P19" s="16" t="s">
        <v>8</v>
      </c>
      <c r="Q19" s="17">
        <v>437</v>
      </c>
      <c r="R19" s="17">
        <v>458</v>
      </c>
      <c r="S19" s="17">
        <v>417</v>
      </c>
      <c r="T19" s="17">
        <f>AVERAGE(Table143690117171252224248[[#This Row],[Teste 1]:[Teste 3]])</f>
        <v>437.33333333333331</v>
      </c>
    </row>
    <row r="20" spans="1:20" x14ac:dyDescent="0.25">
      <c r="A20" s="16" t="s">
        <v>17</v>
      </c>
      <c r="B20" s="16" t="s">
        <v>9</v>
      </c>
      <c r="C20" s="17">
        <v>7575</v>
      </c>
      <c r="D20" s="17">
        <v>1401</v>
      </c>
      <c r="E20" s="17">
        <v>1064</v>
      </c>
      <c r="F20" s="17">
        <f>AVERAGE(Table143690117171252224[[#This Row],[Teste 1]:[Teste 3]])</f>
        <v>3346.6666666666665</v>
      </c>
      <c r="G20" s="16"/>
      <c r="H20" s="16" t="s">
        <v>17</v>
      </c>
      <c r="I20" s="16" t="s">
        <v>9</v>
      </c>
      <c r="J20" s="17">
        <v>1214</v>
      </c>
      <c r="K20" s="17">
        <v>1241</v>
      </c>
      <c r="L20" s="17">
        <v>1115</v>
      </c>
      <c r="M20" s="17">
        <f>AVERAGE(Table143690117171252224236[[#This Row],[Teste 1]:[Teste 3]])</f>
        <v>1190</v>
      </c>
      <c r="N20" s="16"/>
      <c r="O20" s="16" t="s">
        <v>17</v>
      </c>
      <c r="P20" s="16" t="s">
        <v>9</v>
      </c>
      <c r="Q20" s="17">
        <v>639</v>
      </c>
      <c r="R20" s="17">
        <v>653</v>
      </c>
      <c r="S20" s="17">
        <v>587</v>
      </c>
      <c r="T20" s="17">
        <f>AVERAGE(Table143690117171252224248[[#This Row],[Teste 1]:[Teste 3]])</f>
        <v>626.33333333333337</v>
      </c>
    </row>
    <row r="21" spans="1:20" x14ac:dyDescent="0.25">
      <c r="A21" s="16" t="s">
        <v>17</v>
      </c>
      <c r="B21" s="16" t="s">
        <v>11</v>
      </c>
      <c r="C21" s="17">
        <v>100000</v>
      </c>
      <c r="D21" s="17">
        <v>100000</v>
      </c>
      <c r="E21" s="17">
        <v>100000</v>
      </c>
      <c r="F21" s="17">
        <f>AVERAGE(Table143690117171252224[[#This Row],[Teste 1]:[Teste 3]])</f>
        <v>100000</v>
      </c>
      <c r="G21" s="16"/>
      <c r="H21" s="16" t="s">
        <v>17</v>
      </c>
      <c r="I21" s="16" t="s">
        <v>11</v>
      </c>
      <c r="J21" s="17">
        <v>100000</v>
      </c>
      <c r="K21" s="17">
        <v>100000</v>
      </c>
      <c r="L21" s="17">
        <v>100000</v>
      </c>
      <c r="M21" s="17">
        <f>AVERAGE(Table143690117171252224236[[#This Row],[Teste 1]:[Teste 3]])</f>
        <v>100000</v>
      </c>
      <c r="N21" s="16"/>
      <c r="O21" s="16" t="s">
        <v>17</v>
      </c>
      <c r="P21" s="16" t="s">
        <v>11</v>
      </c>
      <c r="Q21" s="17">
        <v>100000</v>
      </c>
      <c r="R21" s="17">
        <v>100000</v>
      </c>
      <c r="S21" s="17">
        <v>100000</v>
      </c>
      <c r="T21" s="17">
        <f>AVERAGE(Table143690117171252224248[[#This Row],[Teste 1]:[Teste 3]])</f>
        <v>100000</v>
      </c>
    </row>
    <row r="22" spans="1:20" x14ac:dyDescent="0.25">
      <c r="A22" s="16"/>
      <c r="B22" s="16"/>
      <c r="C22" s="17"/>
      <c r="D22" s="17"/>
      <c r="E22" s="17"/>
      <c r="F22" s="17"/>
      <c r="G22" s="16"/>
      <c r="H22" s="16"/>
      <c r="I22" s="16"/>
      <c r="J22" s="17"/>
      <c r="K22" s="17"/>
      <c r="L22" s="17"/>
      <c r="M22" s="17"/>
      <c r="N22" s="16"/>
      <c r="O22" s="16"/>
      <c r="P22" s="16"/>
      <c r="Q22" s="17"/>
      <c r="R22" s="17"/>
      <c r="S22" s="17"/>
      <c r="T22" s="17"/>
    </row>
    <row r="23" spans="1:20" x14ac:dyDescent="0.25">
      <c r="A23" s="16"/>
      <c r="B23" s="16"/>
      <c r="C23" s="17"/>
      <c r="D23" s="17"/>
      <c r="E23" s="17"/>
      <c r="F23" s="17"/>
      <c r="G23" s="16"/>
      <c r="H23" s="16"/>
      <c r="I23" s="16"/>
      <c r="J23" s="17"/>
      <c r="K23" s="17"/>
      <c r="L23" s="17"/>
      <c r="M23" s="17"/>
      <c r="N23" s="16"/>
      <c r="O23" s="16"/>
      <c r="P23" s="16"/>
      <c r="Q23" s="17"/>
      <c r="R23" s="17"/>
      <c r="S23" s="17"/>
      <c r="T23" s="17"/>
    </row>
    <row r="24" spans="1:20" x14ac:dyDescent="0.25">
      <c r="A24" s="16"/>
      <c r="B24" s="16"/>
      <c r="C24" s="17"/>
      <c r="D24" s="17"/>
      <c r="E24" s="17"/>
      <c r="F24" s="17"/>
      <c r="G24" s="16"/>
      <c r="H24" s="16"/>
      <c r="I24" s="16"/>
      <c r="J24" s="17"/>
      <c r="K24" s="17"/>
      <c r="L24" s="17"/>
      <c r="M24" s="17"/>
      <c r="N24" s="16"/>
      <c r="O24" s="16"/>
      <c r="P24" s="16"/>
      <c r="Q24" s="17"/>
      <c r="R24" s="17"/>
      <c r="S24" s="17"/>
      <c r="T24" s="17"/>
    </row>
    <row r="25" spans="1:20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5.75" x14ac:dyDescent="0.25">
      <c r="A26" s="2" t="s">
        <v>74</v>
      </c>
      <c r="H26" s="2" t="s">
        <v>74</v>
      </c>
      <c r="O26" s="2" t="s">
        <v>74</v>
      </c>
    </row>
    <row r="27" spans="1:20" ht="15.75" x14ac:dyDescent="0.25">
      <c r="A27" s="16" t="s">
        <v>59</v>
      </c>
      <c r="B27" s="21" t="s">
        <v>62</v>
      </c>
      <c r="C27" s="16" t="s">
        <v>82</v>
      </c>
      <c r="D27" s="16" t="s">
        <v>64</v>
      </c>
      <c r="E27" s="16" t="s">
        <v>63</v>
      </c>
      <c r="F27" s="16" t="s">
        <v>18</v>
      </c>
      <c r="G27" s="16"/>
      <c r="H27" s="16" t="s">
        <v>12</v>
      </c>
      <c r="I27" s="21" t="s">
        <v>62</v>
      </c>
      <c r="J27" s="16" t="s">
        <v>82</v>
      </c>
      <c r="K27" s="16" t="s">
        <v>64</v>
      </c>
      <c r="L27" s="16" t="s">
        <v>63</v>
      </c>
      <c r="M27" s="16" t="s">
        <v>18</v>
      </c>
      <c r="N27" s="16"/>
      <c r="O27" s="16" t="s">
        <v>13</v>
      </c>
      <c r="P27" s="21" t="s">
        <v>62</v>
      </c>
      <c r="Q27" s="16" t="s">
        <v>82</v>
      </c>
      <c r="R27" s="16" t="s">
        <v>64</v>
      </c>
      <c r="S27" s="16" t="s">
        <v>63</v>
      </c>
      <c r="T27" s="16" t="s">
        <v>18</v>
      </c>
    </row>
    <row r="28" spans="1:20" x14ac:dyDescent="0.25">
      <c r="A28" s="16" t="s">
        <v>0</v>
      </c>
      <c r="B28" s="16" t="s">
        <v>1</v>
      </c>
      <c r="C28" s="17">
        <v>22191</v>
      </c>
      <c r="D28" s="17">
        <v>23024</v>
      </c>
      <c r="E28" s="17">
        <v>23425</v>
      </c>
      <c r="F28" s="17">
        <f>AVERAGE(Table143690117171252224225[[#This Row],[Teste 1]:[Teste 3]])</f>
        <v>22880</v>
      </c>
      <c r="G28" s="16"/>
      <c r="H28" s="16" t="s">
        <v>0</v>
      </c>
      <c r="I28" s="16" t="s">
        <v>1</v>
      </c>
      <c r="J28" s="17">
        <v>22602</v>
      </c>
      <c r="K28" s="17">
        <v>22787</v>
      </c>
      <c r="L28" s="17">
        <v>21722</v>
      </c>
      <c r="M28" s="17">
        <f>AVERAGE(Table143690117171252224225237[[#This Row],[Teste 1]:[Teste 3]])</f>
        <v>22370.333333333332</v>
      </c>
      <c r="N28" s="16"/>
      <c r="O28" s="16" t="s">
        <v>0</v>
      </c>
      <c r="P28" s="16" t="s">
        <v>1</v>
      </c>
      <c r="Q28" s="17">
        <v>12351</v>
      </c>
      <c r="R28" s="17">
        <v>12452</v>
      </c>
      <c r="S28" s="17">
        <v>11870</v>
      </c>
      <c r="T28" s="17">
        <f>AVERAGE(Table143690117171252224225249[[#This Row],[Teste 1]:[Teste 3]])</f>
        <v>12224.333333333334</v>
      </c>
    </row>
    <row r="29" spans="1:20" x14ac:dyDescent="0.25">
      <c r="A29" s="16" t="s">
        <v>0</v>
      </c>
      <c r="B29" s="16" t="s">
        <v>2</v>
      </c>
      <c r="C29" s="17">
        <v>4506.3313956108304</v>
      </c>
      <c r="D29" s="17">
        <v>4343.2939541348096</v>
      </c>
      <c r="E29" s="17">
        <v>4110.0795755968002</v>
      </c>
      <c r="F29" s="17">
        <f>AVERAGE(Table143690117171252224225[[#This Row],[Teste 1]:[Teste 3]])</f>
        <v>4319.9016417808134</v>
      </c>
      <c r="G29" s="16"/>
      <c r="H29" s="16" t="s">
        <v>0</v>
      </c>
      <c r="I29" s="16" t="s">
        <v>2</v>
      </c>
      <c r="J29" s="17">
        <v>4424.32</v>
      </c>
      <c r="K29" s="17">
        <v>4388.4399999999996</v>
      </c>
      <c r="L29" s="17">
        <v>4603.6099999999997</v>
      </c>
      <c r="M29" s="17">
        <f>AVERAGE(Table143690117171252224225237[[#This Row],[Teste 1]:[Teste 3]])</f>
        <v>4472.123333333333</v>
      </c>
      <c r="N29" s="16"/>
      <c r="O29" s="16" t="s">
        <v>0</v>
      </c>
      <c r="P29" s="16" t="s">
        <v>2</v>
      </c>
      <c r="Q29" s="17">
        <v>8096.5104040158603</v>
      </c>
      <c r="R29" s="17">
        <v>8030.83841953099</v>
      </c>
      <c r="S29" s="17">
        <v>8424.5998315079996</v>
      </c>
      <c r="T29" s="17">
        <f>AVERAGE(Table143690117171252224225249[[#This Row],[Teste 1]:[Teste 3]])</f>
        <v>8183.982885018283</v>
      </c>
    </row>
    <row r="30" spans="1:20" x14ac:dyDescent="0.25">
      <c r="A30" s="16" t="s">
        <v>3</v>
      </c>
      <c r="B30" s="16" t="s">
        <v>4</v>
      </c>
      <c r="C30" s="17">
        <v>3</v>
      </c>
      <c r="D30" s="17">
        <v>3</v>
      </c>
      <c r="E30" s="17">
        <v>3</v>
      </c>
      <c r="F30" s="17">
        <f>AVERAGE(Table143690117171252224225[[#This Row],[Teste 1]:[Teste 3]])</f>
        <v>3</v>
      </c>
      <c r="G30" s="16"/>
      <c r="H30" s="16" t="s">
        <v>3</v>
      </c>
      <c r="I30" s="16" t="s">
        <v>4</v>
      </c>
      <c r="J30" s="17">
        <v>3</v>
      </c>
      <c r="K30" s="17">
        <v>3</v>
      </c>
      <c r="L30" s="17">
        <v>3</v>
      </c>
      <c r="M30" s="17">
        <f>AVERAGE(Table143690117171252224225237[[#This Row],[Teste 1]:[Teste 3]])</f>
        <v>3</v>
      </c>
      <c r="N30" s="16"/>
      <c r="O30" s="16" t="s">
        <v>3</v>
      </c>
      <c r="P30" s="16" t="s">
        <v>4</v>
      </c>
      <c r="Q30" s="17">
        <v>3</v>
      </c>
      <c r="R30" s="17">
        <v>3</v>
      </c>
      <c r="S30" s="17">
        <v>3</v>
      </c>
      <c r="T30" s="17">
        <f>AVERAGE(Table143690117171252224225249[[#This Row],[Teste 1]:[Teste 3]])</f>
        <v>3</v>
      </c>
    </row>
    <row r="31" spans="1:20" x14ac:dyDescent="0.25">
      <c r="A31" s="16" t="s">
        <v>3</v>
      </c>
      <c r="B31" s="16" t="s">
        <v>5</v>
      </c>
      <c r="C31" s="17">
        <v>3.6666666666666599</v>
      </c>
      <c r="D31" s="17">
        <v>3.6666666666666599</v>
      </c>
      <c r="E31" s="17">
        <v>3.6666666666666599</v>
      </c>
      <c r="F31" s="17">
        <f>AVERAGE(Table143690117171252224225[[#This Row],[Teste 1]:[Teste 3]])</f>
        <v>3.6666666666666594</v>
      </c>
      <c r="G31" s="16"/>
      <c r="H31" s="16" t="s">
        <v>3</v>
      </c>
      <c r="I31" s="16" t="s">
        <v>5</v>
      </c>
      <c r="J31" s="17">
        <v>2.3332999999999999</v>
      </c>
      <c r="K31" s="17">
        <v>1.333</v>
      </c>
      <c r="L31" s="17">
        <v>2.3330000000000002</v>
      </c>
      <c r="M31" s="17">
        <f>AVERAGE(Table143690117171252224225237[[#This Row],[Teste 1]:[Teste 3]])</f>
        <v>1.9997666666666667</v>
      </c>
      <c r="N31" s="16"/>
      <c r="O31" s="16" t="s">
        <v>3</v>
      </c>
      <c r="P31" s="16" t="s">
        <v>5</v>
      </c>
      <c r="Q31" s="17">
        <v>341</v>
      </c>
      <c r="R31" s="17">
        <v>475.33333333333297</v>
      </c>
      <c r="S31" s="17">
        <v>510.666666666666</v>
      </c>
      <c r="T31" s="17">
        <f>AVERAGE(Table143690117171252224225249[[#This Row],[Teste 1]:[Teste 3]])</f>
        <v>442.33333333333303</v>
      </c>
    </row>
    <row r="32" spans="1:20" x14ac:dyDescent="0.25">
      <c r="A32" s="16" t="s">
        <v>3</v>
      </c>
      <c r="B32" s="16" t="s">
        <v>6</v>
      </c>
      <c r="C32" s="17">
        <v>1</v>
      </c>
      <c r="D32" s="17">
        <v>1</v>
      </c>
      <c r="E32" s="17">
        <v>1</v>
      </c>
      <c r="F32" s="17">
        <f>AVERAGE(Table143690117171252224225[[#This Row],[Teste 1]:[Teste 3]])</f>
        <v>1</v>
      </c>
      <c r="G32" s="16"/>
      <c r="H32" s="16" t="s">
        <v>3</v>
      </c>
      <c r="I32" s="16" t="s">
        <v>6</v>
      </c>
      <c r="J32" s="17">
        <v>0</v>
      </c>
      <c r="K32" s="17">
        <v>0</v>
      </c>
      <c r="L32" s="17">
        <v>0</v>
      </c>
      <c r="M32" s="17">
        <f>AVERAGE(Table143690117171252224225237[[#This Row],[Teste 1]:[Teste 3]])</f>
        <v>0</v>
      </c>
      <c r="N32" s="16"/>
      <c r="O32" s="16" t="s">
        <v>3</v>
      </c>
      <c r="P32" s="16" t="s">
        <v>6</v>
      </c>
      <c r="Q32" s="17">
        <v>2</v>
      </c>
      <c r="R32" s="17">
        <v>1</v>
      </c>
      <c r="S32" s="17">
        <v>3</v>
      </c>
      <c r="T32" s="17">
        <f>AVERAGE(Table143690117171252224225249[[#This Row],[Teste 1]:[Teste 3]])</f>
        <v>2</v>
      </c>
    </row>
    <row r="33" spans="1:20" x14ac:dyDescent="0.25">
      <c r="A33" s="16" t="s">
        <v>3</v>
      </c>
      <c r="B33" s="16" t="s">
        <v>7</v>
      </c>
      <c r="C33" s="17">
        <v>9</v>
      </c>
      <c r="D33" s="17">
        <v>9</v>
      </c>
      <c r="E33" s="17">
        <v>9</v>
      </c>
      <c r="F33" s="17">
        <f>AVERAGE(Table143690117171252224225[[#This Row],[Teste 1]:[Teste 3]])</f>
        <v>9</v>
      </c>
      <c r="G33" s="16"/>
      <c r="H33" s="16" t="s">
        <v>3</v>
      </c>
      <c r="I33" s="16" t="s">
        <v>7</v>
      </c>
      <c r="J33" s="17">
        <v>7</v>
      </c>
      <c r="K33" s="17">
        <v>6</v>
      </c>
      <c r="L33" s="17">
        <v>7</v>
      </c>
      <c r="M33" s="17">
        <f>AVERAGE(Table143690117171252224225237[[#This Row],[Teste 1]:[Teste 3]])</f>
        <v>6.666666666666667</v>
      </c>
      <c r="N33" s="16"/>
      <c r="O33" s="16" t="s">
        <v>3</v>
      </c>
      <c r="P33" s="16" t="s">
        <v>7</v>
      </c>
      <c r="Q33" s="17">
        <v>1012</v>
      </c>
      <c r="R33" s="17">
        <v>1409</v>
      </c>
      <c r="S33" s="17">
        <v>1512</v>
      </c>
      <c r="T33" s="17">
        <f>AVERAGE(Table143690117171252224225249[[#This Row],[Teste 1]:[Teste 3]])</f>
        <v>1311</v>
      </c>
    </row>
    <row r="34" spans="1:20" x14ac:dyDescent="0.25">
      <c r="A34" s="16" t="s">
        <v>3</v>
      </c>
      <c r="B34" s="16" t="s">
        <v>8</v>
      </c>
      <c r="C34" s="17">
        <v>9</v>
      </c>
      <c r="D34" s="17">
        <v>9</v>
      </c>
      <c r="E34" s="17">
        <v>9</v>
      </c>
      <c r="F34" s="17">
        <f>AVERAGE(Table143690117171252224225[[#This Row],[Teste 1]:[Teste 3]])</f>
        <v>9</v>
      </c>
      <c r="G34" s="16"/>
      <c r="H34" s="16" t="s">
        <v>3</v>
      </c>
      <c r="I34" s="16" t="s">
        <v>8</v>
      </c>
      <c r="J34" s="17">
        <v>7</v>
      </c>
      <c r="K34" s="17">
        <v>6</v>
      </c>
      <c r="L34" s="17">
        <v>7</v>
      </c>
      <c r="M34" s="17">
        <f>AVERAGE(Table143690117171252224225237[[#This Row],[Teste 1]:[Teste 3]])</f>
        <v>6.666666666666667</v>
      </c>
      <c r="N34" s="16"/>
      <c r="O34" s="16" t="s">
        <v>3</v>
      </c>
      <c r="P34" s="16" t="s">
        <v>8</v>
      </c>
      <c r="Q34" s="17">
        <v>1012</v>
      </c>
      <c r="R34" s="17">
        <v>1409</v>
      </c>
      <c r="S34" s="17">
        <v>1512</v>
      </c>
      <c r="T34" s="17">
        <f>AVERAGE(Table143690117171252224225249[[#This Row],[Teste 1]:[Teste 3]])</f>
        <v>1311</v>
      </c>
    </row>
    <row r="35" spans="1:20" x14ac:dyDescent="0.25">
      <c r="A35" s="16" t="s">
        <v>3</v>
      </c>
      <c r="B35" s="16" t="s">
        <v>9</v>
      </c>
      <c r="C35" s="17">
        <v>9</v>
      </c>
      <c r="D35" s="17">
        <v>9</v>
      </c>
      <c r="E35" s="17">
        <v>9</v>
      </c>
      <c r="F35" s="17">
        <f>AVERAGE(Table143690117171252224225[[#This Row],[Teste 1]:[Teste 3]])</f>
        <v>9</v>
      </c>
      <c r="G35" s="16"/>
      <c r="H35" s="16" t="s">
        <v>3</v>
      </c>
      <c r="I35" s="16" t="s">
        <v>9</v>
      </c>
      <c r="J35" s="17">
        <v>7</v>
      </c>
      <c r="K35" s="17">
        <v>6</v>
      </c>
      <c r="L35" s="17">
        <v>7</v>
      </c>
      <c r="M35" s="17">
        <f>AVERAGE(Table143690117171252224225237[[#This Row],[Teste 1]:[Teste 3]])</f>
        <v>6.666666666666667</v>
      </c>
      <c r="N35" s="16"/>
      <c r="O35" s="16" t="s">
        <v>3</v>
      </c>
      <c r="P35" s="16" t="s">
        <v>9</v>
      </c>
      <c r="Q35" s="17">
        <v>1012</v>
      </c>
      <c r="R35" s="17">
        <v>1409</v>
      </c>
      <c r="S35" s="17">
        <v>1512</v>
      </c>
      <c r="T35" s="17">
        <f>AVERAGE(Table143690117171252224225249[[#This Row],[Teste 1]:[Teste 3]])</f>
        <v>1311</v>
      </c>
    </row>
    <row r="36" spans="1:20" x14ac:dyDescent="0.25">
      <c r="A36" s="16" t="s">
        <v>17</v>
      </c>
      <c r="B36" s="16" t="s">
        <v>4</v>
      </c>
      <c r="C36" s="17">
        <v>100000</v>
      </c>
      <c r="D36" s="17">
        <v>100000</v>
      </c>
      <c r="E36" s="17">
        <v>100000</v>
      </c>
      <c r="F36" s="17">
        <f>AVERAGE(Table143690117171252224225[[#This Row],[Teste 1]:[Teste 3]])</f>
        <v>100000</v>
      </c>
      <c r="G36" s="16"/>
      <c r="H36" s="16" t="s">
        <v>17</v>
      </c>
      <c r="I36" s="16" t="s">
        <v>4</v>
      </c>
      <c r="J36" s="17">
        <v>100000</v>
      </c>
      <c r="K36" s="17">
        <v>100000</v>
      </c>
      <c r="L36" s="17">
        <v>100000</v>
      </c>
      <c r="M36" s="17">
        <f>AVERAGE(Table143690117171252224225237[[#This Row],[Teste 1]:[Teste 3]])</f>
        <v>100000</v>
      </c>
      <c r="N36" s="16"/>
      <c r="O36" s="16" t="s">
        <v>17</v>
      </c>
      <c r="P36" s="16" t="s">
        <v>4</v>
      </c>
      <c r="Q36" s="17">
        <v>100000</v>
      </c>
      <c r="R36" s="17">
        <v>100000</v>
      </c>
      <c r="S36" s="17">
        <v>100000</v>
      </c>
      <c r="T36" s="17">
        <f>AVERAGE(Table143690117171252224225249[[#This Row],[Teste 1]:[Teste 3]])</f>
        <v>100000</v>
      </c>
    </row>
    <row r="37" spans="1:20" x14ac:dyDescent="0.25">
      <c r="A37" s="16" t="s">
        <v>17</v>
      </c>
      <c r="B37" s="16" t="s">
        <v>5</v>
      </c>
      <c r="C37" s="17">
        <v>596.94298000000003</v>
      </c>
      <c r="D37" s="17">
        <v>618.88937999999996</v>
      </c>
      <c r="E37" s="17">
        <v>253.91476</v>
      </c>
      <c r="F37" s="17">
        <f>AVERAGE(Table143690117171252224225[[#This Row],[Teste 1]:[Teste 3]])</f>
        <v>489.91570666666667</v>
      </c>
      <c r="G37" s="16"/>
      <c r="H37" s="16" t="s">
        <v>17</v>
      </c>
      <c r="I37" s="16" t="s">
        <v>5</v>
      </c>
      <c r="J37" s="17">
        <v>622.46589900000004</v>
      </c>
      <c r="K37" s="17">
        <v>628.91</v>
      </c>
      <c r="L37" s="17">
        <v>596.24</v>
      </c>
      <c r="M37" s="17">
        <f>AVERAGE(Table143690117171252224225237[[#This Row],[Teste 1]:[Teste 3]])</f>
        <v>615.87196633333338</v>
      </c>
      <c r="N37" s="16"/>
      <c r="O37" s="16" t="s">
        <v>17</v>
      </c>
      <c r="P37" s="16" t="s">
        <v>5</v>
      </c>
      <c r="Q37" s="17">
        <v>340.14530000000002</v>
      </c>
      <c r="R37" s="17">
        <v>343.66705999999999</v>
      </c>
      <c r="S37" s="17">
        <v>325.81466</v>
      </c>
      <c r="T37" s="17">
        <f>AVERAGE(Table143690117171252224225249[[#This Row],[Teste 1]:[Teste 3]])</f>
        <v>336.54234000000002</v>
      </c>
    </row>
    <row r="38" spans="1:20" x14ac:dyDescent="0.25">
      <c r="A38" s="16" t="s">
        <v>17</v>
      </c>
      <c r="B38" s="16" t="s">
        <v>6</v>
      </c>
      <c r="C38" s="17">
        <v>129</v>
      </c>
      <c r="D38" s="17">
        <v>178</v>
      </c>
      <c r="E38" s="17">
        <v>89</v>
      </c>
      <c r="F38" s="17">
        <f>AVERAGE(Table143690117171252224225[[#This Row],[Teste 1]:[Teste 3]])</f>
        <v>132</v>
      </c>
      <c r="G38" s="16"/>
      <c r="H38" s="16" t="s">
        <v>17</v>
      </c>
      <c r="I38" s="16" t="s">
        <v>6</v>
      </c>
      <c r="J38" s="17">
        <v>306</v>
      </c>
      <c r="K38" s="17">
        <v>302</v>
      </c>
      <c r="L38" s="17">
        <v>307</v>
      </c>
      <c r="M38" s="17">
        <f>AVERAGE(Table143690117171252224225237[[#This Row],[Teste 1]:[Teste 3]])</f>
        <v>305</v>
      </c>
      <c r="N38" s="16"/>
      <c r="O38" s="16" t="s">
        <v>17</v>
      </c>
      <c r="P38" s="16" t="s">
        <v>6</v>
      </c>
      <c r="Q38" s="17">
        <v>167</v>
      </c>
      <c r="R38" s="17">
        <v>165</v>
      </c>
      <c r="S38" s="17">
        <v>168</v>
      </c>
      <c r="T38" s="17">
        <f>AVERAGE(Table143690117171252224225249[[#This Row],[Teste 1]:[Teste 3]])</f>
        <v>166.66666666666666</v>
      </c>
    </row>
    <row r="39" spans="1:20" x14ac:dyDescent="0.25">
      <c r="A39" s="16" t="s">
        <v>17</v>
      </c>
      <c r="B39" s="16" t="s">
        <v>7</v>
      </c>
      <c r="C39" s="17">
        <v>168319</v>
      </c>
      <c r="D39" s="17">
        <v>242559</v>
      </c>
      <c r="E39" s="17">
        <v>132991</v>
      </c>
      <c r="F39" s="17">
        <f>AVERAGE(Table143690117171252224225[[#This Row],[Teste 1]:[Teste 3]])</f>
        <v>181289.66666666666</v>
      </c>
      <c r="G39" s="16"/>
      <c r="H39" s="16" t="s">
        <v>17</v>
      </c>
      <c r="I39" s="16" t="s">
        <v>7</v>
      </c>
      <c r="J39" s="17">
        <v>67635</v>
      </c>
      <c r="K39" s="17">
        <v>76971.8</v>
      </c>
      <c r="L39" s="17">
        <v>67518</v>
      </c>
      <c r="M39" s="17">
        <f>AVERAGE(Table143690117171252224225237[[#This Row],[Teste 1]:[Teste 3]])</f>
        <v>70708.266666666663</v>
      </c>
      <c r="N39" s="16"/>
      <c r="O39" s="16" t="s">
        <v>17</v>
      </c>
      <c r="P39" s="16" t="s">
        <v>7</v>
      </c>
      <c r="Q39" s="17">
        <v>36959</v>
      </c>
      <c r="R39" s="17">
        <v>420607</v>
      </c>
      <c r="S39" s="17">
        <v>36895</v>
      </c>
      <c r="T39" s="17">
        <f>AVERAGE(Table143690117171252224225249[[#This Row],[Teste 1]:[Teste 3]])</f>
        <v>164820.33333333334</v>
      </c>
    </row>
    <row r="40" spans="1:20" x14ac:dyDescent="0.25">
      <c r="A40" s="16" t="s">
        <v>17</v>
      </c>
      <c r="B40" s="16" t="s">
        <v>8</v>
      </c>
      <c r="C40" s="17">
        <v>1285</v>
      </c>
      <c r="D40" s="17">
        <v>1274</v>
      </c>
      <c r="E40" s="17">
        <v>495</v>
      </c>
      <c r="F40" s="17">
        <f>AVERAGE(Table143690117171252224225[[#This Row],[Teste 1]:[Teste 3]])</f>
        <v>1018</v>
      </c>
      <c r="G40" s="16"/>
      <c r="H40" s="16" t="s">
        <v>17</v>
      </c>
      <c r="I40" s="16" t="s">
        <v>8</v>
      </c>
      <c r="J40" s="17">
        <v>1001</v>
      </c>
      <c r="K40" s="17">
        <v>1019</v>
      </c>
      <c r="L40" s="17">
        <v>975</v>
      </c>
      <c r="M40" s="17">
        <f>AVERAGE(Table143690117171252224225237[[#This Row],[Teste 1]:[Teste 3]])</f>
        <v>998.33333333333337</v>
      </c>
      <c r="N40" s="16"/>
      <c r="O40" s="16" t="s">
        <v>17</v>
      </c>
      <c r="P40" s="16" t="s">
        <v>8</v>
      </c>
      <c r="Q40" s="17">
        <v>547</v>
      </c>
      <c r="R40" s="17">
        <v>557</v>
      </c>
      <c r="S40" s="17">
        <v>533</v>
      </c>
      <c r="T40" s="17">
        <f>AVERAGE(Table143690117171252224225249[[#This Row],[Teste 1]:[Teste 3]])</f>
        <v>545.66666666666663</v>
      </c>
    </row>
    <row r="41" spans="1:20" x14ac:dyDescent="0.25">
      <c r="A41" s="16" t="s">
        <v>17</v>
      </c>
      <c r="B41" s="16" t="s">
        <v>9</v>
      </c>
      <c r="C41" s="17">
        <v>3373</v>
      </c>
      <c r="D41" s="17">
        <v>3475</v>
      </c>
      <c r="E41" s="17">
        <v>1329</v>
      </c>
      <c r="F41" s="17">
        <f>AVERAGE(Table143690117171252224225[[#This Row],[Teste 1]:[Teste 3]])</f>
        <v>2725.6666666666665</v>
      </c>
      <c r="G41" s="16"/>
      <c r="H41" s="16" t="s">
        <v>17</v>
      </c>
      <c r="I41" s="16" t="s">
        <v>9</v>
      </c>
      <c r="J41" s="17">
        <v>1563</v>
      </c>
      <c r="K41" s="17">
        <v>1477</v>
      </c>
      <c r="L41" s="17">
        <v>1411</v>
      </c>
      <c r="M41" s="17">
        <f>AVERAGE(Table143690117171252224225237[[#This Row],[Teste 1]:[Teste 3]])</f>
        <v>1483.6666666666667</v>
      </c>
      <c r="N41" s="16"/>
      <c r="O41" s="16" t="s">
        <v>17</v>
      </c>
      <c r="P41" s="16" t="s">
        <v>9</v>
      </c>
      <c r="Q41" s="17">
        <v>854</v>
      </c>
      <c r="R41" s="17">
        <v>807</v>
      </c>
      <c r="S41" s="17">
        <v>771</v>
      </c>
      <c r="T41" s="17">
        <f>AVERAGE(Table143690117171252224225249[[#This Row],[Teste 1]:[Teste 3]])</f>
        <v>810.66666666666663</v>
      </c>
    </row>
    <row r="42" spans="1:20" x14ac:dyDescent="0.25">
      <c r="A42" s="16" t="s">
        <v>17</v>
      </c>
      <c r="B42" s="16" t="s">
        <v>11</v>
      </c>
      <c r="C42" s="17">
        <v>100000</v>
      </c>
      <c r="D42" s="17">
        <v>100000</v>
      </c>
      <c r="E42" s="17">
        <v>100000</v>
      </c>
      <c r="F42" s="17">
        <f>AVERAGE(Table143690117171252224225[[#This Row],[Teste 1]:[Teste 3]])</f>
        <v>100000</v>
      </c>
      <c r="G42" s="16"/>
      <c r="H42" s="16" t="s">
        <v>17</v>
      </c>
      <c r="I42" s="16" t="s">
        <v>11</v>
      </c>
      <c r="J42" s="17">
        <v>100000</v>
      </c>
      <c r="K42" s="17">
        <v>100000</v>
      </c>
      <c r="L42" s="17">
        <v>100000</v>
      </c>
      <c r="M42" s="17">
        <f>AVERAGE(Table143690117171252224225237[[#This Row],[Teste 1]:[Teste 3]])</f>
        <v>100000</v>
      </c>
      <c r="N42" s="16"/>
      <c r="O42" s="16" t="s">
        <v>17</v>
      </c>
      <c r="P42" s="16" t="s">
        <v>11</v>
      </c>
      <c r="Q42" s="17">
        <v>100000</v>
      </c>
      <c r="R42" s="17">
        <v>100000</v>
      </c>
      <c r="S42" s="17">
        <v>100000</v>
      </c>
      <c r="T42" s="17">
        <f>AVERAGE(Table143690117171252224225249[[#This Row],[Teste 1]:[Teste 3]])</f>
        <v>100000</v>
      </c>
    </row>
    <row r="43" spans="1:20" x14ac:dyDescent="0.25">
      <c r="A43" s="16"/>
      <c r="B43" s="16"/>
      <c r="C43" s="17"/>
      <c r="D43" s="17"/>
      <c r="E43" s="17"/>
      <c r="F43" s="17"/>
      <c r="G43" s="16"/>
      <c r="H43" s="16"/>
      <c r="I43" s="16"/>
      <c r="J43" s="17"/>
      <c r="K43" s="17"/>
      <c r="L43" s="17"/>
      <c r="M43" s="17"/>
      <c r="N43" s="16"/>
      <c r="O43" s="16"/>
      <c r="P43" s="16"/>
      <c r="Q43" s="17"/>
      <c r="R43" s="17"/>
      <c r="S43" s="17"/>
      <c r="T43" s="17"/>
    </row>
    <row r="44" spans="1:20" x14ac:dyDescent="0.25">
      <c r="A44" s="16"/>
      <c r="B44" s="16"/>
      <c r="C44" s="17"/>
      <c r="D44" s="17"/>
      <c r="E44" s="17"/>
      <c r="F44" s="17"/>
      <c r="G44" s="16"/>
      <c r="H44" s="16"/>
      <c r="I44" s="16"/>
      <c r="J44" s="17"/>
      <c r="K44" s="17"/>
      <c r="L44" s="17"/>
      <c r="M44" s="17"/>
      <c r="N44" s="16"/>
      <c r="O44" s="16"/>
      <c r="P44" s="16"/>
      <c r="Q44" s="17"/>
      <c r="R44" s="17"/>
      <c r="S44" s="17"/>
      <c r="T44" s="17"/>
    </row>
    <row r="45" spans="1:20" x14ac:dyDescent="0.25">
      <c r="A45" s="16"/>
      <c r="B45" s="16"/>
      <c r="C45" s="17"/>
      <c r="D45" s="17"/>
      <c r="E45" s="17"/>
      <c r="F45" s="17"/>
      <c r="G45" s="16"/>
      <c r="H45" s="16"/>
      <c r="I45" s="16"/>
      <c r="J45" s="17"/>
      <c r="K45" s="17"/>
      <c r="L45" s="17"/>
      <c r="M45" s="17"/>
      <c r="N45" s="16"/>
      <c r="O45" s="16"/>
      <c r="P45" s="16"/>
      <c r="Q45" s="17"/>
      <c r="R45" s="17"/>
      <c r="S45" s="17"/>
      <c r="T45" s="17"/>
    </row>
    <row r="47" spans="1:20" ht="15.75" x14ac:dyDescent="0.25">
      <c r="A47" s="2" t="s">
        <v>73</v>
      </c>
      <c r="H47" s="2" t="s">
        <v>73</v>
      </c>
      <c r="O47" s="2" t="s">
        <v>73</v>
      </c>
    </row>
    <row r="48" spans="1:20" ht="15.75" x14ac:dyDescent="0.25">
      <c r="A48" s="16" t="s">
        <v>59</v>
      </c>
      <c r="B48" s="21" t="s">
        <v>62</v>
      </c>
      <c r="C48" s="16" t="s">
        <v>82</v>
      </c>
      <c r="D48" s="16" t="s">
        <v>64</v>
      </c>
      <c r="E48" s="16" t="s">
        <v>63</v>
      </c>
      <c r="F48" s="16" t="s">
        <v>18</v>
      </c>
      <c r="G48" s="16"/>
      <c r="H48" s="16" t="s">
        <v>12</v>
      </c>
      <c r="I48" s="21" t="s">
        <v>62</v>
      </c>
      <c r="J48" s="16" t="s">
        <v>82</v>
      </c>
      <c r="K48" s="16" t="s">
        <v>64</v>
      </c>
      <c r="L48" s="16" t="s">
        <v>63</v>
      </c>
      <c r="M48" s="16" t="s">
        <v>18</v>
      </c>
      <c r="N48" s="16"/>
      <c r="O48" s="16" t="s">
        <v>13</v>
      </c>
      <c r="P48" s="21" t="s">
        <v>62</v>
      </c>
      <c r="Q48" s="16" t="s">
        <v>82</v>
      </c>
      <c r="R48" s="16" t="s">
        <v>64</v>
      </c>
      <c r="S48" s="16" t="s">
        <v>63</v>
      </c>
      <c r="T48" s="16" t="s">
        <v>18</v>
      </c>
    </row>
    <row r="49" spans="1:20" x14ac:dyDescent="0.25">
      <c r="A49" s="16" t="s">
        <v>0</v>
      </c>
      <c r="B49" s="16" t="s">
        <v>1</v>
      </c>
      <c r="C49" s="17">
        <v>8473</v>
      </c>
      <c r="D49" s="17">
        <v>8198</v>
      </c>
      <c r="E49" s="17">
        <v>8063</v>
      </c>
      <c r="F49" s="17">
        <f>AVERAGE(Table143690117171252224226[[#This Row],[Teste 1]:[Teste 3]])</f>
        <v>8244.6666666666661</v>
      </c>
      <c r="G49" s="16"/>
      <c r="H49" s="16" t="s">
        <v>0</v>
      </c>
      <c r="I49" s="16" t="s">
        <v>1</v>
      </c>
      <c r="J49" s="17">
        <v>11564</v>
      </c>
      <c r="K49" s="17">
        <v>13035</v>
      </c>
      <c r="L49" s="17">
        <v>11478</v>
      </c>
      <c r="M49" s="17">
        <f>AVERAGE(Table143690117171252224226238[[#This Row],[Teste 1]:[Teste 3]])</f>
        <v>12025.666666666666</v>
      </c>
      <c r="N49" s="16"/>
      <c r="O49" s="16" t="s">
        <v>0</v>
      </c>
      <c r="P49" s="16" t="s">
        <v>1</v>
      </c>
      <c r="Q49" s="17">
        <v>8695</v>
      </c>
      <c r="R49" s="17">
        <v>9801</v>
      </c>
      <c r="S49" s="17">
        <v>8630</v>
      </c>
      <c r="T49" s="17">
        <f>AVERAGE(Table143690117171252224226250[[#This Row],[Teste 1]:[Teste 3]])</f>
        <v>9042</v>
      </c>
    </row>
    <row r="50" spans="1:20" x14ac:dyDescent="0.25">
      <c r="A50" s="16" t="s">
        <v>0</v>
      </c>
      <c r="B50" s="16" t="s">
        <v>2</v>
      </c>
      <c r="C50" s="17">
        <v>11802.1952083087</v>
      </c>
      <c r="D50" s="17">
        <v>12198.0970968528</v>
      </c>
      <c r="E50" s="17">
        <v>12493.485073395999</v>
      </c>
      <c r="F50" s="17">
        <f>AVERAGE(Table143690117171252224226[[#This Row],[Teste 1]:[Teste 3]])</f>
        <v>12164.592459519166</v>
      </c>
      <c r="G50" s="16"/>
      <c r="H50" s="16" t="s">
        <v>0</v>
      </c>
      <c r="I50" s="16" t="s">
        <v>2</v>
      </c>
      <c r="J50" s="17">
        <v>8647.27</v>
      </c>
      <c r="K50" s="17">
        <v>7671.46</v>
      </c>
      <c r="L50" s="17">
        <v>8712.39</v>
      </c>
      <c r="M50" s="17">
        <f>AVERAGE(Table143690117171252224226238[[#This Row],[Teste 1]:[Teste 3]])</f>
        <v>8343.7066666666669</v>
      </c>
      <c r="N50" s="16"/>
      <c r="O50" s="16" t="s">
        <v>0</v>
      </c>
      <c r="P50" s="16" t="s">
        <v>2</v>
      </c>
      <c r="Q50" s="17">
        <v>11500.862564692299</v>
      </c>
      <c r="R50" s="17">
        <v>10203.0405060708</v>
      </c>
      <c r="S50" s="17">
        <v>11587.4855156431</v>
      </c>
      <c r="T50" s="17">
        <f>AVERAGE(Table143690117171252224226250[[#This Row],[Teste 1]:[Teste 3]])</f>
        <v>11097.129528802068</v>
      </c>
    </row>
    <row r="51" spans="1:20" x14ac:dyDescent="0.25">
      <c r="A51" s="16" t="s">
        <v>3</v>
      </c>
      <c r="B51" s="16" t="s">
        <v>4</v>
      </c>
      <c r="C51" s="17">
        <v>6</v>
      </c>
      <c r="D51" s="17">
        <v>6</v>
      </c>
      <c r="E51" s="17">
        <v>6</v>
      </c>
      <c r="F51" s="17">
        <f>AVERAGE(Table143690117171252224226[[#This Row],[Teste 1]:[Teste 3]])</f>
        <v>6</v>
      </c>
      <c r="G51" s="16"/>
      <c r="H51" s="16" t="s">
        <v>3</v>
      </c>
      <c r="I51" s="16" t="s">
        <v>4</v>
      </c>
      <c r="J51" s="17">
        <v>6</v>
      </c>
      <c r="K51" s="17">
        <v>6</v>
      </c>
      <c r="L51" s="17">
        <v>6</v>
      </c>
      <c r="M51" s="17">
        <f>AVERAGE(Table143690117171252224226238[[#This Row],[Teste 1]:[Teste 3]])</f>
        <v>6</v>
      </c>
      <c r="N51" s="16"/>
      <c r="O51" s="16" t="s">
        <v>3</v>
      </c>
      <c r="P51" s="16" t="s">
        <v>4</v>
      </c>
      <c r="Q51" s="17">
        <v>6</v>
      </c>
      <c r="R51" s="17">
        <v>6</v>
      </c>
      <c r="S51" s="17">
        <v>6</v>
      </c>
      <c r="T51" s="17">
        <f>AVERAGE(Table143690117171252224226250[[#This Row],[Teste 1]:[Teste 3]])</f>
        <v>6</v>
      </c>
    </row>
    <row r="52" spans="1:20" x14ac:dyDescent="0.25">
      <c r="A52" s="16" t="s">
        <v>3</v>
      </c>
      <c r="B52" s="16" t="s">
        <v>5</v>
      </c>
      <c r="C52" s="17">
        <v>5.3333333333333304</v>
      </c>
      <c r="D52" s="17">
        <v>2.3333333333333299</v>
      </c>
      <c r="E52" s="17">
        <v>5.8333333333333304</v>
      </c>
      <c r="F52" s="17">
        <f>AVERAGE(Table143690117171252224226[[#This Row],[Teste 1]:[Teste 3]])</f>
        <v>4.4999999999999973</v>
      </c>
      <c r="G52" s="16"/>
      <c r="H52" s="16" t="s">
        <v>3</v>
      </c>
      <c r="I52" s="16" t="s">
        <v>5</v>
      </c>
      <c r="J52" s="17">
        <v>3</v>
      </c>
      <c r="K52" s="17">
        <v>3</v>
      </c>
      <c r="L52" s="17">
        <v>4.67</v>
      </c>
      <c r="M52" s="17">
        <f>AVERAGE(Table143690117171252224226238[[#This Row],[Teste 1]:[Teste 3]])</f>
        <v>3.5566666666666666</v>
      </c>
      <c r="N52" s="16"/>
      <c r="O52" s="16" t="s">
        <v>3</v>
      </c>
      <c r="P52" s="16" t="s">
        <v>5</v>
      </c>
      <c r="Q52" s="17">
        <v>244</v>
      </c>
      <c r="R52" s="17">
        <v>298</v>
      </c>
      <c r="S52" s="17">
        <v>187.666666666666</v>
      </c>
      <c r="T52" s="17">
        <f>AVERAGE(Table143690117171252224226250[[#This Row],[Teste 1]:[Teste 3]])</f>
        <v>243.22222222222203</v>
      </c>
    </row>
    <row r="53" spans="1:20" x14ac:dyDescent="0.25">
      <c r="A53" s="16" t="s">
        <v>3</v>
      </c>
      <c r="B53" s="16" t="s">
        <v>6</v>
      </c>
      <c r="C53" s="17">
        <v>1</v>
      </c>
      <c r="D53" s="17">
        <v>1</v>
      </c>
      <c r="E53" s="17">
        <v>0</v>
      </c>
      <c r="F53" s="17">
        <f>AVERAGE(Table143690117171252224226[[#This Row],[Teste 1]:[Teste 3]])</f>
        <v>0.66666666666666663</v>
      </c>
      <c r="G53" s="16"/>
      <c r="H53" s="16" t="s">
        <v>3</v>
      </c>
      <c r="I53" s="16" t="s">
        <v>6</v>
      </c>
      <c r="J53" s="17">
        <v>1</v>
      </c>
      <c r="K53" s="17">
        <v>1</v>
      </c>
      <c r="L53" s="17">
        <v>1</v>
      </c>
      <c r="M53" s="17">
        <f>AVERAGE(Table143690117171252224226238[[#This Row],[Teste 1]:[Teste 3]])</f>
        <v>1</v>
      </c>
      <c r="N53" s="16"/>
      <c r="O53" s="16" t="s">
        <v>3</v>
      </c>
      <c r="P53" s="16" t="s">
        <v>6</v>
      </c>
      <c r="Q53" s="17">
        <v>2</v>
      </c>
      <c r="R53" s="17">
        <v>3</v>
      </c>
      <c r="S53" s="17">
        <v>2</v>
      </c>
      <c r="T53" s="17">
        <f>AVERAGE(Table143690117171252224226250[[#This Row],[Teste 1]:[Teste 3]])</f>
        <v>2.3333333333333335</v>
      </c>
    </row>
    <row r="54" spans="1:20" x14ac:dyDescent="0.25">
      <c r="A54" s="16" t="s">
        <v>3</v>
      </c>
      <c r="B54" s="16" t="s">
        <v>7</v>
      </c>
      <c r="C54" s="17">
        <v>26</v>
      </c>
      <c r="D54" s="17">
        <v>7</v>
      </c>
      <c r="E54" s="17">
        <v>31</v>
      </c>
      <c r="F54" s="17">
        <f>AVERAGE(Table143690117171252224226[[#This Row],[Teste 1]:[Teste 3]])</f>
        <v>21.333333333333332</v>
      </c>
      <c r="G54" s="16"/>
      <c r="H54" s="16" t="s">
        <v>3</v>
      </c>
      <c r="I54" s="16" t="s">
        <v>7</v>
      </c>
      <c r="J54" s="17">
        <v>11</v>
      </c>
      <c r="K54" s="17">
        <v>11</v>
      </c>
      <c r="L54" s="17">
        <v>14</v>
      </c>
      <c r="M54" s="17">
        <f>AVERAGE(Table143690117171252224226238[[#This Row],[Teste 1]:[Teste 3]])</f>
        <v>12</v>
      </c>
      <c r="N54" s="16"/>
      <c r="O54" s="16" t="s">
        <v>3</v>
      </c>
      <c r="P54" s="16" t="s">
        <v>7</v>
      </c>
      <c r="Q54" s="17">
        <v>1442</v>
      </c>
      <c r="R54" s="17">
        <v>1762</v>
      </c>
      <c r="S54" s="17">
        <v>1106</v>
      </c>
      <c r="T54" s="17">
        <f>AVERAGE(Table143690117171252224226250[[#This Row],[Teste 1]:[Teste 3]])</f>
        <v>1436.6666666666667</v>
      </c>
    </row>
    <row r="55" spans="1:20" x14ac:dyDescent="0.25">
      <c r="A55" s="16" t="s">
        <v>3</v>
      </c>
      <c r="B55" s="16" t="s">
        <v>8</v>
      </c>
      <c r="C55" s="17">
        <v>26</v>
      </c>
      <c r="D55" s="17">
        <v>7</v>
      </c>
      <c r="E55" s="17">
        <v>31</v>
      </c>
      <c r="F55" s="17">
        <f>AVERAGE(Table143690117171252224226[[#This Row],[Teste 1]:[Teste 3]])</f>
        <v>21.333333333333332</v>
      </c>
      <c r="G55" s="16"/>
      <c r="H55" s="16" t="s">
        <v>3</v>
      </c>
      <c r="I55" s="16" t="s">
        <v>8</v>
      </c>
      <c r="J55" s="17">
        <v>11</v>
      </c>
      <c r="K55" s="17">
        <v>11</v>
      </c>
      <c r="L55" s="17">
        <v>14</v>
      </c>
      <c r="M55" s="17">
        <f>AVERAGE(Table143690117171252224226238[[#This Row],[Teste 1]:[Teste 3]])</f>
        <v>12</v>
      </c>
      <c r="N55" s="16"/>
      <c r="O55" s="16" t="s">
        <v>3</v>
      </c>
      <c r="P55" s="16" t="s">
        <v>8</v>
      </c>
      <c r="Q55" s="17">
        <v>1442</v>
      </c>
      <c r="R55" s="17">
        <v>1762</v>
      </c>
      <c r="S55" s="17">
        <v>1106</v>
      </c>
      <c r="T55" s="17">
        <f>AVERAGE(Table143690117171252224226250[[#This Row],[Teste 1]:[Teste 3]])</f>
        <v>1436.6666666666667</v>
      </c>
    </row>
    <row r="56" spans="1:20" x14ac:dyDescent="0.25">
      <c r="A56" s="16" t="s">
        <v>3</v>
      </c>
      <c r="B56" s="16" t="s">
        <v>9</v>
      </c>
      <c r="C56" s="17">
        <v>26</v>
      </c>
      <c r="D56" s="17">
        <v>7</v>
      </c>
      <c r="E56" s="17">
        <v>31</v>
      </c>
      <c r="F56" s="17">
        <f>AVERAGE(Table143690117171252224226[[#This Row],[Teste 1]:[Teste 3]])</f>
        <v>21.333333333333332</v>
      </c>
      <c r="G56" s="16"/>
      <c r="H56" s="16" t="s">
        <v>3</v>
      </c>
      <c r="I56" s="16" t="s">
        <v>9</v>
      </c>
      <c r="J56" s="17">
        <v>11</v>
      </c>
      <c r="K56" s="17">
        <v>11</v>
      </c>
      <c r="L56" s="17">
        <v>14</v>
      </c>
      <c r="M56" s="17">
        <f>AVERAGE(Table143690117171252224226238[[#This Row],[Teste 1]:[Teste 3]])</f>
        <v>12</v>
      </c>
      <c r="N56" s="16"/>
      <c r="O56" s="16" t="s">
        <v>3</v>
      </c>
      <c r="P56" s="16" t="s">
        <v>9</v>
      </c>
      <c r="Q56" s="17">
        <v>1442</v>
      </c>
      <c r="R56" s="17">
        <v>1762</v>
      </c>
      <c r="S56" s="17">
        <v>1106</v>
      </c>
      <c r="T56" s="17">
        <f>AVERAGE(Table143690117171252224226250[[#This Row],[Teste 1]:[Teste 3]])</f>
        <v>1436.6666666666667</v>
      </c>
    </row>
    <row r="57" spans="1:20" x14ac:dyDescent="0.25">
      <c r="A57" s="16" t="s">
        <v>17</v>
      </c>
      <c r="B57" s="16" t="s">
        <v>4</v>
      </c>
      <c r="C57" s="17">
        <v>100000</v>
      </c>
      <c r="D57" s="17">
        <v>100000</v>
      </c>
      <c r="E57" s="17">
        <v>100000</v>
      </c>
      <c r="F57" s="17">
        <f>AVERAGE(Table143690117171252224226[[#This Row],[Teste 1]:[Teste 3]])</f>
        <v>100000</v>
      </c>
      <c r="G57" s="16"/>
      <c r="H57" s="16" t="s">
        <v>17</v>
      </c>
      <c r="I57" s="16" t="s">
        <v>4</v>
      </c>
      <c r="J57" s="17">
        <v>100000</v>
      </c>
      <c r="K57" s="17">
        <v>100000</v>
      </c>
      <c r="L57" s="17">
        <v>100000</v>
      </c>
      <c r="M57" s="17">
        <f>AVERAGE(Table143690117171252224226238[[#This Row],[Teste 1]:[Teste 3]])</f>
        <v>100000</v>
      </c>
      <c r="N57" s="16"/>
      <c r="O57" s="16" t="s">
        <v>17</v>
      </c>
      <c r="P57" s="16" t="s">
        <v>4</v>
      </c>
      <c r="Q57" s="17">
        <v>100000</v>
      </c>
      <c r="R57" s="17">
        <v>100000</v>
      </c>
      <c r="S57" s="17">
        <v>100000</v>
      </c>
      <c r="T57" s="17">
        <f>AVERAGE(Table143690117171252224226250[[#This Row],[Teste 1]:[Teste 3]])</f>
        <v>100000</v>
      </c>
    </row>
    <row r="58" spans="1:20" x14ac:dyDescent="0.25">
      <c r="A58" s="16" t="s">
        <v>17</v>
      </c>
      <c r="B58" s="16" t="s">
        <v>5</v>
      </c>
      <c r="C58" s="17">
        <v>442.27918</v>
      </c>
      <c r="D58" s="17">
        <v>430.12401999999997</v>
      </c>
      <c r="E58" s="17">
        <v>288.5127</v>
      </c>
      <c r="F58" s="17">
        <f>AVERAGE(Table143690117171252224226[[#This Row],[Teste 1]:[Teste 3]])</f>
        <v>386.97196666666667</v>
      </c>
      <c r="G58" s="16"/>
      <c r="H58" s="16" t="s">
        <v>17</v>
      </c>
      <c r="I58" s="16" t="s">
        <v>5</v>
      </c>
      <c r="J58" s="17">
        <v>621.55999999999995</v>
      </c>
      <c r="K58" s="17">
        <v>708.95</v>
      </c>
      <c r="L58" s="17">
        <v>619.26</v>
      </c>
      <c r="M58" s="17">
        <f>AVERAGE(Table143690117171252224226238[[#This Row],[Teste 1]:[Teste 3]])</f>
        <v>649.92333333333329</v>
      </c>
      <c r="N58" s="16"/>
      <c r="O58" s="16" t="s">
        <v>17</v>
      </c>
      <c r="P58" s="16" t="s">
        <v>5</v>
      </c>
      <c r="Q58" s="17">
        <v>467.33897000000002</v>
      </c>
      <c r="R58" s="17">
        <v>533.04148999999995</v>
      </c>
      <c r="S58" s="17">
        <v>465.60610000000003</v>
      </c>
      <c r="T58" s="17">
        <f>AVERAGE(Table143690117171252224226250[[#This Row],[Teste 1]:[Teste 3]])</f>
        <v>488.66218666666668</v>
      </c>
    </row>
    <row r="59" spans="1:20" x14ac:dyDescent="0.25">
      <c r="A59" s="16" t="s">
        <v>17</v>
      </c>
      <c r="B59" s="16" t="s">
        <v>6</v>
      </c>
      <c r="C59" s="17">
        <v>90</v>
      </c>
      <c r="D59" s="17">
        <v>98</v>
      </c>
      <c r="E59" s="17">
        <v>84</v>
      </c>
      <c r="F59" s="17">
        <f>AVERAGE(Table143690117171252224226[[#This Row],[Teste 1]:[Teste 3]])</f>
        <v>90.666666666666671</v>
      </c>
      <c r="G59" s="16"/>
      <c r="H59" s="16" t="s">
        <v>17</v>
      </c>
      <c r="I59" s="16" t="s">
        <v>6</v>
      </c>
      <c r="J59" s="17">
        <v>206</v>
      </c>
      <c r="K59" s="17">
        <v>234</v>
      </c>
      <c r="L59" s="17">
        <v>226</v>
      </c>
      <c r="M59" s="17">
        <f>AVERAGE(Table143690117171252224226238[[#This Row],[Teste 1]:[Teste 3]])</f>
        <v>222</v>
      </c>
      <c r="N59" s="16"/>
      <c r="O59" s="16" t="s">
        <v>17</v>
      </c>
      <c r="P59" s="16" t="s">
        <v>6</v>
      </c>
      <c r="Q59" s="17">
        <v>155</v>
      </c>
      <c r="R59" s="17">
        <v>176</v>
      </c>
      <c r="S59" s="17">
        <v>170</v>
      </c>
      <c r="T59" s="17">
        <f>AVERAGE(Table143690117171252224226250[[#This Row],[Teste 1]:[Teste 3]])</f>
        <v>167</v>
      </c>
    </row>
    <row r="60" spans="1:20" x14ac:dyDescent="0.25">
      <c r="A60" s="16" t="s">
        <v>17</v>
      </c>
      <c r="B60" s="16" t="s">
        <v>7</v>
      </c>
      <c r="C60" s="17">
        <v>201087</v>
      </c>
      <c r="D60" s="17">
        <v>192255</v>
      </c>
      <c r="E60" s="17">
        <v>200447</v>
      </c>
      <c r="F60" s="17">
        <f>AVERAGE(Table143690117171252224226[[#This Row],[Teste 1]:[Teste 3]])</f>
        <v>197929.66666666666</v>
      </c>
      <c r="G60" s="16"/>
      <c r="H60" s="16" t="s">
        <v>17</v>
      </c>
      <c r="I60" s="16" t="s">
        <v>7</v>
      </c>
      <c r="J60" s="17">
        <v>47017</v>
      </c>
      <c r="K60" s="17">
        <v>49879</v>
      </c>
      <c r="L60" s="17">
        <v>47453</v>
      </c>
      <c r="M60" s="17">
        <f>AVERAGE(Table143690117171252224226238[[#This Row],[Teste 1]:[Teste 3]])</f>
        <v>48116.333333333336</v>
      </c>
      <c r="N60" s="16"/>
      <c r="O60" s="16" t="s">
        <v>17</v>
      </c>
      <c r="P60" s="16" t="s">
        <v>7</v>
      </c>
      <c r="Q60" s="17">
        <v>185727</v>
      </c>
      <c r="R60" s="17">
        <v>37503</v>
      </c>
      <c r="S60" s="17">
        <v>35679</v>
      </c>
      <c r="T60" s="17">
        <f>AVERAGE(Table143690117171252224226250[[#This Row],[Teste 1]:[Teste 3]])</f>
        <v>86303</v>
      </c>
    </row>
    <row r="61" spans="1:20" x14ac:dyDescent="0.25">
      <c r="A61" s="16" t="s">
        <v>17</v>
      </c>
      <c r="B61" s="16" t="s">
        <v>8</v>
      </c>
      <c r="C61" s="17">
        <v>826</v>
      </c>
      <c r="D61" s="17">
        <v>767</v>
      </c>
      <c r="E61" s="17">
        <v>538</v>
      </c>
      <c r="F61" s="17">
        <f>AVERAGE(Table143690117171252224226[[#This Row],[Teste 1]:[Teste 3]])</f>
        <v>710.33333333333337</v>
      </c>
      <c r="G61" s="16"/>
      <c r="H61" s="16" t="s">
        <v>17</v>
      </c>
      <c r="I61" s="16" t="s">
        <v>8</v>
      </c>
      <c r="J61" s="17">
        <v>1226</v>
      </c>
      <c r="K61" s="17">
        <v>1689</v>
      </c>
      <c r="L61" s="17">
        <v>1242</v>
      </c>
      <c r="M61" s="17">
        <f>AVERAGE(Table143690117171252224226238[[#This Row],[Teste 1]:[Teste 3]])</f>
        <v>1385.6666666666667</v>
      </c>
      <c r="N61" s="16"/>
      <c r="O61" s="16" t="s">
        <v>17</v>
      </c>
      <c r="P61" s="16" t="s">
        <v>8</v>
      </c>
      <c r="Q61" s="17">
        <v>922</v>
      </c>
      <c r="R61" s="17">
        <v>1270</v>
      </c>
      <c r="S61" s="17">
        <v>934</v>
      </c>
      <c r="T61" s="17">
        <f>AVERAGE(Table143690117171252224226250[[#This Row],[Teste 1]:[Teste 3]])</f>
        <v>1042</v>
      </c>
    </row>
    <row r="62" spans="1:20" x14ac:dyDescent="0.25">
      <c r="A62" s="16" t="s">
        <v>17</v>
      </c>
      <c r="B62" s="16" t="s">
        <v>9</v>
      </c>
      <c r="C62" s="17">
        <v>1741</v>
      </c>
      <c r="D62" s="17">
        <v>1415</v>
      </c>
      <c r="E62" s="17">
        <v>1448</v>
      </c>
      <c r="F62" s="17">
        <f>AVERAGE(Table143690117171252224226[[#This Row],[Teste 1]:[Teste 3]])</f>
        <v>1534.6666666666667</v>
      </c>
      <c r="G62" s="16"/>
      <c r="H62" s="16" t="s">
        <v>17</v>
      </c>
      <c r="I62" s="16" t="s">
        <v>9</v>
      </c>
      <c r="J62" s="17">
        <v>2385</v>
      </c>
      <c r="K62" s="17">
        <v>3010</v>
      </c>
      <c r="L62" s="17">
        <v>2157</v>
      </c>
      <c r="M62" s="17">
        <f>AVERAGE(Table143690117171252224226238[[#This Row],[Teste 1]:[Teste 3]])</f>
        <v>2517.3333333333335</v>
      </c>
      <c r="N62" s="16"/>
      <c r="O62" s="16" t="s">
        <v>17</v>
      </c>
      <c r="P62" s="16" t="s">
        <v>9</v>
      </c>
      <c r="Q62" s="17">
        <v>1793</v>
      </c>
      <c r="R62" s="17">
        <v>2263</v>
      </c>
      <c r="S62" s="17">
        <v>1622</v>
      </c>
      <c r="T62" s="17">
        <f>AVERAGE(Table143690117171252224226250[[#This Row],[Teste 1]:[Teste 3]])</f>
        <v>1892.6666666666667</v>
      </c>
    </row>
    <row r="63" spans="1:20" x14ac:dyDescent="0.25">
      <c r="A63" s="16" t="s">
        <v>17</v>
      </c>
      <c r="B63" s="16" t="s">
        <v>11</v>
      </c>
      <c r="C63" s="17">
        <v>100000</v>
      </c>
      <c r="D63" s="17">
        <v>100000</v>
      </c>
      <c r="E63" s="17">
        <v>100000</v>
      </c>
      <c r="F63" s="17">
        <f>AVERAGE(Table143690117171252224226[[#This Row],[Teste 1]:[Teste 3]])</f>
        <v>100000</v>
      </c>
      <c r="G63" s="16"/>
      <c r="H63" s="16" t="s">
        <v>17</v>
      </c>
      <c r="I63" s="16" t="s">
        <v>11</v>
      </c>
      <c r="J63" s="17">
        <v>100000</v>
      </c>
      <c r="K63" s="17">
        <v>100000</v>
      </c>
      <c r="L63" s="17">
        <v>100000</v>
      </c>
      <c r="M63" s="17">
        <f>AVERAGE(Table143690117171252224226238[[#This Row],[Teste 1]:[Teste 3]])</f>
        <v>100000</v>
      </c>
      <c r="N63" s="16"/>
      <c r="O63" s="16" t="s">
        <v>17</v>
      </c>
      <c r="P63" s="16" t="s">
        <v>11</v>
      </c>
      <c r="Q63" s="17">
        <v>100000</v>
      </c>
      <c r="R63" s="17">
        <v>100000</v>
      </c>
      <c r="S63" s="17">
        <v>100000</v>
      </c>
      <c r="T63" s="17">
        <f>AVERAGE(Table143690117171252224226250[[#This Row],[Teste 1]:[Teste 3]])</f>
        <v>100000</v>
      </c>
    </row>
    <row r="64" spans="1:20" x14ac:dyDescent="0.25">
      <c r="A64" s="16"/>
      <c r="B64" s="16"/>
      <c r="C64" s="17"/>
      <c r="D64" s="17"/>
      <c r="E64" s="17"/>
      <c r="F64" s="17"/>
      <c r="G64" s="16"/>
      <c r="H64" s="16"/>
      <c r="I64" s="16"/>
      <c r="J64" s="17"/>
      <c r="K64" s="17"/>
      <c r="L64" s="17"/>
      <c r="M64" s="17"/>
      <c r="N64" s="16"/>
      <c r="O64" s="16"/>
      <c r="P64" s="16"/>
      <c r="Q64" s="17"/>
      <c r="R64" s="17"/>
      <c r="S64" s="17"/>
      <c r="T64" s="17"/>
    </row>
    <row r="65" spans="1:20" x14ac:dyDescent="0.25">
      <c r="A65" s="16"/>
      <c r="B65" s="16"/>
      <c r="C65" s="17"/>
      <c r="D65" s="17"/>
      <c r="E65" s="17"/>
      <c r="F65" s="17"/>
      <c r="G65" s="16"/>
      <c r="H65" s="16"/>
      <c r="I65" s="16"/>
      <c r="J65" s="17"/>
      <c r="K65" s="17"/>
      <c r="L65" s="17"/>
      <c r="M65" s="17"/>
      <c r="N65" s="16"/>
      <c r="O65" s="16"/>
      <c r="P65" s="16"/>
      <c r="Q65" s="17"/>
      <c r="R65" s="17"/>
      <c r="S65" s="17"/>
      <c r="T65" s="17"/>
    </row>
    <row r="66" spans="1:20" x14ac:dyDescent="0.25">
      <c r="A66" s="16"/>
      <c r="B66" s="16"/>
      <c r="C66" s="17"/>
      <c r="D66" s="17"/>
      <c r="E66" s="17"/>
      <c r="F66" s="17"/>
      <c r="G66" s="16"/>
      <c r="H66" s="16"/>
      <c r="I66" s="16"/>
      <c r="J66" s="17"/>
      <c r="K66" s="17"/>
      <c r="L66" s="17"/>
      <c r="M66" s="17"/>
      <c r="N66" s="16"/>
      <c r="O66" s="16"/>
      <c r="P66" s="16"/>
      <c r="Q66" s="17"/>
      <c r="R66" s="17"/>
      <c r="S66" s="17"/>
      <c r="T66" s="17"/>
    </row>
    <row r="69" spans="1:20" ht="15.75" x14ac:dyDescent="0.25">
      <c r="A69" s="2" t="s">
        <v>66</v>
      </c>
      <c r="H69" s="2" t="s">
        <v>66</v>
      </c>
      <c r="O69" s="2" t="s">
        <v>66</v>
      </c>
    </row>
    <row r="70" spans="1:20" ht="15.75" x14ac:dyDescent="0.25">
      <c r="A70" s="2" t="s">
        <v>65</v>
      </c>
      <c r="H70" s="2" t="s">
        <v>65</v>
      </c>
      <c r="O70" s="2" t="s">
        <v>65</v>
      </c>
    </row>
    <row r="71" spans="1:20" ht="15.75" x14ac:dyDescent="0.25">
      <c r="A71" s="16" t="s">
        <v>59</v>
      </c>
      <c r="B71" s="21" t="s">
        <v>66</v>
      </c>
      <c r="C71" s="16" t="s">
        <v>82</v>
      </c>
      <c r="D71" s="16" t="s">
        <v>64</v>
      </c>
      <c r="E71" s="16" t="s">
        <v>63</v>
      </c>
      <c r="F71" s="16" t="s">
        <v>18</v>
      </c>
      <c r="G71" s="16"/>
      <c r="H71" s="16" t="s">
        <v>12</v>
      </c>
      <c r="I71" s="21" t="s">
        <v>66</v>
      </c>
      <c r="J71" s="16" t="s">
        <v>82</v>
      </c>
      <c r="K71" s="16" t="s">
        <v>64</v>
      </c>
      <c r="L71" s="16" t="s">
        <v>63</v>
      </c>
      <c r="M71" s="16" t="s">
        <v>18</v>
      </c>
      <c r="N71" s="16"/>
      <c r="O71" s="16" t="s">
        <v>13</v>
      </c>
      <c r="P71" s="21" t="s">
        <v>66</v>
      </c>
      <c r="Q71" s="16" t="s">
        <v>82</v>
      </c>
      <c r="R71" s="16" t="s">
        <v>64</v>
      </c>
      <c r="S71" s="16" t="s">
        <v>63</v>
      </c>
      <c r="T71" s="16" t="s">
        <v>18</v>
      </c>
    </row>
    <row r="72" spans="1:20" x14ac:dyDescent="0.25">
      <c r="A72" s="16" t="s">
        <v>0</v>
      </c>
      <c r="B72" s="16" t="s">
        <v>1</v>
      </c>
      <c r="C72" s="17">
        <v>294259</v>
      </c>
      <c r="D72" s="17">
        <v>286832</v>
      </c>
      <c r="E72" s="17">
        <v>338204</v>
      </c>
      <c r="F72" s="17">
        <f>AVERAGE(Table143690117171252224227[[#This Row],[Teste 1]:[Teste 3]])</f>
        <v>306431.66666666669</v>
      </c>
      <c r="G72" s="16"/>
      <c r="H72" s="16" t="s">
        <v>0</v>
      </c>
      <c r="I72" s="16" t="s">
        <v>1</v>
      </c>
      <c r="J72" s="17">
        <v>752411</v>
      </c>
      <c r="K72" s="17">
        <v>760738</v>
      </c>
      <c r="L72" s="17">
        <v>756083</v>
      </c>
      <c r="M72" s="17">
        <f>AVERAGE(Table143690117171252224227239[[#This Row],[Teste 1]:[Teste 3]])</f>
        <v>756410.66666666663</v>
      </c>
      <c r="N72" s="16"/>
      <c r="O72" s="16" t="s">
        <v>0</v>
      </c>
      <c r="P72" s="16" t="s">
        <v>1</v>
      </c>
      <c r="Q72" s="17">
        <v>665850</v>
      </c>
      <c r="R72" s="17">
        <v>673219</v>
      </c>
      <c r="S72" s="17">
        <v>669100</v>
      </c>
      <c r="T72" s="17">
        <f>AVERAGE(Table143690117171252224227251[[#This Row],[Teste 1]:[Teste 3]])</f>
        <v>669389.66666666663</v>
      </c>
    </row>
    <row r="73" spans="1:20" x14ac:dyDescent="0.25">
      <c r="A73" s="16" t="s">
        <v>0</v>
      </c>
      <c r="B73" s="16" t="s">
        <v>2</v>
      </c>
      <c r="C73" s="17">
        <v>3398.3667449423801</v>
      </c>
      <c r="D73" s="17">
        <v>3486.36135438165</v>
      </c>
      <c r="E73" s="17">
        <v>2956.7953069744799</v>
      </c>
      <c r="F73" s="17">
        <f>AVERAGE(Table143690117171252224227[[#This Row],[Teste 1]:[Teste 3]])</f>
        <v>3280.5078020995038</v>
      </c>
      <c r="G73" s="16"/>
      <c r="H73" s="16" t="s">
        <v>0</v>
      </c>
      <c r="I73" s="16" t="s">
        <v>2</v>
      </c>
      <c r="J73" s="17">
        <v>1329.06</v>
      </c>
      <c r="K73" s="17">
        <v>1314.52</v>
      </c>
      <c r="L73" s="17">
        <v>1322.61</v>
      </c>
      <c r="M73" s="17">
        <f>AVERAGE(Table143690117171252224227239[[#This Row],[Teste 1]:[Teste 3]])</f>
        <v>1322.0633333333333</v>
      </c>
      <c r="N73" s="16"/>
      <c r="O73" s="16" t="s">
        <v>0</v>
      </c>
      <c r="P73" s="16" t="s">
        <v>2</v>
      </c>
      <c r="Q73" s="17">
        <v>1501.83975369828</v>
      </c>
      <c r="R73" s="17">
        <v>1485.40073883832</v>
      </c>
      <c r="S73" s="17">
        <v>1494.5449110745701</v>
      </c>
      <c r="T73" s="17">
        <f>AVERAGE(Table143690117171252224227251[[#This Row],[Teste 1]:[Teste 3]])</f>
        <v>1493.92846787039</v>
      </c>
    </row>
    <row r="74" spans="1:20" x14ac:dyDescent="0.25">
      <c r="A74" s="16" t="s">
        <v>3</v>
      </c>
      <c r="B74" s="16" t="s">
        <v>4</v>
      </c>
      <c r="C74" s="17">
        <v>1</v>
      </c>
      <c r="D74" s="17">
        <v>1</v>
      </c>
      <c r="E74" s="17">
        <v>1</v>
      </c>
      <c r="F74" s="17">
        <f>AVERAGE(Table143690117171252224227[[#This Row],[Teste 1]:[Teste 3]])</f>
        <v>1</v>
      </c>
      <c r="G74" s="16"/>
      <c r="H74" s="16" t="s">
        <v>3</v>
      </c>
      <c r="I74" s="16" t="s">
        <v>4</v>
      </c>
      <c r="J74" s="17">
        <v>1</v>
      </c>
      <c r="K74" s="17">
        <v>1</v>
      </c>
      <c r="L74" s="17">
        <v>1</v>
      </c>
      <c r="M74" s="17">
        <f>AVERAGE(Table143690117171252224227239[[#This Row],[Teste 1]:[Teste 3]])</f>
        <v>1</v>
      </c>
      <c r="N74" s="16"/>
      <c r="O74" s="16" t="s">
        <v>3</v>
      </c>
      <c r="P74" s="16" t="s">
        <v>4</v>
      </c>
      <c r="Q74" s="17">
        <v>1</v>
      </c>
      <c r="R74" s="17">
        <v>1</v>
      </c>
      <c r="S74" s="17">
        <v>1</v>
      </c>
      <c r="T74" s="17">
        <f>AVERAGE(Table143690117171252224227251[[#This Row],[Teste 1]:[Teste 3]])</f>
        <v>1</v>
      </c>
    </row>
    <row r="75" spans="1:20" x14ac:dyDescent="0.25">
      <c r="A75" s="16" t="s">
        <v>3</v>
      </c>
      <c r="B75" s="16" t="s">
        <v>5</v>
      </c>
      <c r="C75" s="17">
        <v>2</v>
      </c>
      <c r="D75" s="17">
        <v>2</v>
      </c>
      <c r="E75" s="17">
        <v>2</v>
      </c>
      <c r="F75" s="17">
        <f>AVERAGE(Table143690117171252224227[[#This Row],[Teste 1]:[Teste 3]])</f>
        <v>2</v>
      </c>
      <c r="G75" s="16"/>
      <c r="H75" s="16" t="s">
        <v>3</v>
      </c>
      <c r="I75" s="16" t="s">
        <v>5</v>
      </c>
      <c r="J75" s="17">
        <v>17</v>
      </c>
      <c r="K75" s="17">
        <v>7</v>
      </c>
      <c r="L75" s="17">
        <v>11</v>
      </c>
      <c r="M75" s="17">
        <f>AVERAGE(Table143690117171252224227239[[#This Row],[Teste 1]:[Teste 3]])</f>
        <v>11.666666666666666</v>
      </c>
      <c r="N75" s="16"/>
      <c r="O75" s="16" t="s">
        <v>3</v>
      </c>
      <c r="P75" s="16" t="s">
        <v>5</v>
      </c>
      <c r="Q75" s="17">
        <v>19000</v>
      </c>
      <c r="R75" s="17">
        <v>2249</v>
      </c>
      <c r="S75" s="17">
        <v>2673</v>
      </c>
      <c r="T75" s="17">
        <f>AVERAGE(Table143690117171252224227251[[#This Row],[Teste 1]:[Teste 3]])</f>
        <v>7974</v>
      </c>
    </row>
    <row r="76" spans="1:20" x14ac:dyDescent="0.25">
      <c r="A76" s="16" t="s">
        <v>3</v>
      </c>
      <c r="B76" s="16" t="s">
        <v>6</v>
      </c>
      <c r="C76" s="17">
        <v>2</v>
      </c>
      <c r="D76" s="17">
        <v>2</v>
      </c>
      <c r="E76" s="17">
        <v>2</v>
      </c>
      <c r="F76" s="17">
        <f>AVERAGE(Table143690117171252224227[[#This Row],[Teste 1]:[Teste 3]])</f>
        <v>2</v>
      </c>
      <c r="G76" s="16"/>
      <c r="H76" s="16" t="s">
        <v>3</v>
      </c>
      <c r="I76" s="16" t="s">
        <v>6</v>
      </c>
      <c r="J76" s="17">
        <v>17</v>
      </c>
      <c r="K76" s="17">
        <v>7</v>
      </c>
      <c r="L76" s="17">
        <v>11</v>
      </c>
      <c r="M76" s="17">
        <f>AVERAGE(Table143690117171252224227239[[#This Row],[Teste 1]:[Teste 3]])</f>
        <v>11.666666666666666</v>
      </c>
      <c r="N76" s="16"/>
      <c r="O76" s="16" t="s">
        <v>3</v>
      </c>
      <c r="P76" s="16" t="s">
        <v>6</v>
      </c>
      <c r="Q76" s="17">
        <v>19000</v>
      </c>
      <c r="R76" s="17">
        <v>2249</v>
      </c>
      <c r="S76" s="17">
        <v>2673</v>
      </c>
      <c r="T76" s="17">
        <f>AVERAGE(Table143690117171252224227251[[#This Row],[Teste 1]:[Teste 3]])</f>
        <v>7974</v>
      </c>
    </row>
    <row r="77" spans="1:20" x14ac:dyDescent="0.25">
      <c r="A77" s="16" t="s">
        <v>3</v>
      </c>
      <c r="B77" s="16" t="s">
        <v>7</v>
      </c>
      <c r="C77" s="17">
        <v>2</v>
      </c>
      <c r="D77" s="17">
        <v>2</v>
      </c>
      <c r="E77" s="17">
        <v>2</v>
      </c>
      <c r="F77" s="17">
        <f>AVERAGE(Table143690117171252224227[[#This Row],[Teste 1]:[Teste 3]])</f>
        <v>2</v>
      </c>
      <c r="G77" s="16"/>
      <c r="H77" s="16" t="s">
        <v>3</v>
      </c>
      <c r="I77" s="16" t="s">
        <v>7</v>
      </c>
      <c r="J77" s="17">
        <v>17</v>
      </c>
      <c r="K77" s="17">
        <v>7</v>
      </c>
      <c r="L77" s="17">
        <v>11</v>
      </c>
      <c r="M77" s="17">
        <f>AVERAGE(Table143690117171252224227239[[#This Row],[Teste 1]:[Teste 3]])</f>
        <v>11.666666666666666</v>
      </c>
      <c r="N77" s="16"/>
      <c r="O77" s="16" t="s">
        <v>3</v>
      </c>
      <c r="P77" s="16" t="s">
        <v>7</v>
      </c>
      <c r="Q77" s="17">
        <v>19000</v>
      </c>
      <c r="R77" s="17">
        <v>2249</v>
      </c>
      <c r="S77" s="17">
        <v>2673</v>
      </c>
      <c r="T77" s="17">
        <f>AVERAGE(Table143690117171252224227251[[#This Row],[Teste 1]:[Teste 3]])</f>
        <v>7974</v>
      </c>
    </row>
    <row r="78" spans="1:20" x14ac:dyDescent="0.25">
      <c r="A78" s="16" t="s">
        <v>3</v>
      </c>
      <c r="B78" s="16" t="s">
        <v>8</v>
      </c>
      <c r="C78" s="17">
        <v>2</v>
      </c>
      <c r="D78" s="17">
        <v>2</v>
      </c>
      <c r="E78" s="17">
        <v>2</v>
      </c>
      <c r="F78" s="17">
        <f>AVERAGE(Table143690117171252224227[[#This Row],[Teste 1]:[Teste 3]])</f>
        <v>2</v>
      </c>
      <c r="G78" s="16"/>
      <c r="H78" s="16" t="s">
        <v>3</v>
      </c>
      <c r="I78" s="16" t="s">
        <v>8</v>
      </c>
      <c r="J78" s="17">
        <v>17</v>
      </c>
      <c r="K78" s="17">
        <v>7</v>
      </c>
      <c r="L78" s="17">
        <v>11</v>
      </c>
      <c r="M78" s="17">
        <f>AVERAGE(Table143690117171252224227239[[#This Row],[Teste 1]:[Teste 3]])</f>
        <v>11.666666666666666</v>
      </c>
      <c r="N78" s="16"/>
      <c r="O78" s="16" t="s">
        <v>3</v>
      </c>
      <c r="P78" s="16" t="s">
        <v>8</v>
      </c>
      <c r="Q78" s="17">
        <v>19000</v>
      </c>
      <c r="R78" s="17">
        <v>2249</v>
      </c>
      <c r="S78" s="17">
        <v>2673</v>
      </c>
      <c r="T78" s="17">
        <f>AVERAGE(Table143690117171252224227251[[#This Row],[Teste 1]:[Teste 3]])</f>
        <v>7974</v>
      </c>
    </row>
    <row r="79" spans="1:20" x14ac:dyDescent="0.25">
      <c r="A79" s="16" t="s">
        <v>3</v>
      </c>
      <c r="B79" s="16" t="s">
        <v>9</v>
      </c>
      <c r="C79" s="17">
        <v>2</v>
      </c>
      <c r="D79" s="17">
        <v>2</v>
      </c>
      <c r="E79" s="17">
        <v>2</v>
      </c>
      <c r="F79" s="17">
        <f>AVERAGE(Table143690117171252224227[[#This Row],[Teste 1]:[Teste 3]])</f>
        <v>2</v>
      </c>
      <c r="G79" s="16"/>
      <c r="H79" s="16" t="s">
        <v>3</v>
      </c>
      <c r="I79" s="16" t="s">
        <v>9</v>
      </c>
      <c r="J79" s="17">
        <v>17</v>
      </c>
      <c r="K79" s="17">
        <v>7</v>
      </c>
      <c r="L79" s="17">
        <v>11</v>
      </c>
      <c r="M79" s="17">
        <f>AVERAGE(Table143690117171252224227239[[#This Row],[Teste 1]:[Teste 3]])</f>
        <v>11.666666666666666</v>
      </c>
      <c r="N79" s="16"/>
      <c r="O79" s="16" t="s">
        <v>3</v>
      </c>
      <c r="P79" s="16" t="s">
        <v>9</v>
      </c>
      <c r="Q79" s="17">
        <v>19000</v>
      </c>
      <c r="R79" s="17">
        <v>2249</v>
      </c>
      <c r="S79" s="17">
        <v>2673</v>
      </c>
      <c r="T79" s="17">
        <f>AVERAGE(Table143690117171252224227251[[#This Row],[Teste 1]:[Teste 3]])</f>
        <v>7974</v>
      </c>
    </row>
    <row r="80" spans="1:20" x14ac:dyDescent="0.25">
      <c r="A80" s="16" t="s">
        <v>17</v>
      </c>
      <c r="B80" s="16" t="s">
        <v>4</v>
      </c>
      <c r="C80" s="17">
        <v>1000000</v>
      </c>
      <c r="D80" s="17">
        <v>1000000</v>
      </c>
      <c r="E80" s="17">
        <v>1000000</v>
      </c>
      <c r="F80" s="17">
        <f>AVERAGE(Table143690117171252224227[[#This Row],[Teste 1]:[Teste 3]])</f>
        <v>1000000</v>
      </c>
      <c r="G80" s="16"/>
      <c r="H80" s="16" t="s">
        <v>17</v>
      </c>
      <c r="I80" s="16" t="s">
        <v>4</v>
      </c>
      <c r="J80" s="17">
        <v>1000000</v>
      </c>
      <c r="K80" s="17">
        <v>1000000</v>
      </c>
      <c r="L80" s="17">
        <v>1000000</v>
      </c>
      <c r="M80" s="17">
        <f>AVERAGE(Table143690117171252224227239[[#This Row],[Teste 1]:[Teste 3]])</f>
        <v>1000000</v>
      </c>
      <c r="N80" s="16"/>
      <c r="O80" s="16" t="s">
        <v>17</v>
      </c>
      <c r="P80" s="16" t="s">
        <v>4</v>
      </c>
      <c r="Q80" s="17">
        <v>1000000</v>
      </c>
      <c r="R80" s="17">
        <v>1000000</v>
      </c>
      <c r="S80" s="17">
        <v>1000000</v>
      </c>
      <c r="T80" s="17">
        <f>AVERAGE(Table143690117171252224227251[[#This Row],[Teste 1]:[Teste 3]])</f>
        <v>1000000</v>
      </c>
    </row>
    <row r="81" spans="1:20" x14ac:dyDescent="0.25">
      <c r="A81" s="16" t="s">
        <v>17</v>
      </c>
      <c r="B81" s="16" t="s">
        <v>5</v>
      </c>
      <c r="C81" s="17">
        <v>289.26534099999998</v>
      </c>
      <c r="D81" s="17">
        <v>281.41398800000002</v>
      </c>
      <c r="E81" s="17">
        <v>333.33145400000001</v>
      </c>
      <c r="F81" s="17">
        <f>AVERAGE(Table143690117171252224227[[#This Row],[Teste 1]:[Teste 3]])</f>
        <v>301.33692766666667</v>
      </c>
      <c r="G81" s="16"/>
      <c r="H81" s="16" t="s">
        <v>17</v>
      </c>
      <c r="I81" s="16" t="s">
        <v>5</v>
      </c>
      <c r="J81" s="17">
        <v>747.07</v>
      </c>
      <c r="K81" s="17">
        <v>755.17</v>
      </c>
      <c r="L81" s="17">
        <v>750.89</v>
      </c>
      <c r="M81" s="17">
        <f>AVERAGE(Table143690117171252224227239[[#This Row],[Teste 1]:[Teste 3]])</f>
        <v>751.04333333333341</v>
      </c>
      <c r="N81" s="16"/>
      <c r="O81" s="16" t="s">
        <v>17</v>
      </c>
      <c r="P81" s="16" t="s">
        <v>5</v>
      </c>
      <c r="Q81" s="17">
        <v>661.12603100000001</v>
      </c>
      <c r="R81" s="17">
        <v>668.28715699999998</v>
      </c>
      <c r="S81" s="17">
        <v>664.50328000000002</v>
      </c>
      <c r="T81" s="17">
        <f>AVERAGE(Table143690117171252224227251[[#This Row],[Teste 1]:[Teste 3]])</f>
        <v>664.63882266666667</v>
      </c>
    </row>
    <row r="82" spans="1:20" x14ac:dyDescent="0.25">
      <c r="A82" s="16" t="s">
        <v>17</v>
      </c>
      <c r="B82" s="16" t="s">
        <v>6</v>
      </c>
      <c r="C82" s="17">
        <v>111</v>
      </c>
      <c r="D82" s="17">
        <v>93</v>
      </c>
      <c r="E82" s="17">
        <v>95</v>
      </c>
      <c r="F82" s="17">
        <f>AVERAGE(Table143690117171252224227[[#This Row],[Teste 1]:[Teste 3]])</f>
        <v>99.666666666666671</v>
      </c>
      <c r="G82" s="16"/>
      <c r="H82" s="16" t="s">
        <v>17</v>
      </c>
      <c r="I82" s="16" t="s">
        <v>6</v>
      </c>
      <c r="J82" s="17">
        <v>189</v>
      </c>
      <c r="K82" s="17">
        <v>187</v>
      </c>
      <c r="L82" s="17">
        <v>184</v>
      </c>
      <c r="M82" s="17">
        <f>AVERAGE(Table143690117171252224227239[[#This Row],[Teste 1]:[Teste 3]])</f>
        <v>186.66666666666666</v>
      </c>
      <c r="N82" s="16"/>
      <c r="O82" s="16" t="s">
        <v>17</v>
      </c>
      <c r="P82" s="16" t="s">
        <v>6</v>
      </c>
      <c r="Q82" s="17">
        <v>167</v>
      </c>
      <c r="R82" s="17">
        <v>165</v>
      </c>
      <c r="S82" s="17">
        <v>163</v>
      </c>
      <c r="T82" s="17">
        <f>AVERAGE(Table143690117171252224227251[[#This Row],[Teste 1]:[Teste 3]])</f>
        <v>165</v>
      </c>
    </row>
    <row r="83" spans="1:20" x14ac:dyDescent="0.25">
      <c r="A83" s="16" t="s">
        <v>17</v>
      </c>
      <c r="B83" s="16" t="s">
        <v>7</v>
      </c>
      <c r="C83" s="17">
        <v>4628479</v>
      </c>
      <c r="D83" s="17">
        <v>1076223</v>
      </c>
      <c r="E83" s="17">
        <v>3811327</v>
      </c>
      <c r="F83" s="17">
        <f>AVERAGE(Table143690117171252224227[[#This Row],[Teste 1]:[Teste 3]])</f>
        <v>3172009.6666666665</v>
      </c>
      <c r="G83" s="16"/>
      <c r="H83" s="16" t="s">
        <v>17</v>
      </c>
      <c r="I83" s="16" t="s">
        <v>7</v>
      </c>
      <c r="J83" s="17">
        <v>2369284</v>
      </c>
      <c r="K83" s="17">
        <v>2596576</v>
      </c>
      <c r="L83" s="17">
        <v>2425322</v>
      </c>
      <c r="M83" s="17">
        <f>AVERAGE(Table143690117171252224227239[[#This Row],[Teste 1]:[Teste 3]])</f>
        <v>2463727.3333333335</v>
      </c>
      <c r="N83" s="16"/>
      <c r="O83" s="16" t="s">
        <v>17</v>
      </c>
      <c r="P83" s="16" t="s">
        <v>7</v>
      </c>
      <c r="Q83" s="17">
        <v>3866623</v>
      </c>
      <c r="R83" s="17">
        <v>2297855</v>
      </c>
      <c r="S83" s="17">
        <v>2146303</v>
      </c>
      <c r="T83" s="17">
        <f>AVERAGE(Table143690117171252224227251[[#This Row],[Teste 1]:[Teste 3]])</f>
        <v>2770260.3333333335</v>
      </c>
    </row>
    <row r="84" spans="1:20" x14ac:dyDescent="0.25">
      <c r="A84" s="16" t="s">
        <v>17</v>
      </c>
      <c r="B84" s="16" t="s">
        <v>8</v>
      </c>
      <c r="C84" s="17">
        <v>469</v>
      </c>
      <c r="D84" s="17">
        <v>504</v>
      </c>
      <c r="E84" s="17">
        <v>433</v>
      </c>
      <c r="F84" s="17">
        <f>AVERAGE(Table143690117171252224227[[#This Row],[Teste 1]:[Teste 3]])</f>
        <v>468.66666666666669</v>
      </c>
      <c r="G84" s="16"/>
      <c r="H84" s="16" t="s">
        <v>17</v>
      </c>
      <c r="I84" s="16" t="s">
        <v>8</v>
      </c>
      <c r="J84" s="17">
        <v>1564</v>
      </c>
      <c r="K84" s="17">
        <v>1657</v>
      </c>
      <c r="L84" s="17">
        <v>1679</v>
      </c>
      <c r="M84" s="17">
        <f>AVERAGE(Table143690117171252224227239[[#This Row],[Teste 1]:[Teste 3]])</f>
        <v>1633.3333333333333</v>
      </c>
      <c r="N84" s="16"/>
      <c r="O84" s="16" t="s">
        <v>17</v>
      </c>
      <c r="P84" s="16" t="s">
        <v>8</v>
      </c>
      <c r="Q84" s="17">
        <v>1384</v>
      </c>
      <c r="R84" s="17">
        <v>1467</v>
      </c>
      <c r="S84" s="17">
        <v>1486</v>
      </c>
      <c r="T84" s="17">
        <f>AVERAGE(Table143690117171252224227251[[#This Row],[Teste 1]:[Teste 3]])</f>
        <v>1445.6666666666667</v>
      </c>
    </row>
    <row r="85" spans="1:20" x14ac:dyDescent="0.25">
      <c r="A85" s="16" t="s">
        <v>17</v>
      </c>
      <c r="B85" s="16" t="s">
        <v>9</v>
      </c>
      <c r="C85" s="17">
        <v>1000</v>
      </c>
      <c r="D85" s="17">
        <v>2077</v>
      </c>
      <c r="E85" s="17">
        <v>1333</v>
      </c>
      <c r="F85" s="17">
        <f>AVERAGE(Table143690117171252224227[[#This Row],[Teste 1]:[Teste 3]])</f>
        <v>1470</v>
      </c>
      <c r="G85" s="16"/>
      <c r="H85" s="16" t="s">
        <v>17</v>
      </c>
      <c r="I85" s="16" t="s">
        <v>9</v>
      </c>
      <c r="J85" s="17">
        <v>6503</v>
      </c>
      <c r="K85" s="17">
        <v>6413</v>
      </c>
      <c r="L85" s="17">
        <v>6513</v>
      </c>
      <c r="M85" s="17">
        <f>AVERAGE(Table143690117171252224227239[[#This Row],[Teste 1]:[Teste 3]])</f>
        <v>6476.333333333333</v>
      </c>
      <c r="N85" s="16"/>
      <c r="O85" s="16" t="s">
        <v>17</v>
      </c>
      <c r="P85" s="16" t="s">
        <v>9</v>
      </c>
      <c r="Q85" s="17">
        <v>5755</v>
      </c>
      <c r="R85" s="17">
        <v>5675</v>
      </c>
      <c r="S85" s="17">
        <v>5763</v>
      </c>
      <c r="T85" s="17">
        <f>AVERAGE(Table143690117171252224227251[[#This Row],[Teste 1]:[Teste 3]])</f>
        <v>5731</v>
      </c>
    </row>
    <row r="86" spans="1:20" x14ac:dyDescent="0.25">
      <c r="A86" s="16" t="s">
        <v>17</v>
      </c>
      <c r="B86" s="16" t="s">
        <v>11</v>
      </c>
      <c r="C86" s="17">
        <v>1000000</v>
      </c>
      <c r="D86" s="17">
        <v>1000000</v>
      </c>
      <c r="E86" s="17">
        <v>1000000</v>
      </c>
      <c r="F86" s="17">
        <f>AVERAGE(Table143690117171252224227[[#This Row],[Teste 1]:[Teste 3]])</f>
        <v>1000000</v>
      </c>
      <c r="G86" s="16"/>
      <c r="H86" s="16" t="s">
        <v>17</v>
      </c>
      <c r="I86" s="16" t="s">
        <v>11</v>
      </c>
      <c r="J86" s="17">
        <v>1000000</v>
      </c>
      <c r="K86" s="17">
        <v>1000000</v>
      </c>
      <c r="L86" s="17">
        <v>1000000</v>
      </c>
      <c r="M86" s="17">
        <f>AVERAGE(Table143690117171252224227239[[#This Row],[Teste 1]:[Teste 3]])</f>
        <v>1000000</v>
      </c>
      <c r="N86" s="16"/>
      <c r="O86" s="16" t="s">
        <v>17</v>
      </c>
      <c r="P86" s="16" t="s">
        <v>11</v>
      </c>
      <c r="Q86" s="17">
        <v>1000000</v>
      </c>
      <c r="R86" s="17">
        <v>1000000</v>
      </c>
      <c r="S86" s="17">
        <v>1000000</v>
      </c>
      <c r="T86" s="17">
        <f>AVERAGE(Table143690117171252224227251[[#This Row],[Teste 1]:[Teste 3]])</f>
        <v>1000000</v>
      </c>
    </row>
    <row r="87" spans="1:20" x14ac:dyDescent="0.25">
      <c r="A87" s="16"/>
      <c r="B87" s="16"/>
      <c r="C87" s="17"/>
      <c r="D87" s="17"/>
      <c r="E87" s="17"/>
      <c r="F87" s="17"/>
      <c r="G87" s="16"/>
      <c r="H87" s="16"/>
      <c r="I87" s="16"/>
      <c r="J87" s="17"/>
      <c r="K87" s="17"/>
      <c r="L87" s="17"/>
      <c r="M87" s="17"/>
      <c r="N87" s="16"/>
      <c r="O87" s="16"/>
      <c r="P87" s="16"/>
      <c r="Q87" s="17"/>
      <c r="R87" s="17"/>
      <c r="S87" s="17"/>
      <c r="T87" s="17"/>
    </row>
    <row r="88" spans="1:20" x14ac:dyDescent="0.25">
      <c r="A88" s="16"/>
      <c r="B88" s="16"/>
      <c r="C88" s="17"/>
      <c r="D88" s="17"/>
      <c r="E88" s="17"/>
      <c r="F88" s="17"/>
      <c r="G88" s="16"/>
      <c r="H88" s="16"/>
      <c r="I88" s="16"/>
      <c r="J88" s="17"/>
      <c r="K88" s="17"/>
      <c r="L88" s="17"/>
      <c r="M88" s="17"/>
      <c r="N88" s="16"/>
      <c r="O88" s="16"/>
      <c r="P88" s="16"/>
      <c r="Q88" s="17"/>
      <c r="R88" s="17"/>
      <c r="S88" s="17"/>
      <c r="T88" s="17"/>
    </row>
    <row r="89" spans="1:20" x14ac:dyDescent="0.25">
      <c r="A89" s="16"/>
      <c r="B89" s="16"/>
      <c r="C89" s="17"/>
      <c r="D89" s="17"/>
      <c r="E89" s="17"/>
      <c r="F89" s="17"/>
      <c r="G89" s="16"/>
      <c r="H89" s="16"/>
      <c r="I89" s="16"/>
      <c r="J89" s="17"/>
      <c r="K89" s="17"/>
      <c r="L89" s="17"/>
      <c r="M89" s="17"/>
      <c r="N89" s="16"/>
      <c r="O89" s="16"/>
      <c r="P89" s="16"/>
      <c r="Q89" s="17"/>
      <c r="R89" s="17"/>
      <c r="S89" s="17"/>
      <c r="T89" s="17"/>
    </row>
    <row r="91" spans="1:20" ht="15.75" x14ac:dyDescent="0.25">
      <c r="A91" s="2" t="s">
        <v>74</v>
      </c>
      <c r="H91" s="2" t="s">
        <v>74</v>
      </c>
      <c r="O91" s="2" t="s">
        <v>74</v>
      </c>
    </row>
    <row r="92" spans="1:20" ht="15.75" x14ac:dyDescent="0.25">
      <c r="A92" s="16" t="s">
        <v>59</v>
      </c>
      <c r="B92" s="21" t="s">
        <v>66</v>
      </c>
      <c r="C92" s="16" t="s">
        <v>82</v>
      </c>
      <c r="D92" s="16" t="s">
        <v>64</v>
      </c>
      <c r="E92" s="16" t="s">
        <v>63</v>
      </c>
      <c r="F92" s="16" t="s">
        <v>18</v>
      </c>
      <c r="G92" s="16"/>
      <c r="H92" s="16" t="s">
        <v>12</v>
      </c>
      <c r="I92" s="21" t="s">
        <v>66</v>
      </c>
      <c r="J92" s="16" t="s">
        <v>82</v>
      </c>
      <c r="K92" s="16" t="s">
        <v>64</v>
      </c>
      <c r="L92" s="16" t="s">
        <v>63</v>
      </c>
      <c r="M92" s="16" t="s">
        <v>18</v>
      </c>
      <c r="N92" s="16"/>
      <c r="O92" s="16" t="s">
        <v>13</v>
      </c>
      <c r="P92" s="21" t="s">
        <v>66</v>
      </c>
      <c r="Q92" s="16" t="s">
        <v>82</v>
      </c>
      <c r="R92" s="16" t="s">
        <v>64</v>
      </c>
      <c r="S92" s="16" t="s">
        <v>63</v>
      </c>
      <c r="T92" s="16" t="s">
        <v>18</v>
      </c>
    </row>
    <row r="93" spans="1:20" x14ac:dyDescent="0.25">
      <c r="A93" s="16" t="s">
        <v>0</v>
      </c>
      <c r="B93" s="16" t="s">
        <v>1</v>
      </c>
      <c r="C93" s="17">
        <v>83921</v>
      </c>
      <c r="D93" s="17">
        <v>86000</v>
      </c>
      <c r="E93" s="17">
        <v>81428</v>
      </c>
      <c r="F93" s="17">
        <f>AVERAGE(Table143690117171252224225228[[#This Row],[Teste 1]:[Teste 3]])</f>
        <v>83783</v>
      </c>
      <c r="G93" s="16"/>
      <c r="H93" s="16" t="s">
        <v>0</v>
      </c>
      <c r="I93" s="16" t="s">
        <v>1</v>
      </c>
      <c r="J93" s="17">
        <v>365541</v>
      </c>
      <c r="K93" s="17">
        <v>362634</v>
      </c>
      <c r="L93" s="17">
        <v>342492</v>
      </c>
      <c r="M93" s="17">
        <f>AVERAGE(Table143690117171252224225228240[[#This Row],[Teste 1]:[Teste 3]])</f>
        <v>356889</v>
      </c>
      <c r="N93" s="16"/>
      <c r="O93" s="16" t="s">
        <v>0</v>
      </c>
      <c r="P93" s="16" t="s">
        <v>1</v>
      </c>
      <c r="Q93" s="17">
        <v>475203</v>
      </c>
      <c r="R93" s="17">
        <v>471424</v>
      </c>
      <c r="S93" s="17">
        <v>445239</v>
      </c>
      <c r="T93" s="17">
        <f>AVERAGE(Table143690117171252224225228252[[#This Row],[Teste 1]:[Teste 3]])</f>
        <v>463955.33333333331</v>
      </c>
    </row>
    <row r="94" spans="1:20" x14ac:dyDescent="0.25">
      <c r="A94" s="16" t="s">
        <v>0</v>
      </c>
      <c r="B94" s="16" t="s">
        <v>2</v>
      </c>
      <c r="C94" s="17">
        <v>11927.274335206999</v>
      </c>
      <c r="D94" s="17">
        <v>11627.9069767441</v>
      </c>
      <c r="E94" s="17">
        <v>12280.787935353899</v>
      </c>
      <c r="F94" s="17">
        <f>AVERAGE(Table143690117171252224225228[[#This Row],[Teste 1]:[Teste 3]])</f>
        <v>11945.323082434998</v>
      </c>
      <c r="G94" s="16"/>
      <c r="H94" s="16" t="s">
        <v>0</v>
      </c>
      <c r="I94" s="16" t="s">
        <v>2</v>
      </c>
      <c r="J94" s="17">
        <v>2735.67</v>
      </c>
      <c r="K94" s="17">
        <v>2757.61</v>
      </c>
      <c r="L94" s="17">
        <v>2919.78</v>
      </c>
      <c r="M94" s="17">
        <f>AVERAGE(Table143690117171252224225228240[[#This Row],[Teste 1]:[Teste 3]])</f>
        <v>2804.3533333333339</v>
      </c>
      <c r="N94" s="16"/>
      <c r="O94" s="16" t="s">
        <v>0</v>
      </c>
      <c r="P94" s="16" t="s">
        <v>2</v>
      </c>
      <c r="Q94" s="17">
        <v>2104.3638192519802</v>
      </c>
      <c r="R94" s="17">
        <v>2121.2326907412398</v>
      </c>
      <c r="S94" s="17">
        <v>2245.9847407796701</v>
      </c>
      <c r="T94" s="17">
        <f>AVERAGE(Table143690117171252224225228252[[#This Row],[Teste 1]:[Teste 3]])</f>
        <v>2157.1937502576297</v>
      </c>
    </row>
    <row r="95" spans="1:20" x14ac:dyDescent="0.25">
      <c r="A95" s="16" t="s">
        <v>3</v>
      </c>
      <c r="B95" s="16" t="s">
        <v>4</v>
      </c>
      <c r="C95" s="17">
        <v>3</v>
      </c>
      <c r="D95" s="17">
        <v>3</v>
      </c>
      <c r="E95" s="17">
        <v>3</v>
      </c>
      <c r="F95" s="17">
        <f>AVERAGE(Table143690117171252224225228[[#This Row],[Teste 1]:[Teste 3]])</f>
        <v>3</v>
      </c>
      <c r="G95" s="16"/>
      <c r="H95" s="16" t="s">
        <v>3</v>
      </c>
      <c r="I95" s="16" t="s">
        <v>4</v>
      </c>
      <c r="J95" s="17">
        <v>3</v>
      </c>
      <c r="K95" s="17">
        <v>3</v>
      </c>
      <c r="L95" s="17">
        <v>3</v>
      </c>
      <c r="M95" s="17">
        <f>AVERAGE(Table143690117171252224225228240[[#This Row],[Teste 1]:[Teste 3]])</f>
        <v>3</v>
      </c>
      <c r="N95" s="16"/>
      <c r="O95" s="16" t="s">
        <v>3</v>
      </c>
      <c r="P95" s="16" t="s">
        <v>4</v>
      </c>
      <c r="Q95" s="17">
        <v>3</v>
      </c>
      <c r="R95" s="17">
        <v>3</v>
      </c>
      <c r="S95" s="17">
        <v>3</v>
      </c>
      <c r="T95" s="17">
        <f>AVERAGE(Table143690117171252224225228252[[#This Row],[Teste 1]:[Teste 3]])</f>
        <v>3</v>
      </c>
    </row>
    <row r="96" spans="1:20" x14ac:dyDescent="0.25">
      <c r="A96" s="16" t="s">
        <v>3</v>
      </c>
      <c r="B96" s="16" t="s">
        <v>5</v>
      </c>
      <c r="C96" s="17">
        <v>1</v>
      </c>
      <c r="D96" s="17">
        <v>1.3333333333333299</v>
      </c>
      <c r="E96" s="17">
        <v>1</v>
      </c>
      <c r="F96" s="17">
        <f>AVERAGE(Table143690117171252224225228[[#This Row],[Teste 1]:[Teste 3]])</f>
        <v>1.1111111111111101</v>
      </c>
      <c r="G96" s="16"/>
      <c r="H96" s="16" t="s">
        <v>3</v>
      </c>
      <c r="I96" s="16" t="s">
        <v>5</v>
      </c>
      <c r="J96" s="17">
        <v>2</v>
      </c>
      <c r="K96" s="17">
        <v>2.6666666666666599</v>
      </c>
      <c r="L96" s="17">
        <v>2.1666666666666599</v>
      </c>
      <c r="M96" s="17">
        <f>AVERAGE(Table143690117171252224225228240[[#This Row],[Teste 1]:[Teste 3]])</f>
        <v>2.2777777777777732</v>
      </c>
      <c r="N96" s="16"/>
      <c r="O96" s="16" t="s">
        <v>3</v>
      </c>
      <c r="P96" s="16" t="s">
        <v>5</v>
      </c>
      <c r="Q96" s="17">
        <v>2257.3333333333298</v>
      </c>
      <c r="R96" s="17">
        <v>6491</v>
      </c>
      <c r="S96" s="17">
        <v>1861.3333333333301</v>
      </c>
      <c r="T96" s="17">
        <f>AVERAGE(Table143690117171252224225228252[[#This Row],[Teste 1]:[Teste 3]])</f>
        <v>3536.5555555555534</v>
      </c>
    </row>
    <row r="97" spans="1:20" x14ac:dyDescent="0.25">
      <c r="A97" s="16" t="s">
        <v>3</v>
      </c>
      <c r="B97" s="16" t="s">
        <v>6</v>
      </c>
      <c r="C97" s="17">
        <v>0</v>
      </c>
      <c r="D97" s="17">
        <v>1</v>
      </c>
      <c r="E97" s="17">
        <v>0</v>
      </c>
      <c r="F97" s="17">
        <f>AVERAGE(Table143690117171252224225228[[#This Row],[Teste 1]:[Teste 3]])</f>
        <v>0.33333333333333331</v>
      </c>
      <c r="G97" s="16"/>
      <c r="H97" s="16" t="s">
        <v>3</v>
      </c>
      <c r="I97" s="16" t="s">
        <v>6</v>
      </c>
      <c r="J97" s="17">
        <v>1</v>
      </c>
      <c r="K97" s="17">
        <v>1</v>
      </c>
      <c r="L97" s="17">
        <v>1</v>
      </c>
      <c r="M97" s="17">
        <f>AVERAGE(Table143690117171252224225228240[[#This Row],[Teste 1]:[Teste 3]])</f>
        <v>1</v>
      </c>
      <c r="N97" s="16"/>
      <c r="O97" s="16" t="s">
        <v>3</v>
      </c>
      <c r="P97" s="16" t="s">
        <v>6</v>
      </c>
      <c r="Q97" s="17">
        <v>1</v>
      </c>
      <c r="R97" s="17">
        <v>2</v>
      </c>
      <c r="S97" s="17">
        <v>2</v>
      </c>
      <c r="T97" s="17">
        <f>AVERAGE(Table143690117171252224225228252[[#This Row],[Teste 1]:[Teste 3]])</f>
        <v>1.6666666666666667</v>
      </c>
    </row>
    <row r="98" spans="1:20" x14ac:dyDescent="0.25">
      <c r="A98" s="16" t="s">
        <v>3</v>
      </c>
      <c r="B98" s="16" t="s">
        <v>7</v>
      </c>
      <c r="C98" s="17">
        <v>3</v>
      </c>
      <c r="D98" s="17">
        <v>3</v>
      </c>
      <c r="E98" s="17">
        <v>3</v>
      </c>
      <c r="F98" s="17">
        <f>AVERAGE(Table143690117171252224225228[[#This Row],[Teste 1]:[Teste 3]])</f>
        <v>3</v>
      </c>
      <c r="G98" s="16"/>
      <c r="H98" s="16" t="s">
        <v>3</v>
      </c>
      <c r="I98" s="16" t="s">
        <v>7</v>
      </c>
      <c r="J98" s="17">
        <v>6</v>
      </c>
      <c r="K98" s="17">
        <v>11</v>
      </c>
      <c r="L98" s="17">
        <v>6</v>
      </c>
      <c r="M98" s="17">
        <f>AVERAGE(Table143690117171252224225228240[[#This Row],[Teste 1]:[Teste 3]])</f>
        <v>7.666666666666667</v>
      </c>
      <c r="N98" s="16"/>
      <c r="O98" s="16" t="s">
        <v>3</v>
      </c>
      <c r="P98" s="16" t="s">
        <v>7</v>
      </c>
      <c r="Q98" s="17">
        <v>6767</v>
      </c>
      <c r="R98" s="17">
        <v>19471</v>
      </c>
      <c r="S98" s="17">
        <v>5575</v>
      </c>
      <c r="T98" s="17">
        <f>AVERAGE(Table143690117171252224225228252[[#This Row],[Teste 1]:[Teste 3]])</f>
        <v>10604.333333333334</v>
      </c>
    </row>
    <row r="99" spans="1:20" x14ac:dyDescent="0.25">
      <c r="A99" s="16" t="s">
        <v>3</v>
      </c>
      <c r="B99" s="16" t="s">
        <v>8</v>
      </c>
      <c r="C99" s="17">
        <v>3</v>
      </c>
      <c r="D99" s="17">
        <v>3</v>
      </c>
      <c r="E99" s="17">
        <v>3</v>
      </c>
      <c r="F99" s="17">
        <f>AVERAGE(Table143690117171252224225228[[#This Row],[Teste 1]:[Teste 3]])</f>
        <v>3</v>
      </c>
      <c r="G99" s="16"/>
      <c r="H99" s="16" t="s">
        <v>3</v>
      </c>
      <c r="I99" s="16" t="s">
        <v>8</v>
      </c>
      <c r="J99" s="17">
        <v>6</v>
      </c>
      <c r="K99" s="17">
        <v>11</v>
      </c>
      <c r="L99" s="17">
        <v>6</v>
      </c>
      <c r="M99" s="17">
        <f>AVERAGE(Table143690117171252224225228240[[#This Row],[Teste 1]:[Teste 3]])</f>
        <v>7.666666666666667</v>
      </c>
      <c r="N99" s="16"/>
      <c r="O99" s="16" t="s">
        <v>3</v>
      </c>
      <c r="P99" s="16" t="s">
        <v>8</v>
      </c>
      <c r="Q99" s="17">
        <v>6767</v>
      </c>
      <c r="R99" s="17">
        <v>19471</v>
      </c>
      <c r="S99" s="17">
        <v>5575</v>
      </c>
      <c r="T99" s="17">
        <f>AVERAGE(Table143690117171252224225228252[[#This Row],[Teste 1]:[Teste 3]])</f>
        <v>10604.333333333334</v>
      </c>
    </row>
    <row r="100" spans="1:20" x14ac:dyDescent="0.25">
      <c r="A100" s="16" t="s">
        <v>3</v>
      </c>
      <c r="B100" s="16" t="s">
        <v>9</v>
      </c>
      <c r="C100" s="17">
        <v>3</v>
      </c>
      <c r="D100" s="17">
        <v>3</v>
      </c>
      <c r="E100" s="17">
        <v>3</v>
      </c>
      <c r="F100" s="17">
        <f>AVERAGE(Table143690117171252224225228[[#This Row],[Teste 1]:[Teste 3]])</f>
        <v>3</v>
      </c>
      <c r="G100" s="16"/>
      <c r="H100" s="16" t="s">
        <v>3</v>
      </c>
      <c r="I100" s="16" t="s">
        <v>9</v>
      </c>
      <c r="J100" s="17">
        <v>6</v>
      </c>
      <c r="K100" s="17">
        <v>11</v>
      </c>
      <c r="L100" s="17">
        <v>6</v>
      </c>
      <c r="M100" s="17">
        <f>AVERAGE(Table143690117171252224225228240[[#This Row],[Teste 1]:[Teste 3]])</f>
        <v>7.666666666666667</v>
      </c>
      <c r="N100" s="16"/>
      <c r="O100" s="16" t="s">
        <v>3</v>
      </c>
      <c r="P100" s="16" t="s">
        <v>9</v>
      </c>
      <c r="Q100" s="17">
        <v>6767</v>
      </c>
      <c r="R100" s="17">
        <v>19471</v>
      </c>
      <c r="S100" s="17">
        <v>5575</v>
      </c>
      <c r="T100" s="17">
        <f>AVERAGE(Table143690117171252224225228252[[#This Row],[Teste 1]:[Teste 3]])</f>
        <v>10604.333333333334</v>
      </c>
    </row>
    <row r="101" spans="1:20" x14ac:dyDescent="0.25">
      <c r="A101" s="16" t="s">
        <v>17</v>
      </c>
      <c r="B101" s="16" t="s">
        <v>4</v>
      </c>
      <c r="C101" s="17">
        <v>1000000</v>
      </c>
      <c r="D101" s="17">
        <v>1000000</v>
      </c>
      <c r="E101" s="17">
        <v>1000000</v>
      </c>
      <c r="F101" s="17">
        <f>AVERAGE(Table143690117171252224225228[[#This Row],[Teste 1]:[Teste 3]])</f>
        <v>1000000</v>
      </c>
      <c r="G101" s="16"/>
      <c r="H101" s="16" t="s">
        <v>17</v>
      </c>
      <c r="I101" s="16" t="s">
        <v>4</v>
      </c>
      <c r="J101" s="17">
        <v>1000000</v>
      </c>
      <c r="K101" s="17">
        <v>1000000</v>
      </c>
      <c r="L101" s="17">
        <v>1000000</v>
      </c>
      <c r="M101" s="17">
        <f>AVERAGE(Table143690117171252224225228240[[#This Row],[Teste 1]:[Teste 3]])</f>
        <v>1000000</v>
      </c>
      <c r="N101" s="16"/>
      <c r="O101" s="16" t="s">
        <v>17</v>
      </c>
      <c r="P101" s="16" t="s">
        <v>4</v>
      </c>
      <c r="Q101" s="17">
        <v>1000000</v>
      </c>
      <c r="R101" s="17">
        <v>1000000</v>
      </c>
      <c r="S101" s="17">
        <v>1000000</v>
      </c>
      <c r="T101" s="17">
        <f>AVERAGE(Table143690117171252224225228252[[#This Row],[Teste 1]:[Teste 3]])</f>
        <v>1000000</v>
      </c>
    </row>
    <row r="102" spans="1:20" x14ac:dyDescent="0.25">
      <c r="A102" s="16" t="s">
        <v>17</v>
      </c>
      <c r="B102" s="16" t="s">
        <v>5</v>
      </c>
      <c r="C102" s="17">
        <v>442.20195200000001</v>
      </c>
      <c r="D102" s="17">
        <v>237.80008900000001</v>
      </c>
      <c r="E102" s="17">
        <v>230.04638800000001</v>
      </c>
      <c r="F102" s="17">
        <f>AVERAGE(Table143690117171252224225228[[#This Row],[Teste 1]:[Teste 3]])</f>
        <v>303.34947633333331</v>
      </c>
      <c r="G102" s="16"/>
      <c r="H102" s="16" t="s">
        <v>17</v>
      </c>
      <c r="I102" s="16" t="s">
        <v>5</v>
      </c>
      <c r="J102" s="17">
        <v>1090.19</v>
      </c>
      <c r="K102" s="17">
        <v>1081.05</v>
      </c>
      <c r="L102" s="17">
        <v>1020.99</v>
      </c>
      <c r="M102" s="17">
        <f>AVERAGE(Table143690117171252224225228240[[#This Row],[Teste 1]:[Teste 3]])</f>
        <v>1064.0766666666666</v>
      </c>
      <c r="N102" s="16"/>
      <c r="O102" s="16" t="s">
        <v>17</v>
      </c>
      <c r="P102" s="16" t="s">
        <v>5</v>
      </c>
      <c r="Q102" s="17">
        <v>1417.2590809999999</v>
      </c>
      <c r="R102" s="17">
        <v>1405.3592180000001</v>
      </c>
      <c r="S102" s="17">
        <v>1327.2984280000001</v>
      </c>
      <c r="T102" s="17">
        <f>AVERAGE(Table143690117171252224225228252[[#This Row],[Teste 1]:[Teste 3]])</f>
        <v>1383.3055756666665</v>
      </c>
    </row>
    <row r="103" spans="1:20" x14ac:dyDescent="0.25">
      <c r="A103" s="16" t="s">
        <v>17</v>
      </c>
      <c r="B103" s="16" t="s">
        <v>6</v>
      </c>
      <c r="C103" s="17">
        <v>100</v>
      </c>
      <c r="D103" s="17">
        <v>87</v>
      </c>
      <c r="E103" s="17">
        <v>84</v>
      </c>
      <c r="F103" s="17">
        <f>AVERAGE(Table143690117171252224225228[[#This Row],[Teste 1]:[Teste 3]])</f>
        <v>90.333333333333329</v>
      </c>
      <c r="G103" s="16"/>
      <c r="H103" s="16" t="s">
        <v>17</v>
      </c>
      <c r="I103" s="16" t="s">
        <v>6</v>
      </c>
      <c r="J103" s="17">
        <v>130</v>
      </c>
      <c r="K103" s="17">
        <v>127</v>
      </c>
      <c r="L103" s="17">
        <v>129</v>
      </c>
      <c r="M103" s="17">
        <f>AVERAGE(Table143690117171252224225228240[[#This Row],[Teste 1]:[Teste 3]])</f>
        <v>128.66666666666666</v>
      </c>
      <c r="N103" s="16"/>
      <c r="O103" s="16" t="s">
        <v>17</v>
      </c>
      <c r="P103" s="16" t="s">
        <v>6</v>
      </c>
      <c r="Q103" s="17">
        <v>169</v>
      </c>
      <c r="R103" s="17">
        <v>165</v>
      </c>
      <c r="S103" s="17">
        <v>167</v>
      </c>
      <c r="T103" s="17">
        <f>AVERAGE(Table143690117171252224225228252[[#This Row],[Teste 1]:[Teste 3]])</f>
        <v>167</v>
      </c>
    </row>
    <row r="104" spans="1:20" x14ac:dyDescent="0.25">
      <c r="A104" s="16" t="s">
        <v>17</v>
      </c>
      <c r="B104" s="16" t="s">
        <v>7</v>
      </c>
      <c r="C104" s="17">
        <v>6090751</v>
      </c>
      <c r="D104" s="17">
        <v>3551231</v>
      </c>
      <c r="E104" s="17">
        <v>2732031</v>
      </c>
      <c r="F104" s="17">
        <f>AVERAGE(Table143690117171252224225228[[#This Row],[Teste 1]:[Teste 3]])</f>
        <v>4124671</v>
      </c>
      <c r="G104" s="16"/>
      <c r="H104" s="16" t="s">
        <v>17</v>
      </c>
      <c r="I104" s="16" t="s">
        <v>7</v>
      </c>
      <c r="J104" s="17">
        <v>1196504</v>
      </c>
      <c r="K104" s="17">
        <v>838892</v>
      </c>
      <c r="L104" s="17">
        <v>1168935</v>
      </c>
      <c r="M104" s="17">
        <f>AVERAGE(Table143690117171252224225228240[[#This Row],[Teste 1]:[Teste 3]])</f>
        <v>1068110.3333333333</v>
      </c>
      <c r="N104" s="16"/>
      <c r="O104" s="16" t="s">
        <v>17</v>
      </c>
      <c r="P104" s="16" t="s">
        <v>7</v>
      </c>
      <c r="Q104" s="17">
        <v>1555455</v>
      </c>
      <c r="R104" s="17">
        <v>1090559</v>
      </c>
      <c r="S104" s="17">
        <v>1519615</v>
      </c>
      <c r="T104" s="17">
        <f>AVERAGE(Table143690117171252224225228252[[#This Row],[Teste 1]:[Teste 3]])</f>
        <v>1388543</v>
      </c>
    </row>
    <row r="105" spans="1:20" x14ac:dyDescent="0.25">
      <c r="A105" s="16" t="s">
        <v>17</v>
      </c>
      <c r="B105" s="16" t="s">
        <v>8</v>
      </c>
      <c r="C105" s="17">
        <v>740</v>
      </c>
      <c r="D105" s="17">
        <v>414</v>
      </c>
      <c r="E105" s="17">
        <v>372</v>
      </c>
      <c r="F105" s="17">
        <f>AVERAGE(Table143690117171252224225228[[#This Row],[Teste 1]:[Teste 3]])</f>
        <v>508.66666666666669</v>
      </c>
      <c r="G105" s="16"/>
      <c r="H105" s="16" t="s">
        <v>17</v>
      </c>
      <c r="I105" s="16" t="s">
        <v>8</v>
      </c>
      <c r="J105" s="17">
        <v>4682</v>
      </c>
      <c r="K105" s="17">
        <v>4753</v>
      </c>
      <c r="L105" s="17">
        <v>4578</v>
      </c>
      <c r="M105" s="17">
        <f>AVERAGE(Table143690117171252224225228240[[#This Row],[Teste 1]:[Teste 3]])</f>
        <v>4671</v>
      </c>
      <c r="N105" s="16"/>
      <c r="O105" s="16" t="s">
        <v>17</v>
      </c>
      <c r="P105" s="16" t="s">
        <v>8</v>
      </c>
      <c r="Q105" s="17">
        <v>6087</v>
      </c>
      <c r="R105" s="17">
        <v>6179</v>
      </c>
      <c r="S105" s="17">
        <v>5951</v>
      </c>
      <c r="T105" s="17">
        <f>AVERAGE(Table143690117171252224225228252[[#This Row],[Teste 1]:[Teste 3]])</f>
        <v>6072.333333333333</v>
      </c>
    </row>
    <row r="106" spans="1:20" x14ac:dyDescent="0.25">
      <c r="A106" s="16" t="s">
        <v>17</v>
      </c>
      <c r="B106" s="16" t="s">
        <v>9</v>
      </c>
      <c r="C106" s="17">
        <v>3143</v>
      </c>
      <c r="D106" s="17">
        <v>696</v>
      </c>
      <c r="E106" s="17">
        <v>606</v>
      </c>
      <c r="F106" s="17">
        <f>AVERAGE(Table143690117171252224225228[[#This Row],[Teste 1]:[Teste 3]])</f>
        <v>1481.6666666666667</v>
      </c>
      <c r="G106" s="16"/>
      <c r="H106" s="16" t="s">
        <v>17</v>
      </c>
      <c r="I106" s="16" t="s">
        <v>9</v>
      </c>
      <c r="J106" s="17">
        <v>13649</v>
      </c>
      <c r="K106" s="17">
        <v>14153</v>
      </c>
      <c r="L106" s="17">
        <v>12972</v>
      </c>
      <c r="M106" s="17">
        <f>AVERAGE(Table143690117171252224225228240[[#This Row],[Teste 1]:[Teste 3]])</f>
        <v>13591.333333333334</v>
      </c>
      <c r="N106" s="16"/>
      <c r="O106" s="16" t="s">
        <v>17</v>
      </c>
      <c r="P106" s="16" t="s">
        <v>9</v>
      </c>
      <c r="Q106" s="17">
        <v>17743</v>
      </c>
      <c r="R106" s="17">
        <v>18399</v>
      </c>
      <c r="S106" s="17">
        <v>16863</v>
      </c>
      <c r="T106" s="17">
        <f>AVERAGE(Table143690117171252224225228252[[#This Row],[Teste 1]:[Teste 3]])</f>
        <v>17668.333333333332</v>
      </c>
    </row>
    <row r="107" spans="1:20" x14ac:dyDescent="0.25">
      <c r="A107" s="16" t="s">
        <v>17</v>
      </c>
      <c r="B107" s="16" t="s">
        <v>11</v>
      </c>
      <c r="C107" s="17">
        <v>1000000</v>
      </c>
      <c r="D107" s="17">
        <v>1000000</v>
      </c>
      <c r="E107" s="17">
        <v>1000000</v>
      </c>
      <c r="F107" s="17">
        <f>AVERAGE(Table143690117171252224225228[[#This Row],[Teste 1]:[Teste 3]])</f>
        <v>1000000</v>
      </c>
      <c r="G107" s="16"/>
      <c r="H107" s="16" t="s">
        <v>17</v>
      </c>
      <c r="I107" s="16" t="s">
        <v>11</v>
      </c>
      <c r="J107" s="17">
        <v>1000000</v>
      </c>
      <c r="K107" s="17">
        <v>1000000</v>
      </c>
      <c r="L107" s="17">
        <v>1000000</v>
      </c>
      <c r="M107" s="17">
        <f>AVERAGE(Table143690117171252224225228240[[#This Row],[Teste 1]:[Teste 3]])</f>
        <v>1000000</v>
      </c>
      <c r="N107" s="16"/>
      <c r="O107" s="16" t="s">
        <v>17</v>
      </c>
      <c r="P107" s="16" t="s">
        <v>11</v>
      </c>
      <c r="Q107" s="17">
        <v>1000000</v>
      </c>
      <c r="R107" s="17">
        <v>1000000</v>
      </c>
      <c r="S107" s="17">
        <v>1000000</v>
      </c>
      <c r="T107" s="17">
        <f>AVERAGE(Table143690117171252224225228252[[#This Row],[Teste 1]:[Teste 3]])</f>
        <v>1000000</v>
      </c>
    </row>
    <row r="108" spans="1:20" x14ac:dyDescent="0.25">
      <c r="A108" s="16"/>
      <c r="B108" s="16"/>
      <c r="C108" s="17"/>
      <c r="D108" s="17"/>
      <c r="E108" s="17"/>
      <c r="F108" s="17"/>
      <c r="G108" s="16"/>
      <c r="H108" s="16"/>
      <c r="I108" s="16"/>
      <c r="J108" s="17"/>
      <c r="K108" s="17"/>
      <c r="L108" s="17"/>
      <c r="M108" s="17"/>
      <c r="N108" s="16"/>
      <c r="O108" s="16"/>
      <c r="P108" s="16"/>
      <c r="Q108" s="17"/>
      <c r="R108" s="17"/>
      <c r="S108" s="17"/>
      <c r="T108" s="17"/>
    </row>
    <row r="109" spans="1:20" x14ac:dyDescent="0.25">
      <c r="A109" s="16"/>
      <c r="B109" s="16"/>
      <c r="C109" s="17"/>
      <c r="D109" s="17"/>
      <c r="E109" s="17"/>
      <c r="F109" s="17"/>
      <c r="G109" s="16"/>
      <c r="H109" s="16"/>
      <c r="I109" s="16"/>
      <c r="J109" s="17"/>
      <c r="K109" s="17"/>
      <c r="L109" s="17"/>
      <c r="M109" s="17"/>
      <c r="N109" s="16"/>
      <c r="O109" s="16"/>
      <c r="P109" s="16"/>
      <c r="Q109" s="17"/>
      <c r="R109" s="17"/>
      <c r="S109" s="17"/>
      <c r="T109" s="17"/>
    </row>
    <row r="110" spans="1:20" x14ac:dyDescent="0.25">
      <c r="A110" s="16"/>
      <c r="B110" s="16"/>
      <c r="C110" s="17"/>
      <c r="D110" s="17"/>
      <c r="E110" s="17"/>
      <c r="F110" s="17"/>
      <c r="G110" s="16"/>
      <c r="H110" s="16"/>
      <c r="I110" s="16"/>
      <c r="J110" s="17"/>
      <c r="K110" s="17"/>
      <c r="L110" s="17"/>
      <c r="M110" s="17"/>
      <c r="N110" s="16"/>
      <c r="O110" s="16"/>
      <c r="P110" s="16"/>
      <c r="Q110" s="17"/>
      <c r="R110" s="17"/>
      <c r="S110" s="17"/>
      <c r="T110" s="17"/>
    </row>
    <row r="112" spans="1:20" ht="15.75" x14ac:dyDescent="0.25">
      <c r="A112" s="2" t="s">
        <v>73</v>
      </c>
      <c r="H112" s="2" t="s">
        <v>73</v>
      </c>
      <c r="O112" s="2" t="s">
        <v>73</v>
      </c>
    </row>
    <row r="113" spans="1:20" ht="15.75" x14ac:dyDescent="0.25">
      <c r="A113" s="16" t="s">
        <v>59</v>
      </c>
      <c r="B113" s="21" t="s">
        <v>66</v>
      </c>
      <c r="C113" s="16" t="s">
        <v>82</v>
      </c>
      <c r="D113" s="16" t="s">
        <v>64</v>
      </c>
      <c r="E113" s="16" t="s">
        <v>63</v>
      </c>
      <c r="F113" s="16" t="s">
        <v>18</v>
      </c>
      <c r="G113" s="16"/>
      <c r="H113" s="16" t="s">
        <v>12</v>
      </c>
      <c r="I113" s="21" t="s">
        <v>66</v>
      </c>
      <c r="J113" s="16" t="s">
        <v>82</v>
      </c>
      <c r="K113" s="16" t="s">
        <v>64</v>
      </c>
      <c r="L113" s="16" t="s">
        <v>63</v>
      </c>
      <c r="M113" s="16" t="s">
        <v>18</v>
      </c>
      <c r="N113" s="16"/>
      <c r="O113" s="16" t="s">
        <v>13</v>
      </c>
      <c r="P113" s="21" t="s">
        <v>66</v>
      </c>
      <c r="Q113" s="16" t="s">
        <v>82</v>
      </c>
      <c r="R113" s="16" t="s">
        <v>64</v>
      </c>
      <c r="S113" s="16" t="s">
        <v>63</v>
      </c>
      <c r="T113" s="16" t="s">
        <v>18</v>
      </c>
    </row>
    <row r="114" spans="1:20" x14ac:dyDescent="0.25">
      <c r="A114" s="16" t="s">
        <v>0</v>
      </c>
      <c r="B114" s="16" t="s">
        <v>1</v>
      </c>
      <c r="C114" s="17">
        <v>65019</v>
      </c>
      <c r="D114" s="17">
        <v>60920</v>
      </c>
      <c r="E114" s="17">
        <v>50243</v>
      </c>
      <c r="F114" s="17">
        <f>AVERAGE(Table143690117171252224226229[[#This Row],[Teste 1]:[Teste 3]])</f>
        <v>58727.333333333336</v>
      </c>
      <c r="G114" s="16"/>
      <c r="H114" s="16" t="s">
        <v>0</v>
      </c>
      <c r="I114" s="16" t="s">
        <v>1</v>
      </c>
      <c r="J114" s="17">
        <v>165709</v>
      </c>
      <c r="K114" s="17">
        <v>155939</v>
      </c>
      <c r="L114" s="17">
        <v>155888</v>
      </c>
      <c r="M114" s="17">
        <f>AVERAGE(Table143690117171252224226229241[[#This Row],[Teste 1]:[Teste 3]])</f>
        <v>159178.66666666666</v>
      </c>
      <c r="N114" s="16"/>
      <c r="O114" s="16" t="s">
        <v>0</v>
      </c>
      <c r="P114" s="16" t="s">
        <v>1</v>
      </c>
      <c r="Q114" s="17">
        <v>447414</v>
      </c>
      <c r="R114" s="17">
        <v>421036</v>
      </c>
      <c r="S114" s="17">
        <v>420899</v>
      </c>
      <c r="T114" s="17">
        <f>AVERAGE(Table143690117171252224226229253[[#This Row],[Teste 1]:[Teste 3]])</f>
        <v>429783</v>
      </c>
    </row>
    <row r="115" spans="1:20" x14ac:dyDescent="0.25">
      <c r="A115" s="16" t="s">
        <v>0</v>
      </c>
      <c r="B115" s="16" t="s">
        <v>2</v>
      </c>
      <c r="C115" s="17">
        <v>14329.9564110425</v>
      </c>
      <c r="D115" s="17">
        <v>16414.970453053102</v>
      </c>
      <c r="E115" s="17">
        <v>19903.2701072786</v>
      </c>
      <c r="F115" s="17">
        <f>AVERAGE(Table143690117171252224226229[[#This Row],[Teste 1]:[Teste 3]])</f>
        <v>16882.732323791399</v>
      </c>
      <c r="G115" s="16"/>
      <c r="H115" s="16" t="s">
        <v>0</v>
      </c>
      <c r="I115" s="16" t="s">
        <v>2</v>
      </c>
      <c r="J115" s="17">
        <v>6034.68</v>
      </c>
      <c r="K115" s="17">
        <v>6412.75</v>
      </c>
      <c r="L115" s="17">
        <v>6414.84</v>
      </c>
      <c r="M115" s="17">
        <f>AVERAGE(Table143690117171252224226229241[[#This Row],[Teste 1]:[Teste 3]])</f>
        <v>6287.4233333333332</v>
      </c>
      <c r="N115" s="16"/>
      <c r="O115" s="16" t="s">
        <v>0</v>
      </c>
      <c r="P115" s="16" t="s">
        <v>2</v>
      </c>
      <c r="Q115" s="17">
        <v>2235.0664038228501</v>
      </c>
      <c r="R115" s="17">
        <v>2375.09381620574</v>
      </c>
      <c r="S115" s="17">
        <v>2375.8668944330998</v>
      </c>
      <c r="T115" s="17">
        <f>AVERAGE(Table143690117171252224226229253[[#This Row],[Teste 1]:[Teste 3]])</f>
        <v>2328.6757048205636</v>
      </c>
    </row>
    <row r="116" spans="1:20" x14ac:dyDescent="0.25">
      <c r="A116" s="16" t="s">
        <v>3</v>
      </c>
      <c r="B116" s="16" t="s">
        <v>4</v>
      </c>
      <c r="C116" s="17">
        <v>6</v>
      </c>
      <c r="D116" s="17">
        <v>6</v>
      </c>
      <c r="E116" s="17">
        <v>6</v>
      </c>
      <c r="F116" s="17">
        <f>AVERAGE(Table143690117171252224226229[[#This Row],[Teste 1]:[Teste 3]])</f>
        <v>6</v>
      </c>
      <c r="G116" s="16"/>
      <c r="H116" s="16" t="s">
        <v>3</v>
      </c>
      <c r="I116" s="16" t="s">
        <v>4</v>
      </c>
      <c r="J116" s="17">
        <v>6</v>
      </c>
      <c r="K116" s="17">
        <v>6</v>
      </c>
      <c r="L116" s="17">
        <v>6</v>
      </c>
      <c r="M116" s="17">
        <f>AVERAGE(Table143690117171252224226229241[[#This Row],[Teste 1]:[Teste 3]])</f>
        <v>6</v>
      </c>
      <c r="N116" s="16"/>
      <c r="O116" s="16" t="s">
        <v>3</v>
      </c>
      <c r="P116" s="16" t="s">
        <v>4</v>
      </c>
      <c r="Q116" s="17">
        <v>6</v>
      </c>
      <c r="R116" s="17">
        <v>6</v>
      </c>
      <c r="S116" s="17">
        <v>6</v>
      </c>
      <c r="T116" s="17">
        <f>AVERAGE(Table143690117171252224226229253[[#This Row],[Teste 1]:[Teste 3]])</f>
        <v>6</v>
      </c>
    </row>
    <row r="117" spans="1:20" x14ac:dyDescent="0.25">
      <c r="A117" s="16" t="s">
        <v>3</v>
      </c>
      <c r="B117" s="16" t="s">
        <v>5</v>
      </c>
      <c r="C117" s="17">
        <v>1.1666666666666601</v>
      </c>
      <c r="D117" s="17">
        <v>0.83333333333333304</v>
      </c>
      <c r="E117" s="17">
        <v>0.66666666666666596</v>
      </c>
      <c r="F117" s="17">
        <f>AVERAGE(Table143690117171252224226229[[#This Row],[Teste 1]:[Teste 3]])</f>
        <v>0.88888888888888629</v>
      </c>
      <c r="G117" s="16"/>
      <c r="H117" s="16" t="s">
        <v>3</v>
      </c>
      <c r="I117" s="16" t="s">
        <v>5</v>
      </c>
      <c r="J117" s="17">
        <v>0.33300000000000002</v>
      </c>
      <c r="K117" s="17">
        <v>0.33</v>
      </c>
      <c r="L117" s="17">
        <v>0.33</v>
      </c>
      <c r="M117" s="17">
        <f>AVERAGE(Table143690117171252224226229241[[#This Row],[Teste 1]:[Teste 3]])</f>
        <v>0.33100000000000002</v>
      </c>
      <c r="N117" s="16"/>
      <c r="O117" s="16" t="s">
        <v>3</v>
      </c>
      <c r="P117" s="16" t="s">
        <v>5</v>
      </c>
      <c r="Q117" s="17">
        <v>1433.6666666666599</v>
      </c>
      <c r="R117" s="17">
        <v>2093.3333333333298</v>
      </c>
      <c r="S117" s="17">
        <v>2803.6666666666601</v>
      </c>
      <c r="T117" s="17">
        <f>AVERAGE(Table143690117171252224226229253[[#This Row],[Teste 1]:[Teste 3]])</f>
        <v>2110.2222222222167</v>
      </c>
    </row>
    <row r="118" spans="1:20" x14ac:dyDescent="0.25">
      <c r="A118" s="16" t="s">
        <v>3</v>
      </c>
      <c r="B118" s="16" t="s">
        <v>6</v>
      </c>
      <c r="C118" s="17">
        <v>1</v>
      </c>
      <c r="D118" s="17">
        <v>0</v>
      </c>
      <c r="E118" s="17">
        <v>0</v>
      </c>
      <c r="F118" s="17">
        <f>AVERAGE(Table143690117171252224226229[[#This Row],[Teste 1]:[Teste 3]])</f>
        <v>0.33333333333333331</v>
      </c>
      <c r="G118" s="16"/>
      <c r="H118" s="16" t="s">
        <v>3</v>
      </c>
      <c r="I118" s="16" t="s">
        <v>6</v>
      </c>
      <c r="J118" s="17">
        <v>1</v>
      </c>
      <c r="K118" s="17">
        <v>1</v>
      </c>
      <c r="L118" s="17">
        <v>1</v>
      </c>
      <c r="M118" s="17">
        <f>AVERAGE(Table143690117171252224226229241[[#This Row],[Teste 1]:[Teste 3]])</f>
        <v>1</v>
      </c>
      <c r="N118" s="16"/>
      <c r="O118" s="16" t="s">
        <v>3</v>
      </c>
      <c r="P118" s="16" t="s">
        <v>6</v>
      </c>
      <c r="Q118" s="17">
        <v>1</v>
      </c>
      <c r="R118" s="17">
        <v>1</v>
      </c>
      <c r="S118" s="17">
        <v>1</v>
      </c>
      <c r="T118" s="17">
        <f>AVERAGE(Table143690117171252224226229253[[#This Row],[Teste 1]:[Teste 3]])</f>
        <v>1</v>
      </c>
    </row>
    <row r="119" spans="1:20" x14ac:dyDescent="0.25">
      <c r="A119" s="16" t="s">
        <v>3</v>
      </c>
      <c r="B119" s="16" t="s">
        <v>7</v>
      </c>
      <c r="C119" s="17">
        <v>2</v>
      </c>
      <c r="D119" s="17">
        <v>2</v>
      </c>
      <c r="E119" s="17">
        <v>2</v>
      </c>
      <c r="F119" s="17">
        <f>AVERAGE(Table143690117171252224226229[[#This Row],[Teste 1]:[Teste 3]])</f>
        <v>2</v>
      </c>
      <c r="G119" s="16"/>
      <c r="H119" s="16" t="s">
        <v>3</v>
      </c>
      <c r="I119" s="16" t="s">
        <v>7</v>
      </c>
      <c r="J119" s="17">
        <v>4</v>
      </c>
      <c r="K119" s="17">
        <v>4</v>
      </c>
      <c r="L119" s="17">
        <v>4</v>
      </c>
      <c r="M119" s="17">
        <f>AVERAGE(Table143690117171252224226229241[[#This Row],[Teste 1]:[Teste 3]])</f>
        <v>4</v>
      </c>
      <c r="N119" s="16"/>
      <c r="O119" s="16" t="s">
        <v>3</v>
      </c>
      <c r="P119" s="16" t="s">
        <v>7</v>
      </c>
      <c r="Q119" s="17">
        <v>8591</v>
      </c>
      <c r="R119" s="17">
        <v>12551</v>
      </c>
      <c r="S119" s="17">
        <v>16815</v>
      </c>
      <c r="T119" s="17">
        <f>AVERAGE(Table143690117171252224226229253[[#This Row],[Teste 1]:[Teste 3]])</f>
        <v>12652.333333333334</v>
      </c>
    </row>
    <row r="120" spans="1:20" x14ac:dyDescent="0.25">
      <c r="A120" s="16" t="s">
        <v>3</v>
      </c>
      <c r="B120" s="16" t="s">
        <v>8</v>
      </c>
      <c r="C120" s="17">
        <v>2</v>
      </c>
      <c r="D120" s="17">
        <v>2</v>
      </c>
      <c r="E120" s="17">
        <v>2</v>
      </c>
      <c r="F120" s="17">
        <f>AVERAGE(Table143690117171252224226229[[#This Row],[Teste 1]:[Teste 3]])</f>
        <v>2</v>
      </c>
      <c r="G120" s="16"/>
      <c r="H120" s="16" t="s">
        <v>3</v>
      </c>
      <c r="I120" s="16" t="s">
        <v>8</v>
      </c>
      <c r="J120" s="17">
        <v>4</v>
      </c>
      <c r="K120" s="17">
        <v>4</v>
      </c>
      <c r="L120" s="17">
        <v>4</v>
      </c>
      <c r="M120" s="17">
        <f>AVERAGE(Table143690117171252224226229241[[#This Row],[Teste 1]:[Teste 3]])</f>
        <v>4</v>
      </c>
      <c r="N120" s="16"/>
      <c r="O120" s="16" t="s">
        <v>3</v>
      </c>
      <c r="P120" s="16" t="s">
        <v>8</v>
      </c>
      <c r="Q120" s="17">
        <v>8591</v>
      </c>
      <c r="R120" s="17">
        <v>12551</v>
      </c>
      <c r="S120" s="17">
        <v>16815</v>
      </c>
      <c r="T120" s="17">
        <f>AVERAGE(Table143690117171252224226229253[[#This Row],[Teste 1]:[Teste 3]])</f>
        <v>12652.333333333334</v>
      </c>
    </row>
    <row r="121" spans="1:20" x14ac:dyDescent="0.25">
      <c r="A121" s="16" t="s">
        <v>3</v>
      </c>
      <c r="B121" s="16" t="s">
        <v>9</v>
      </c>
      <c r="C121" s="17">
        <v>2</v>
      </c>
      <c r="D121" s="17">
        <v>2</v>
      </c>
      <c r="E121" s="17">
        <v>2</v>
      </c>
      <c r="F121" s="17">
        <f>AVERAGE(Table143690117171252224226229[[#This Row],[Teste 1]:[Teste 3]])</f>
        <v>2</v>
      </c>
      <c r="G121" s="16"/>
      <c r="H121" s="16" t="s">
        <v>3</v>
      </c>
      <c r="I121" s="16" t="s">
        <v>9</v>
      </c>
      <c r="J121" s="17">
        <v>4</v>
      </c>
      <c r="K121" s="17">
        <v>4</v>
      </c>
      <c r="L121" s="17">
        <v>4</v>
      </c>
      <c r="M121" s="17">
        <f>AVERAGE(Table143690117171252224226229241[[#This Row],[Teste 1]:[Teste 3]])</f>
        <v>4</v>
      </c>
      <c r="N121" s="16"/>
      <c r="O121" s="16" t="s">
        <v>3</v>
      </c>
      <c r="P121" s="16" t="s">
        <v>9</v>
      </c>
      <c r="Q121" s="17">
        <v>8591</v>
      </c>
      <c r="R121" s="17">
        <v>12551</v>
      </c>
      <c r="S121" s="17">
        <v>16815</v>
      </c>
      <c r="T121" s="17">
        <f>AVERAGE(Table143690117171252224226229253[[#This Row],[Teste 1]:[Teste 3]])</f>
        <v>12652.333333333334</v>
      </c>
    </row>
    <row r="122" spans="1:20" x14ac:dyDescent="0.25">
      <c r="A122" s="16" t="s">
        <v>17</v>
      </c>
      <c r="B122" s="16" t="s">
        <v>4</v>
      </c>
      <c r="C122" s="17">
        <v>1000000</v>
      </c>
      <c r="D122" s="17">
        <v>1000000</v>
      </c>
      <c r="E122" s="17">
        <v>1000000</v>
      </c>
      <c r="F122" s="17">
        <f>AVERAGE(Table143690117171252224226229[[#This Row],[Teste 1]:[Teste 3]])</f>
        <v>1000000</v>
      </c>
      <c r="G122" s="16"/>
      <c r="H122" s="16" t="s">
        <v>17</v>
      </c>
      <c r="I122" s="16" t="s">
        <v>4</v>
      </c>
      <c r="J122" s="17">
        <v>1000000</v>
      </c>
      <c r="K122" s="17">
        <v>1000000</v>
      </c>
      <c r="L122" s="17">
        <v>1000000</v>
      </c>
      <c r="M122" s="17">
        <f>AVERAGE(Table143690117171252224226229241[[#This Row],[Teste 1]:[Teste 3]])</f>
        <v>1000000</v>
      </c>
      <c r="N122" s="16"/>
      <c r="O122" s="16" t="s">
        <v>17</v>
      </c>
      <c r="P122" s="16" t="s">
        <v>4</v>
      </c>
      <c r="Q122" s="17">
        <v>1000000</v>
      </c>
      <c r="R122" s="17">
        <v>1000000</v>
      </c>
      <c r="S122" s="17">
        <v>1000000</v>
      </c>
      <c r="T122" s="17">
        <f>AVERAGE(Table143690117171252224226229253[[#This Row],[Teste 1]:[Teste 3]])</f>
        <v>1000000</v>
      </c>
    </row>
    <row r="123" spans="1:20" x14ac:dyDescent="0.25">
      <c r="A123" s="16" t="s">
        <v>17</v>
      </c>
      <c r="B123" s="16" t="s">
        <v>5</v>
      </c>
      <c r="C123" s="17">
        <v>431.38825200000002</v>
      </c>
      <c r="D123" s="17">
        <v>324.66966300000001</v>
      </c>
      <c r="E123" s="17">
        <v>291.16137400000002</v>
      </c>
      <c r="F123" s="17">
        <f>AVERAGE(Table143690117171252224226229[[#This Row],[Teste 1]:[Teste 3]])</f>
        <v>349.07309633333335</v>
      </c>
      <c r="G123" s="16"/>
      <c r="H123" s="16" t="s">
        <v>17</v>
      </c>
      <c r="I123" s="16" t="s">
        <v>5</v>
      </c>
      <c r="J123" s="17">
        <v>988.61</v>
      </c>
      <c r="K123" s="17">
        <v>929.76</v>
      </c>
      <c r="L123" s="17">
        <v>927.91</v>
      </c>
      <c r="M123" s="17">
        <f>AVERAGE(Table143690117171252224226229241[[#This Row],[Teste 1]:[Teste 3]])</f>
        <v>948.75999999999988</v>
      </c>
      <c r="N123" s="16"/>
      <c r="O123" s="16" t="s">
        <v>17</v>
      </c>
      <c r="P123" s="16" t="s">
        <v>5</v>
      </c>
      <c r="Q123" s="17">
        <v>2669.2530940000001</v>
      </c>
      <c r="R123" s="17">
        <v>2510.3405429999998</v>
      </c>
      <c r="S123" s="17">
        <v>2505.3570380000001</v>
      </c>
      <c r="T123" s="17">
        <f>AVERAGE(Table143690117171252224226229253[[#This Row],[Teste 1]:[Teste 3]])</f>
        <v>2561.6502249999999</v>
      </c>
    </row>
    <row r="124" spans="1:20" x14ac:dyDescent="0.25">
      <c r="A124" s="16" t="s">
        <v>17</v>
      </c>
      <c r="B124" s="16" t="s">
        <v>6</v>
      </c>
      <c r="C124" s="17">
        <v>113</v>
      </c>
      <c r="D124" s="17">
        <v>77</v>
      </c>
      <c r="E124" s="17">
        <v>82</v>
      </c>
      <c r="F124" s="17">
        <f>AVERAGE(Table143690117171252224226229[[#This Row],[Teste 1]:[Teste 3]])</f>
        <v>90.666666666666671</v>
      </c>
      <c r="G124" s="16"/>
      <c r="H124" s="16" t="s">
        <v>17</v>
      </c>
      <c r="I124" s="16" t="s">
        <v>6</v>
      </c>
      <c r="J124" s="17">
        <v>63</v>
      </c>
      <c r="K124" s="17">
        <v>63</v>
      </c>
      <c r="L124" s="17">
        <v>63</v>
      </c>
      <c r="M124" s="17">
        <f>AVERAGE(Table143690117171252224226229241[[#This Row],[Teste 1]:[Teste 3]])</f>
        <v>63</v>
      </c>
      <c r="N124" s="16"/>
      <c r="O124" s="16" t="s">
        <v>17</v>
      </c>
      <c r="P124" s="16" t="s">
        <v>6</v>
      </c>
      <c r="Q124" s="17">
        <v>170</v>
      </c>
      <c r="R124" s="17">
        <v>169</v>
      </c>
      <c r="S124" s="17">
        <v>169</v>
      </c>
      <c r="T124" s="17">
        <f>AVERAGE(Table143690117171252224226229253[[#This Row],[Teste 1]:[Teste 3]])</f>
        <v>169.33333333333334</v>
      </c>
    </row>
    <row r="125" spans="1:20" x14ac:dyDescent="0.25">
      <c r="A125" s="16" t="s">
        <v>17</v>
      </c>
      <c r="B125" s="16" t="s">
        <v>7</v>
      </c>
      <c r="C125" s="17">
        <v>335359</v>
      </c>
      <c r="D125" s="17">
        <v>4118527</v>
      </c>
      <c r="E125" s="17">
        <v>544255</v>
      </c>
      <c r="F125" s="17">
        <f>AVERAGE(Table143690117171252224226229[[#This Row],[Teste 1]:[Teste 3]])</f>
        <v>1666047</v>
      </c>
      <c r="G125" s="16"/>
      <c r="H125" s="16" t="s">
        <v>17</v>
      </c>
      <c r="I125" s="16" t="s">
        <v>7</v>
      </c>
      <c r="J125" s="17">
        <v>708835</v>
      </c>
      <c r="K125" s="17">
        <v>707318</v>
      </c>
      <c r="L125" s="17">
        <v>779507</v>
      </c>
      <c r="M125" s="17">
        <f>AVERAGE(Table143690117171252224226229241[[#This Row],[Teste 1]:[Teste 3]])</f>
        <v>731886.66666666663</v>
      </c>
      <c r="N125" s="16"/>
      <c r="O125" s="16" t="s">
        <v>17</v>
      </c>
      <c r="P125" s="16" t="s">
        <v>7</v>
      </c>
      <c r="Q125" s="17">
        <v>1913855</v>
      </c>
      <c r="R125" s="17">
        <v>1909759</v>
      </c>
      <c r="S125" s="17">
        <v>1564671</v>
      </c>
      <c r="T125" s="17">
        <f>AVERAGE(Table143690117171252224226229253[[#This Row],[Teste 1]:[Teste 3]])</f>
        <v>1796095</v>
      </c>
    </row>
    <row r="126" spans="1:20" x14ac:dyDescent="0.25">
      <c r="A126" s="16" t="s">
        <v>17</v>
      </c>
      <c r="B126" s="16" t="s">
        <v>8</v>
      </c>
      <c r="C126" s="17">
        <v>648</v>
      </c>
      <c r="D126" s="17">
        <v>529</v>
      </c>
      <c r="E126" s="17">
        <v>508</v>
      </c>
      <c r="F126" s="17">
        <f>AVERAGE(Table143690117171252224226229[[#This Row],[Teste 1]:[Teste 3]])</f>
        <v>561.66666666666663</v>
      </c>
      <c r="G126" s="16"/>
      <c r="H126" s="16" t="s">
        <v>17</v>
      </c>
      <c r="I126" s="16" t="s">
        <v>8</v>
      </c>
      <c r="J126" s="17">
        <v>4159</v>
      </c>
      <c r="K126" s="17">
        <v>3982</v>
      </c>
      <c r="L126" s="17">
        <v>3997</v>
      </c>
      <c r="M126" s="17">
        <f>AVERAGE(Table143690117171252224226229241[[#This Row],[Teste 1]:[Teste 3]])</f>
        <v>4046</v>
      </c>
      <c r="N126" s="16"/>
      <c r="O126" s="16" t="s">
        <v>17</v>
      </c>
      <c r="P126" s="16" t="s">
        <v>8</v>
      </c>
      <c r="Q126" s="17">
        <v>11231</v>
      </c>
      <c r="R126" s="17">
        <v>10751</v>
      </c>
      <c r="S126" s="17">
        <v>10791</v>
      </c>
      <c r="T126" s="17">
        <f>AVERAGE(Table143690117171252224226229253[[#This Row],[Teste 1]:[Teste 3]])</f>
        <v>10924.333333333334</v>
      </c>
    </row>
    <row r="127" spans="1:20" x14ac:dyDescent="0.25">
      <c r="A127" s="16" t="s">
        <v>17</v>
      </c>
      <c r="B127" s="16" t="s">
        <v>9</v>
      </c>
      <c r="C127" s="17">
        <v>1156</v>
      </c>
      <c r="D127" s="17">
        <v>1069</v>
      </c>
      <c r="E127" s="17">
        <v>1055</v>
      </c>
      <c r="F127" s="17">
        <f>AVERAGE(Table143690117171252224226229[[#This Row],[Teste 1]:[Teste 3]])</f>
        <v>1093.3333333333333</v>
      </c>
      <c r="G127" s="16"/>
      <c r="H127" s="16" t="s">
        <v>17</v>
      </c>
      <c r="I127" s="16" t="s">
        <v>9</v>
      </c>
      <c r="J127" s="17">
        <v>8782</v>
      </c>
      <c r="K127" s="17">
        <v>8782</v>
      </c>
      <c r="L127" s="17">
        <v>8279</v>
      </c>
      <c r="M127" s="17">
        <f>AVERAGE(Table143690117171252224226229241[[#This Row],[Teste 1]:[Teste 3]])</f>
        <v>8614.3333333333339</v>
      </c>
      <c r="N127" s="16"/>
      <c r="O127" s="16" t="s">
        <v>17</v>
      </c>
      <c r="P127" s="16" t="s">
        <v>9</v>
      </c>
      <c r="Q127" s="17">
        <v>23711</v>
      </c>
      <c r="R127" s="17">
        <v>22063</v>
      </c>
      <c r="S127" s="17">
        <v>22351</v>
      </c>
      <c r="T127" s="17">
        <f>AVERAGE(Table143690117171252224226229253[[#This Row],[Teste 1]:[Teste 3]])</f>
        <v>22708.333333333332</v>
      </c>
    </row>
    <row r="128" spans="1:20" x14ac:dyDescent="0.25">
      <c r="A128" s="16" t="s">
        <v>17</v>
      </c>
      <c r="B128" s="16" t="s">
        <v>11</v>
      </c>
      <c r="C128" s="17">
        <v>1000000</v>
      </c>
      <c r="D128" s="17">
        <v>1000000</v>
      </c>
      <c r="E128" s="17">
        <v>1000000</v>
      </c>
      <c r="F128" s="17">
        <f>AVERAGE(Table143690117171252224226229[[#This Row],[Teste 1]:[Teste 3]])</f>
        <v>1000000</v>
      </c>
      <c r="G128" s="16"/>
      <c r="H128" s="16" t="s">
        <v>17</v>
      </c>
      <c r="I128" s="16" t="s">
        <v>11</v>
      </c>
      <c r="J128" s="17">
        <v>1000000</v>
      </c>
      <c r="K128" s="17">
        <v>1000000</v>
      </c>
      <c r="L128" s="17">
        <v>1000000</v>
      </c>
      <c r="M128" s="17">
        <f>AVERAGE(Table143690117171252224226229241[[#This Row],[Teste 1]:[Teste 3]])</f>
        <v>1000000</v>
      </c>
      <c r="N128" s="16"/>
      <c r="O128" s="16" t="s">
        <v>17</v>
      </c>
      <c r="P128" s="16" t="s">
        <v>11</v>
      </c>
      <c r="Q128" s="17">
        <v>1000000</v>
      </c>
      <c r="R128" s="17">
        <v>1000000</v>
      </c>
      <c r="S128" s="17">
        <v>1000000</v>
      </c>
      <c r="T128" s="17">
        <f>AVERAGE(Table143690117171252224226229253[[#This Row],[Teste 1]:[Teste 3]])</f>
        <v>1000000</v>
      </c>
    </row>
    <row r="129" spans="1:20" x14ac:dyDescent="0.25">
      <c r="A129" s="16"/>
      <c r="B129" s="16"/>
      <c r="C129" s="17"/>
      <c r="D129" s="17"/>
      <c r="E129" s="17"/>
      <c r="F129" s="17"/>
      <c r="G129" s="16"/>
      <c r="H129" s="16"/>
      <c r="I129" s="16"/>
      <c r="J129" s="17"/>
      <c r="K129" s="17"/>
      <c r="L129" s="17"/>
      <c r="M129" s="17"/>
      <c r="N129" s="16"/>
      <c r="O129" s="16"/>
      <c r="P129" s="16"/>
      <c r="Q129" s="17"/>
      <c r="R129" s="17"/>
      <c r="S129" s="17"/>
      <c r="T129" s="17"/>
    </row>
    <row r="130" spans="1:20" x14ac:dyDescent="0.25">
      <c r="A130" s="16"/>
      <c r="B130" s="16"/>
      <c r="C130" s="17"/>
      <c r="D130" s="17"/>
      <c r="E130" s="17"/>
      <c r="F130" s="17"/>
      <c r="G130" s="16"/>
      <c r="H130" s="16"/>
      <c r="I130" s="16"/>
      <c r="J130" s="17"/>
      <c r="K130" s="17"/>
      <c r="L130" s="17"/>
      <c r="M130" s="17"/>
      <c r="N130" s="16"/>
      <c r="O130" s="16"/>
      <c r="P130" s="16"/>
      <c r="Q130" s="17"/>
      <c r="R130" s="17"/>
      <c r="S130" s="17"/>
      <c r="T130" s="17"/>
    </row>
    <row r="131" spans="1:20" x14ac:dyDescent="0.25">
      <c r="A131" s="16"/>
      <c r="B131" s="16"/>
      <c r="C131" s="17"/>
      <c r="D131" s="17"/>
      <c r="E131" s="17"/>
      <c r="F131" s="17"/>
      <c r="G131" s="16"/>
      <c r="H131" s="16"/>
      <c r="I131" s="16"/>
      <c r="J131" s="17"/>
      <c r="K131" s="17"/>
      <c r="L131" s="17"/>
      <c r="M131" s="17"/>
      <c r="N131" s="16"/>
      <c r="O131" s="16"/>
      <c r="P131" s="16"/>
      <c r="Q131" s="17"/>
      <c r="R131" s="17"/>
      <c r="S131" s="17"/>
      <c r="T131" s="17"/>
    </row>
    <row r="134" spans="1:20" ht="15.75" x14ac:dyDescent="0.25">
      <c r="A134" s="2" t="s">
        <v>81</v>
      </c>
      <c r="H134" s="2" t="s">
        <v>81</v>
      </c>
      <c r="O134" s="2" t="s">
        <v>81</v>
      </c>
    </row>
    <row r="135" spans="1:20" ht="15.75" x14ac:dyDescent="0.25">
      <c r="A135" s="2" t="s">
        <v>65</v>
      </c>
      <c r="H135" s="2" t="s">
        <v>65</v>
      </c>
      <c r="O135" s="2" t="s">
        <v>65</v>
      </c>
    </row>
    <row r="136" spans="1:20" ht="15.75" x14ac:dyDescent="0.25">
      <c r="A136" s="16" t="s">
        <v>59</v>
      </c>
      <c r="B136" s="21" t="s">
        <v>81</v>
      </c>
      <c r="C136" s="16" t="s">
        <v>82</v>
      </c>
      <c r="D136" s="16" t="s">
        <v>64</v>
      </c>
      <c r="E136" s="16" t="s">
        <v>63</v>
      </c>
      <c r="F136" s="16" t="s">
        <v>18</v>
      </c>
      <c r="G136" s="16"/>
      <c r="H136" s="16" t="s">
        <v>12</v>
      </c>
      <c r="I136" s="21" t="s">
        <v>81</v>
      </c>
      <c r="J136" s="16" t="s">
        <v>82</v>
      </c>
      <c r="K136" s="16" t="s">
        <v>64</v>
      </c>
      <c r="L136" s="16" t="s">
        <v>63</v>
      </c>
      <c r="M136" s="16" t="s">
        <v>18</v>
      </c>
      <c r="N136" s="16"/>
      <c r="O136" s="16" t="s">
        <v>13</v>
      </c>
      <c r="P136" s="21" t="s">
        <v>81</v>
      </c>
      <c r="Q136" s="16" t="s">
        <v>82</v>
      </c>
      <c r="R136" s="16" t="s">
        <v>64</v>
      </c>
      <c r="S136" s="16" t="s">
        <v>63</v>
      </c>
      <c r="T136" s="16" t="s">
        <v>18</v>
      </c>
    </row>
    <row r="137" spans="1:20" x14ac:dyDescent="0.25">
      <c r="A137" s="16" t="s">
        <v>0</v>
      </c>
      <c r="B137" s="16" t="s">
        <v>1</v>
      </c>
      <c r="C137" s="17">
        <v>2431169</v>
      </c>
      <c r="D137" s="17">
        <v>2224975</v>
      </c>
      <c r="E137" s="17">
        <v>2489564</v>
      </c>
      <c r="F137" s="17">
        <f>AVERAGE(Table143690117171252224230[[#This Row],[Teste 1]:[Teste 3]])</f>
        <v>2381902.6666666665</v>
      </c>
      <c r="G137" s="16"/>
      <c r="H137" s="16" t="s">
        <v>0</v>
      </c>
      <c r="I137" s="16" t="s">
        <v>1</v>
      </c>
      <c r="J137" s="17">
        <v>12990580</v>
      </c>
      <c r="K137" s="17">
        <v>12640275</v>
      </c>
      <c r="L137" s="17">
        <v>12796434</v>
      </c>
      <c r="M137" s="17">
        <f>AVERAGE(Table143690117171252224230242[[#This Row],[Teste 1]:[Teste 3]])</f>
        <v>12809096.333333334</v>
      </c>
      <c r="N137" s="16"/>
      <c r="O137" s="16" t="s">
        <v>0</v>
      </c>
      <c r="P137" s="16" t="s">
        <v>1</v>
      </c>
      <c r="Q137" s="17">
        <v>9767354</v>
      </c>
      <c r="R137" s="17">
        <v>9503966</v>
      </c>
      <c r="S137" s="17">
        <v>9621379</v>
      </c>
      <c r="T137" s="17">
        <f>AVERAGE(Table143690117171252224230254[[#This Row],[Teste 1]:[Teste 3]])</f>
        <v>9630899.666666666</v>
      </c>
    </row>
    <row r="138" spans="1:20" x14ac:dyDescent="0.25">
      <c r="A138" s="16" t="s">
        <v>0</v>
      </c>
      <c r="B138" s="16" t="s">
        <v>2</v>
      </c>
      <c r="C138" s="17">
        <v>4113.2475776056699</v>
      </c>
      <c r="D138" s="17">
        <v>4125.7992310017898</v>
      </c>
      <c r="E138" s="17">
        <v>4016.7675946470899</v>
      </c>
      <c r="F138" s="17">
        <f>AVERAGE(Table143690117171252224230[[#This Row],[Teste 1]:[Teste 3]])</f>
        <v>4085.2714677515164</v>
      </c>
      <c r="G138" s="16"/>
      <c r="H138" s="16" t="s">
        <v>0</v>
      </c>
      <c r="I138" s="16" t="s">
        <v>2</v>
      </c>
      <c r="J138" s="17">
        <v>769.79</v>
      </c>
      <c r="K138" s="17">
        <v>791.12</v>
      </c>
      <c r="L138" s="17">
        <v>781.47</v>
      </c>
      <c r="M138" s="17">
        <f>AVERAGE(Table143690117171252224230242[[#This Row],[Teste 1]:[Teste 3]])</f>
        <v>780.79333333333341</v>
      </c>
      <c r="N138" s="16"/>
      <c r="O138" s="16" t="s">
        <v>0</v>
      </c>
      <c r="P138" s="16" t="s">
        <v>2</v>
      </c>
      <c r="Q138" s="17">
        <v>1023.81873330279</v>
      </c>
      <c r="R138" s="17">
        <v>1052.1923163445599</v>
      </c>
      <c r="S138" s="17">
        <v>1039.3520513015801</v>
      </c>
      <c r="T138" s="17">
        <f>AVERAGE(Table143690117171252224230254[[#This Row],[Teste 1]:[Teste 3]])</f>
        <v>1038.4543669829766</v>
      </c>
    </row>
    <row r="139" spans="1:20" x14ac:dyDescent="0.25">
      <c r="A139" s="16" t="s">
        <v>3</v>
      </c>
      <c r="B139" s="16" t="s">
        <v>4</v>
      </c>
      <c r="C139" s="17">
        <v>1</v>
      </c>
      <c r="D139" s="17">
        <v>1</v>
      </c>
      <c r="E139" s="17">
        <v>1</v>
      </c>
      <c r="F139" s="17">
        <f>AVERAGE(Table143690117171252224230[[#This Row],[Teste 1]:[Teste 3]])</f>
        <v>1</v>
      </c>
      <c r="G139" s="16"/>
      <c r="H139" s="16" t="s">
        <v>3</v>
      </c>
      <c r="I139" s="16" t="s">
        <v>4</v>
      </c>
      <c r="J139" s="17">
        <v>1</v>
      </c>
      <c r="K139" s="17">
        <v>1</v>
      </c>
      <c r="L139" s="17">
        <v>1</v>
      </c>
      <c r="M139" s="17">
        <f>AVERAGE(Table143690117171252224230242[[#This Row],[Teste 1]:[Teste 3]])</f>
        <v>1</v>
      </c>
      <c r="N139" s="16"/>
      <c r="O139" s="16" t="s">
        <v>3</v>
      </c>
      <c r="P139" s="16" t="s">
        <v>4</v>
      </c>
      <c r="Q139" s="17">
        <v>1</v>
      </c>
      <c r="R139" s="17">
        <v>1</v>
      </c>
      <c r="S139" s="17">
        <v>1</v>
      </c>
      <c r="T139" s="17">
        <f>AVERAGE(Table143690117171252224230254[[#This Row],[Teste 1]:[Teste 3]])</f>
        <v>1</v>
      </c>
    </row>
    <row r="140" spans="1:20" x14ac:dyDescent="0.25">
      <c r="A140" s="16" t="s">
        <v>3</v>
      </c>
      <c r="B140" s="16" t="s">
        <v>5</v>
      </c>
      <c r="C140" s="17">
        <v>3</v>
      </c>
      <c r="D140" s="17">
        <v>14</v>
      </c>
      <c r="E140" s="17">
        <v>2</v>
      </c>
      <c r="F140" s="17">
        <f>AVERAGE(Table143690117171252224230[[#This Row],[Teste 1]:[Teste 3]])</f>
        <v>6.333333333333333</v>
      </c>
      <c r="G140" s="16"/>
      <c r="H140" s="16" t="s">
        <v>3</v>
      </c>
      <c r="I140" s="16" t="s">
        <v>5</v>
      </c>
      <c r="J140" s="17">
        <v>9</v>
      </c>
      <c r="K140" s="17">
        <v>7</v>
      </c>
      <c r="L140" s="17">
        <v>6</v>
      </c>
      <c r="M140" s="17">
        <f>AVERAGE(Table143690117171252224230242[[#This Row],[Teste 1]:[Teste 3]])</f>
        <v>7.333333333333333</v>
      </c>
      <c r="N140" s="16"/>
      <c r="O140" s="16" t="s">
        <v>3</v>
      </c>
      <c r="P140" s="16" t="s">
        <v>5</v>
      </c>
      <c r="Q140" s="17">
        <v>6150</v>
      </c>
      <c r="R140" s="17">
        <v>21864</v>
      </c>
      <c r="S140" s="17">
        <v>53328</v>
      </c>
      <c r="T140" s="17">
        <f>AVERAGE(Table143690117171252224230254[[#This Row],[Teste 1]:[Teste 3]])</f>
        <v>27114</v>
      </c>
    </row>
    <row r="141" spans="1:20" x14ac:dyDescent="0.25">
      <c r="A141" s="16" t="s">
        <v>3</v>
      </c>
      <c r="B141" s="16" t="s">
        <v>6</v>
      </c>
      <c r="C141" s="17">
        <v>3</v>
      </c>
      <c r="D141" s="17">
        <v>14</v>
      </c>
      <c r="E141" s="17">
        <v>2</v>
      </c>
      <c r="F141" s="17">
        <f>AVERAGE(Table143690117171252224230[[#This Row],[Teste 1]:[Teste 3]])</f>
        <v>6.333333333333333</v>
      </c>
      <c r="G141" s="16"/>
      <c r="H141" s="16" t="s">
        <v>3</v>
      </c>
      <c r="I141" s="16" t="s">
        <v>6</v>
      </c>
      <c r="J141" s="17">
        <v>9</v>
      </c>
      <c r="K141" s="17">
        <v>7</v>
      </c>
      <c r="L141" s="17">
        <v>6</v>
      </c>
      <c r="M141" s="17">
        <f>AVERAGE(Table143690117171252224230242[[#This Row],[Teste 1]:[Teste 3]])</f>
        <v>7.333333333333333</v>
      </c>
      <c r="N141" s="16"/>
      <c r="O141" s="16" t="s">
        <v>3</v>
      </c>
      <c r="P141" s="16" t="s">
        <v>6</v>
      </c>
      <c r="Q141" s="17">
        <v>6150</v>
      </c>
      <c r="R141" s="17">
        <v>21856</v>
      </c>
      <c r="S141" s="17">
        <v>53312</v>
      </c>
      <c r="T141" s="17">
        <f>AVERAGE(Table143690117171252224230254[[#This Row],[Teste 1]:[Teste 3]])</f>
        <v>27106</v>
      </c>
    </row>
    <row r="142" spans="1:20" x14ac:dyDescent="0.25">
      <c r="A142" s="16" t="s">
        <v>3</v>
      </c>
      <c r="B142" s="16" t="s">
        <v>7</v>
      </c>
      <c r="C142" s="17">
        <v>3</v>
      </c>
      <c r="D142" s="17">
        <v>14</v>
      </c>
      <c r="E142" s="17">
        <v>2</v>
      </c>
      <c r="F142" s="17">
        <f>AVERAGE(Table143690117171252224230[[#This Row],[Teste 1]:[Teste 3]])</f>
        <v>6.333333333333333</v>
      </c>
      <c r="G142" s="16"/>
      <c r="H142" s="16" t="s">
        <v>3</v>
      </c>
      <c r="I142" s="16" t="s">
        <v>7</v>
      </c>
      <c r="J142" s="17">
        <v>9</v>
      </c>
      <c r="K142" s="17">
        <v>7</v>
      </c>
      <c r="L142" s="17">
        <v>6</v>
      </c>
      <c r="M142" s="17">
        <f>AVERAGE(Table143690117171252224230242[[#This Row],[Teste 1]:[Teste 3]])</f>
        <v>7.333333333333333</v>
      </c>
      <c r="N142" s="16"/>
      <c r="O142" s="16" t="s">
        <v>3</v>
      </c>
      <c r="P142" s="16" t="s">
        <v>7</v>
      </c>
      <c r="Q142" s="17">
        <v>6150</v>
      </c>
      <c r="R142" s="17">
        <v>21871</v>
      </c>
      <c r="S142" s="17">
        <v>53343</v>
      </c>
      <c r="T142" s="17">
        <f>AVERAGE(Table143690117171252224230254[[#This Row],[Teste 1]:[Teste 3]])</f>
        <v>27121.333333333332</v>
      </c>
    </row>
    <row r="143" spans="1:20" x14ac:dyDescent="0.25">
      <c r="A143" s="16" t="s">
        <v>3</v>
      </c>
      <c r="B143" s="16" t="s">
        <v>8</v>
      </c>
      <c r="C143" s="17">
        <v>3</v>
      </c>
      <c r="D143" s="17">
        <v>14</v>
      </c>
      <c r="E143" s="17">
        <v>2</v>
      </c>
      <c r="F143" s="17">
        <f>AVERAGE(Table143690117171252224230[[#This Row],[Teste 1]:[Teste 3]])</f>
        <v>6.333333333333333</v>
      </c>
      <c r="G143" s="16"/>
      <c r="H143" s="16" t="s">
        <v>3</v>
      </c>
      <c r="I143" s="16" t="s">
        <v>8</v>
      </c>
      <c r="J143" s="17">
        <v>9</v>
      </c>
      <c r="K143" s="17">
        <v>7</v>
      </c>
      <c r="L143" s="17">
        <v>6</v>
      </c>
      <c r="M143" s="17">
        <f>AVERAGE(Table143690117171252224230242[[#This Row],[Teste 1]:[Teste 3]])</f>
        <v>7.333333333333333</v>
      </c>
      <c r="N143" s="16"/>
      <c r="O143" s="16" t="s">
        <v>3</v>
      </c>
      <c r="P143" s="16" t="s">
        <v>8</v>
      </c>
      <c r="Q143" s="17">
        <v>6150</v>
      </c>
      <c r="R143" s="17">
        <v>21871</v>
      </c>
      <c r="S143" s="17">
        <v>53343</v>
      </c>
      <c r="T143" s="17">
        <f>AVERAGE(Table143690117171252224230254[[#This Row],[Teste 1]:[Teste 3]])</f>
        <v>27121.333333333332</v>
      </c>
    </row>
    <row r="144" spans="1:20" x14ac:dyDescent="0.25">
      <c r="A144" s="16" t="s">
        <v>3</v>
      </c>
      <c r="B144" s="16" t="s">
        <v>9</v>
      </c>
      <c r="C144" s="17">
        <v>3</v>
      </c>
      <c r="D144" s="17">
        <v>14</v>
      </c>
      <c r="E144" s="17">
        <v>2</v>
      </c>
      <c r="F144" s="17">
        <f>AVERAGE(Table143690117171252224230[[#This Row],[Teste 1]:[Teste 3]])</f>
        <v>6.333333333333333</v>
      </c>
      <c r="G144" s="16"/>
      <c r="H144" s="16" t="s">
        <v>3</v>
      </c>
      <c r="I144" s="16" t="s">
        <v>9</v>
      </c>
      <c r="J144" s="17">
        <v>9</v>
      </c>
      <c r="K144" s="17">
        <v>7</v>
      </c>
      <c r="L144" s="17">
        <v>6</v>
      </c>
      <c r="M144" s="17">
        <f>AVERAGE(Table143690117171252224230242[[#This Row],[Teste 1]:[Teste 3]])</f>
        <v>7.333333333333333</v>
      </c>
      <c r="N144" s="16"/>
      <c r="O144" s="16" t="s">
        <v>3</v>
      </c>
      <c r="P144" s="16" t="s">
        <v>9</v>
      </c>
      <c r="Q144" s="17">
        <v>6150</v>
      </c>
      <c r="R144" s="17">
        <v>21871</v>
      </c>
      <c r="S144" s="17">
        <v>53343</v>
      </c>
      <c r="T144" s="17">
        <f>AVERAGE(Table143690117171252224230254[[#This Row],[Teste 1]:[Teste 3]])</f>
        <v>27121.333333333332</v>
      </c>
    </row>
    <row r="145" spans="1:20" x14ac:dyDescent="0.25">
      <c r="A145" s="16" t="s">
        <v>17</v>
      </c>
      <c r="B145" s="16" t="s">
        <v>4</v>
      </c>
      <c r="C145" s="17">
        <v>10000000</v>
      </c>
      <c r="D145" s="17">
        <v>10000000</v>
      </c>
      <c r="E145" s="17">
        <v>10000000</v>
      </c>
      <c r="F145" s="17">
        <f>AVERAGE(Table143690117171252224230[[#This Row],[Teste 1]:[Teste 3]])</f>
        <v>10000000</v>
      </c>
      <c r="G145" s="16"/>
      <c r="H145" s="16" t="s">
        <v>17</v>
      </c>
      <c r="I145" s="16" t="s">
        <v>4</v>
      </c>
      <c r="J145" s="17">
        <v>10000000</v>
      </c>
      <c r="K145" s="17">
        <v>10000000</v>
      </c>
      <c r="L145" s="17">
        <v>10000000</v>
      </c>
      <c r="M145" s="17">
        <f>AVERAGE(Table143690117171252224230242[[#This Row],[Teste 1]:[Teste 3]])</f>
        <v>10000000</v>
      </c>
      <c r="N145" s="16"/>
      <c r="O145" s="16" t="s">
        <v>17</v>
      </c>
      <c r="P145" s="16" t="s">
        <v>4</v>
      </c>
      <c r="Q145" s="17">
        <v>10000000</v>
      </c>
      <c r="R145" s="17">
        <v>10000000</v>
      </c>
      <c r="S145" s="17">
        <v>10000000</v>
      </c>
      <c r="T145" s="17">
        <f>AVERAGE(Table143690117171252224230254[[#This Row],[Teste 1]:[Teste 3]])</f>
        <v>10000000</v>
      </c>
    </row>
    <row r="146" spans="1:20" x14ac:dyDescent="0.25">
      <c r="A146" s="16" t="s">
        <v>17</v>
      </c>
      <c r="B146" s="16" t="s">
        <v>5</v>
      </c>
      <c r="C146" s="17">
        <v>239.5171316</v>
      </c>
      <c r="D146" s="17">
        <v>317.05802519999997</v>
      </c>
      <c r="E146" s="17">
        <v>244.7239371</v>
      </c>
      <c r="F146" s="17">
        <f>AVERAGE(Table143690117171252224230[[#This Row],[Teste 1]:[Teste 3]])</f>
        <v>267.09969796666661</v>
      </c>
      <c r="G146" s="16"/>
      <c r="H146" s="16" t="s">
        <v>17</v>
      </c>
      <c r="I146" s="16" t="s">
        <v>5</v>
      </c>
      <c r="J146" s="17">
        <v>1293.3800000000001</v>
      </c>
      <c r="K146" s="17">
        <v>1258.1099999999999</v>
      </c>
      <c r="L146" s="17">
        <v>1273.3599999999999</v>
      </c>
      <c r="M146" s="17">
        <f>AVERAGE(Table143690117171252224230242[[#This Row],[Teste 1]:[Teste 3]])</f>
        <v>1274.9499999999998</v>
      </c>
      <c r="N146" s="16"/>
      <c r="O146" s="16" t="s">
        <v>17</v>
      </c>
      <c r="P146" s="16" t="s">
        <v>5</v>
      </c>
      <c r="Q146" s="17">
        <v>972.46671519999995</v>
      </c>
      <c r="R146" s="17">
        <v>945.95041349999997</v>
      </c>
      <c r="S146" s="17">
        <v>957.41050970000003</v>
      </c>
      <c r="T146" s="17">
        <f>AVERAGE(Table143690117171252224230254[[#This Row],[Teste 1]:[Teste 3]])</f>
        <v>958.60921280000002</v>
      </c>
    </row>
    <row r="147" spans="1:20" x14ac:dyDescent="0.25">
      <c r="A147" s="16" t="s">
        <v>17</v>
      </c>
      <c r="B147" s="16" t="s">
        <v>6</v>
      </c>
      <c r="C147" s="17">
        <v>92</v>
      </c>
      <c r="D147" s="17">
        <v>94</v>
      </c>
      <c r="E147" s="17">
        <v>80</v>
      </c>
      <c r="F147" s="17">
        <f>AVERAGE(Table143690117171252224230[[#This Row],[Teste 1]:[Teste 3]])</f>
        <v>88.666666666666671</v>
      </c>
      <c r="G147" s="16"/>
      <c r="H147" s="16" t="s">
        <v>17</v>
      </c>
      <c r="I147" s="16" t="s">
        <v>6</v>
      </c>
      <c r="J147" s="17">
        <v>212</v>
      </c>
      <c r="K147" s="17">
        <v>214</v>
      </c>
      <c r="L147" s="17">
        <v>214</v>
      </c>
      <c r="M147" s="17">
        <f>AVERAGE(Table143690117171252224230242[[#This Row],[Teste 1]:[Teste 3]])</f>
        <v>213.33333333333334</v>
      </c>
      <c r="N147" s="16"/>
      <c r="O147" s="16" t="s">
        <v>17</v>
      </c>
      <c r="P147" s="16" t="s">
        <v>6</v>
      </c>
      <c r="Q147" s="17">
        <v>160</v>
      </c>
      <c r="R147" s="17">
        <v>161</v>
      </c>
      <c r="S147" s="17">
        <v>161</v>
      </c>
      <c r="T147" s="17">
        <f>AVERAGE(Table143690117171252224230254[[#This Row],[Teste 1]:[Teste 3]])</f>
        <v>160.66666666666666</v>
      </c>
    </row>
    <row r="148" spans="1:20" x14ac:dyDescent="0.25">
      <c r="A148" s="16" t="s">
        <v>17</v>
      </c>
      <c r="B148" s="16" t="s">
        <v>7</v>
      </c>
      <c r="C148" s="17">
        <v>3672063</v>
      </c>
      <c r="D148" s="17">
        <v>5963775</v>
      </c>
      <c r="E148" s="17">
        <v>5316607</v>
      </c>
      <c r="F148" s="17">
        <f>AVERAGE(Table143690117171252224230[[#This Row],[Teste 1]:[Teste 3]])</f>
        <v>4984148.333333333</v>
      </c>
      <c r="G148" s="16"/>
      <c r="H148" s="16" t="s">
        <v>17</v>
      </c>
      <c r="I148" s="16" t="s">
        <v>7</v>
      </c>
      <c r="J148" s="17">
        <v>4268255</v>
      </c>
      <c r="K148" s="17">
        <v>4113347</v>
      </c>
      <c r="L148" s="17">
        <v>4461648</v>
      </c>
      <c r="M148" s="17">
        <f>AVERAGE(Table143690117171252224230242[[#This Row],[Teste 1]:[Teste 3]])</f>
        <v>4281083.333333333</v>
      </c>
      <c r="N148" s="16"/>
      <c r="O148" s="16" t="s">
        <v>17</v>
      </c>
      <c r="P148" s="16" t="s">
        <v>7</v>
      </c>
      <c r="Q148" s="17">
        <v>3209215</v>
      </c>
      <c r="R148" s="17">
        <v>2340863</v>
      </c>
      <c r="S148" s="17">
        <v>3354623</v>
      </c>
      <c r="T148" s="17">
        <f>AVERAGE(Table143690117171252224230254[[#This Row],[Teste 1]:[Teste 3]])</f>
        <v>2968233.6666666665</v>
      </c>
    </row>
    <row r="149" spans="1:20" x14ac:dyDescent="0.25">
      <c r="A149" s="16" t="s">
        <v>17</v>
      </c>
      <c r="B149" s="16" t="s">
        <v>8</v>
      </c>
      <c r="C149" s="17">
        <v>345</v>
      </c>
      <c r="D149" s="17">
        <v>557</v>
      </c>
      <c r="E149" s="17">
        <v>361</v>
      </c>
      <c r="F149" s="17">
        <f>AVERAGE(Table143690117171252224230[[#This Row],[Teste 1]:[Teste 3]])</f>
        <v>421</v>
      </c>
      <c r="G149" s="16"/>
      <c r="H149" s="16" t="s">
        <v>17</v>
      </c>
      <c r="I149" s="16" t="s">
        <v>8</v>
      </c>
      <c r="J149" s="17">
        <v>3536</v>
      </c>
      <c r="K149" s="17">
        <v>3379</v>
      </c>
      <c r="L149" s="17">
        <v>3408</v>
      </c>
      <c r="M149" s="17">
        <f>AVERAGE(Table143690117171252224230242[[#This Row],[Teste 1]:[Teste 3]])</f>
        <v>3441</v>
      </c>
      <c r="N149" s="16"/>
      <c r="O149" s="16" t="s">
        <v>17</v>
      </c>
      <c r="P149" s="16" t="s">
        <v>8</v>
      </c>
      <c r="Q149" s="17">
        <v>2659</v>
      </c>
      <c r="R149" s="17">
        <v>2541</v>
      </c>
      <c r="S149" s="17">
        <v>2563</v>
      </c>
      <c r="T149" s="17">
        <f>AVERAGE(Table143690117171252224230254[[#This Row],[Teste 1]:[Teste 3]])</f>
        <v>2587.6666666666665</v>
      </c>
    </row>
    <row r="150" spans="1:20" x14ac:dyDescent="0.25">
      <c r="A150" s="16" t="s">
        <v>17</v>
      </c>
      <c r="B150" s="16" t="s">
        <v>9</v>
      </c>
      <c r="C150" s="17">
        <v>498</v>
      </c>
      <c r="D150" s="17">
        <v>1293</v>
      </c>
      <c r="E150" s="17">
        <v>630</v>
      </c>
      <c r="F150" s="17">
        <f>AVERAGE(Table143690117171252224230[[#This Row],[Teste 1]:[Teste 3]])</f>
        <v>807</v>
      </c>
      <c r="G150" s="16"/>
      <c r="H150" s="16" t="s">
        <v>17</v>
      </c>
      <c r="I150" s="16" t="s">
        <v>9</v>
      </c>
      <c r="J150" s="17">
        <v>11415</v>
      </c>
      <c r="K150" s="17">
        <v>11426</v>
      </c>
      <c r="L150" s="17">
        <v>11681</v>
      </c>
      <c r="M150" s="17">
        <f>AVERAGE(Table143690117171252224230242[[#This Row],[Teste 1]:[Teste 3]])</f>
        <v>11507.333333333334</v>
      </c>
      <c r="N150" s="16"/>
      <c r="O150" s="16" t="s">
        <v>17</v>
      </c>
      <c r="P150" s="16" t="s">
        <v>9</v>
      </c>
      <c r="Q150" s="17">
        <v>9335</v>
      </c>
      <c r="R150" s="17">
        <v>8591</v>
      </c>
      <c r="S150" s="17">
        <v>8783</v>
      </c>
      <c r="T150" s="17">
        <f>AVERAGE(Table143690117171252224230254[[#This Row],[Teste 1]:[Teste 3]])</f>
        <v>8903</v>
      </c>
    </row>
    <row r="151" spans="1:20" x14ac:dyDescent="0.25">
      <c r="A151" s="16" t="s">
        <v>17</v>
      </c>
      <c r="B151" s="16" t="s">
        <v>11</v>
      </c>
      <c r="C151" s="17">
        <v>10000000</v>
      </c>
      <c r="D151" s="17">
        <v>10000000</v>
      </c>
      <c r="E151" s="17">
        <v>10000000</v>
      </c>
      <c r="F151" s="17">
        <f>AVERAGE(Table143690117171252224230[[#This Row],[Teste 1]:[Teste 3]])</f>
        <v>10000000</v>
      </c>
      <c r="G151" s="16"/>
      <c r="H151" s="16" t="s">
        <v>17</v>
      </c>
      <c r="I151" s="16" t="s">
        <v>11</v>
      </c>
      <c r="J151" s="17">
        <v>10000000</v>
      </c>
      <c r="K151" s="17">
        <v>10000000</v>
      </c>
      <c r="L151" s="17">
        <v>10000000</v>
      </c>
      <c r="M151" s="17">
        <f>AVERAGE(Table143690117171252224230242[[#This Row],[Teste 1]:[Teste 3]])</f>
        <v>10000000</v>
      </c>
      <c r="N151" s="16"/>
      <c r="O151" s="16" t="s">
        <v>17</v>
      </c>
      <c r="P151" s="16" t="s">
        <v>11</v>
      </c>
      <c r="Q151" s="17">
        <v>10000000</v>
      </c>
      <c r="R151" s="17">
        <v>10000000</v>
      </c>
      <c r="S151" s="17">
        <v>10000000</v>
      </c>
      <c r="T151" s="17">
        <f>AVERAGE(Table143690117171252224230254[[#This Row],[Teste 1]:[Teste 3]])</f>
        <v>10000000</v>
      </c>
    </row>
    <row r="152" spans="1:20" x14ac:dyDescent="0.25">
      <c r="A152" s="16"/>
      <c r="B152" s="16"/>
      <c r="C152" s="17"/>
      <c r="D152" s="17"/>
      <c r="E152" s="17"/>
      <c r="F152" s="17"/>
      <c r="G152" s="16"/>
      <c r="H152" s="16"/>
      <c r="I152" s="16"/>
      <c r="J152" s="17"/>
      <c r="K152" s="17"/>
      <c r="L152" s="17"/>
      <c r="M152" s="17"/>
      <c r="N152" s="16"/>
      <c r="O152" s="16"/>
      <c r="P152" s="16"/>
      <c r="Q152" s="17"/>
      <c r="R152" s="17"/>
      <c r="S152" s="17"/>
      <c r="T152" s="17"/>
    </row>
    <row r="153" spans="1:20" x14ac:dyDescent="0.25">
      <c r="A153" s="16"/>
      <c r="B153" s="16"/>
      <c r="C153" s="17"/>
      <c r="D153" s="17"/>
      <c r="E153" s="17"/>
      <c r="F153" s="17"/>
      <c r="G153" s="16"/>
      <c r="H153" s="16"/>
      <c r="I153" s="16"/>
      <c r="J153" s="17"/>
      <c r="K153" s="17"/>
      <c r="L153" s="17"/>
      <c r="M153" s="17"/>
      <c r="N153" s="16"/>
      <c r="O153" s="16"/>
      <c r="P153" s="16"/>
      <c r="Q153" s="17"/>
      <c r="R153" s="17"/>
      <c r="S153" s="17"/>
      <c r="T153" s="17"/>
    </row>
    <row r="154" spans="1:20" x14ac:dyDescent="0.25">
      <c r="A154" s="16"/>
      <c r="B154" s="16"/>
      <c r="C154" s="17"/>
      <c r="D154" s="17"/>
      <c r="E154" s="17"/>
      <c r="F154" s="17"/>
      <c r="G154" s="16"/>
      <c r="H154" s="16"/>
      <c r="I154" s="16"/>
      <c r="J154" s="17"/>
      <c r="K154" s="17"/>
      <c r="L154" s="17"/>
      <c r="M154" s="17"/>
      <c r="N154" s="16"/>
      <c r="O154" s="16"/>
      <c r="P154" s="16"/>
      <c r="Q154" s="17"/>
      <c r="R154" s="17"/>
      <c r="S154" s="17"/>
      <c r="T154" s="17"/>
    </row>
    <row r="156" spans="1:20" ht="15.75" x14ac:dyDescent="0.25">
      <c r="A156" s="2" t="s">
        <v>74</v>
      </c>
      <c r="H156" s="2" t="s">
        <v>74</v>
      </c>
      <c r="O156" s="2" t="s">
        <v>74</v>
      </c>
    </row>
    <row r="157" spans="1:20" ht="15.75" x14ac:dyDescent="0.25">
      <c r="A157" s="16" t="s">
        <v>59</v>
      </c>
      <c r="B157" s="21" t="s">
        <v>81</v>
      </c>
      <c r="C157" s="16" t="s">
        <v>82</v>
      </c>
      <c r="D157" s="16" t="s">
        <v>64</v>
      </c>
      <c r="E157" s="16" t="s">
        <v>63</v>
      </c>
      <c r="F157" s="16" t="s">
        <v>18</v>
      </c>
      <c r="G157" s="16"/>
      <c r="H157" s="16" t="s">
        <v>12</v>
      </c>
      <c r="I157" s="21" t="s">
        <v>81</v>
      </c>
      <c r="J157" s="16" t="s">
        <v>82</v>
      </c>
      <c r="K157" s="16" t="s">
        <v>64</v>
      </c>
      <c r="L157" s="16" t="s">
        <v>63</v>
      </c>
      <c r="M157" s="16" t="s">
        <v>18</v>
      </c>
      <c r="N157" s="16"/>
      <c r="O157" s="16" t="s">
        <v>13</v>
      </c>
      <c r="P157" s="21" t="s">
        <v>81</v>
      </c>
      <c r="Q157" s="16" t="s">
        <v>82</v>
      </c>
      <c r="R157" s="16" t="s">
        <v>64</v>
      </c>
      <c r="S157" s="16" t="s">
        <v>63</v>
      </c>
      <c r="T157" s="16" t="s">
        <v>18</v>
      </c>
    </row>
    <row r="158" spans="1:20" x14ac:dyDescent="0.25">
      <c r="A158" s="16" t="s">
        <v>0</v>
      </c>
      <c r="B158" s="16" t="s">
        <v>1</v>
      </c>
      <c r="C158" s="17">
        <v>974942</v>
      </c>
      <c r="D158" s="17">
        <v>1221020</v>
      </c>
      <c r="E158" s="17">
        <v>1040755</v>
      </c>
      <c r="F158" s="17">
        <f>AVERAGE(Table143690117171252224225231[[#This Row],[Teste 1]:[Teste 3]])</f>
        <v>1078905.6666666667</v>
      </c>
      <c r="G158" s="16"/>
      <c r="H158" s="16" t="s">
        <v>0</v>
      </c>
      <c r="I158" s="16" t="s">
        <v>1</v>
      </c>
      <c r="J158" s="17">
        <v>6100609</v>
      </c>
      <c r="K158" s="17">
        <v>6130421</v>
      </c>
      <c r="L158" s="17">
        <v>5945610</v>
      </c>
      <c r="M158" s="17">
        <f>AVERAGE(Table143690117171252224225231243[[#This Row],[Teste 1]:[Teste 3]])</f>
        <v>6058880</v>
      </c>
      <c r="N158" s="16"/>
      <c r="O158" s="16" t="s">
        <v>0</v>
      </c>
      <c r="P158" s="16" t="s">
        <v>1</v>
      </c>
      <c r="Q158" s="17">
        <v>7082808</v>
      </c>
      <c r="R158" s="17">
        <v>7117419</v>
      </c>
      <c r="S158" s="17">
        <v>6902854</v>
      </c>
      <c r="T158" s="17">
        <f>AVERAGE(Table143690117171252224225231255[[#This Row],[Teste 1]:[Teste 3]])</f>
        <v>7034360.333333333</v>
      </c>
    </row>
    <row r="159" spans="1:20" x14ac:dyDescent="0.25">
      <c r="A159" s="16" t="s">
        <v>0</v>
      </c>
      <c r="B159" s="16" t="s">
        <v>2</v>
      </c>
      <c r="C159" s="17">
        <v>11429.3290298099</v>
      </c>
      <c r="D159" s="17">
        <v>8189.8740397372603</v>
      </c>
      <c r="E159" s="17">
        <v>9608.4092798016809</v>
      </c>
      <c r="F159" s="17">
        <f>AVERAGE(Table143690117171252224225231[[#This Row],[Teste 1]:[Teste 3]])</f>
        <v>9742.5374497829471</v>
      </c>
      <c r="G159" s="16"/>
      <c r="H159" s="16" t="s">
        <v>0</v>
      </c>
      <c r="I159" s="16" t="s">
        <v>2</v>
      </c>
      <c r="J159" s="17">
        <v>1680.12</v>
      </c>
      <c r="K159" s="17">
        <v>1671.95</v>
      </c>
      <c r="L159" s="17">
        <v>1723.92</v>
      </c>
      <c r="M159" s="17">
        <f>AVERAGE(Table143690117171252224225231243[[#This Row],[Teste 1]:[Teste 3]])</f>
        <v>1691.9966666666667</v>
      </c>
      <c r="N159" s="16"/>
      <c r="O159" s="16" t="s">
        <v>0</v>
      </c>
      <c r="P159" s="16" t="s">
        <v>2</v>
      </c>
      <c r="Q159" s="17">
        <v>1411.8694167623901</v>
      </c>
      <c r="R159" s="17">
        <v>1405.00369586222</v>
      </c>
      <c r="S159" s="17">
        <v>1448.6761562681099</v>
      </c>
      <c r="T159" s="17">
        <f>AVERAGE(Table143690117171252224225231255[[#This Row],[Teste 1]:[Teste 3]])</f>
        <v>1421.8497562975735</v>
      </c>
    </row>
    <row r="160" spans="1:20" x14ac:dyDescent="0.25">
      <c r="A160" s="16" t="s">
        <v>3</v>
      </c>
      <c r="B160" s="16" t="s">
        <v>4</v>
      </c>
      <c r="C160" s="17">
        <v>3</v>
      </c>
      <c r="D160" s="17">
        <v>3</v>
      </c>
      <c r="E160" s="17">
        <v>3</v>
      </c>
      <c r="F160" s="17">
        <f>AVERAGE(Table143690117171252224225231[[#This Row],[Teste 1]:[Teste 3]])</f>
        <v>3</v>
      </c>
      <c r="G160" s="16"/>
      <c r="H160" s="16" t="s">
        <v>3</v>
      </c>
      <c r="I160" s="16" t="s">
        <v>4</v>
      </c>
      <c r="J160" s="17">
        <v>3</v>
      </c>
      <c r="K160" s="17">
        <v>3</v>
      </c>
      <c r="L160" s="17">
        <v>3</v>
      </c>
      <c r="M160" s="17">
        <f>AVERAGE(Table143690117171252224225231243[[#This Row],[Teste 1]:[Teste 3]])</f>
        <v>3</v>
      </c>
      <c r="N160" s="16"/>
      <c r="O160" s="16" t="s">
        <v>3</v>
      </c>
      <c r="P160" s="16" t="s">
        <v>4</v>
      </c>
      <c r="Q160" s="17">
        <v>3</v>
      </c>
      <c r="R160" s="17">
        <v>3</v>
      </c>
      <c r="S160" s="17">
        <v>3</v>
      </c>
      <c r="T160" s="17">
        <f>AVERAGE(Table143690117171252224225231255[[#This Row],[Teste 1]:[Teste 3]])</f>
        <v>3</v>
      </c>
    </row>
    <row r="161" spans="1:20" x14ac:dyDescent="0.25">
      <c r="A161" s="16" t="s">
        <v>3</v>
      </c>
      <c r="B161" s="16" t="s">
        <v>5</v>
      </c>
      <c r="C161" s="17">
        <v>3.3333333333333299</v>
      </c>
      <c r="D161" s="17">
        <v>1.3333333333333299</v>
      </c>
      <c r="E161" s="17">
        <v>1.3333333333333299</v>
      </c>
      <c r="F161" s="17">
        <f>AVERAGE(Table143690117171252224225231[[#This Row],[Teste 1]:[Teste 3]])</f>
        <v>1.9999999999999964</v>
      </c>
      <c r="G161" s="16"/>
      <c r="H161" s="16" t="s">
        <v>3</v>
      </c>
      <c r="I161" s="16" t="s">
        <v>5</v>
      </c>
      <c r="J161" s="17">
        <v>3.6666666666666599</v>
      </c>
      <c r="K161" s="17">
        <v>3.6666666666666599</v>
      </c>
      <c r="L161" s="17">
        <v>3.6666666666666599</v>
      </c>
      <c r="M161" s="17">
        <f>AVERAGE(Table143690117171252224225231243[[#This Row],[Teste 1]:[Teste 3]])</f>
        <v>3.6666666666666594</v>
      </c>
      <c r="N161" s="16"/>
      <c r="O161" s="16" t="s">
        <v>3</v>
      </c>
      <c r="P161" s="16" t="s">
        <v>5</v>
      </c>
      <c r="Q161" s="17">
        <v>3686.6666666666601</v>
      </c>
      <c r="R161" s="17">
        <v>14613</v>
      </c>
      <c r="S161" s="17">
        <v>9119.6666666666606</v>
      </c>
      <c r="T161" s="17">
        <f>AVERAGE(Table143690117171252224225231255[[#This Row],[Teste 1]:[Teste 3]])</f>
        <v>9139.7777777777737</v>
      </c>
    </row>
    <row r="162" spans="1:20" x14ac:dyDescent="0.25">
      <c r="A162" s="16" t="s">
        <v>3</v>
      </c>
      <c r="B162" s="16" t="s">
        <v>6</v>
      </c>
      <c r="C162" s="17">
        <v>1</v>
      </c>
      <c r="D162" s="17">
        <v>1</v>
      </c>
      <c r="E162" s="17">
        <v>0</v>
      </c>
      <c r="F162" s="17">
        <f>AVERAGE(Table143690117171252224225231[[#This Row],[Teste 1]:[Teste 3]])</f>
        <v>0.66666666666666663</v>
      </c>
      <c r="G162" s="16"/>
      <c r="H162" s="16" t="s">
        <v>3</v>
      </c>
      <c r="I162" s="16" t="s">
        <v>6</v>
      </c>
      <c r="J162" s="17">
        <v>1</v>
      </c>
      <c r="K162" s="17">
        <v>1</v>
      </c>
      <c r="L162" s="17">
        <v>1</v>
      </c>
      <c r="M162" s="17">
        <f>AVERAGE(Table143690117171252224225231243[[#This Row],[Teste 1]:[Teste 3]])</f>
        <v>1</v>
      </c>
      <c r="N162" s="16"/>
      <c r="O162" s="16" t="s">
        <v>3</v>
      </c>
      <c r="P162" s="16" t="s">
        <v>6</v>
      </c>
      <c r="Q162" s="17">
        <v>1</v>
      </c>
      <c r="R162" s="17">
        <v>1</v>
      </c>
      <c r="S162" s="17">
        <v>1</v>
      </c>
      <c r="T162" s="17">
        <f>AVERAGE(Table143690117171252224225231255[[#This Row],[Teste 1]:[Teste 3]])</f>
        <v>1</v>
      </c>
    </row>
    <row r="163" spans="1:20" x14ac:dyDescent="0.25">
      <c r="A163" s="16" t="s">
        <v>3</v>
      </c>
      <c r="B163" s="16" t="s">
        <v>7</v>
      </c>
      <c r="C163" s="17">
        <v>8</v>
      </c>
      <c r="D163" s="17">
        <v>2</v>
      </c>
      <c r="E163" s="17">
        <v>3</v>
      </c>
      <c r="F163" s="17">
        <f>AVERAGE(Table143690117171252224225231[[#This Row],[Teste 1]:[Teste 3]])</f>
        <v>4.333333333333333</v>
      </c>
      <c r="G163" s="16"/>
      <c r="H163" s="16" t="s">
        <v>3</v>
      </c>
      <c r="I163" s="16" t="s">
        <v>7</v>
      </c>
      <c r="J163" s="17">
        <v>9</v>
      </c>
      <c r="K163" s="17">
        <v>9</v>
      </c>
      <c r="L163" s="17">
        <v>9</v>
      </c>
      <c r="M163" s="17">
        <f>AVERAGE(Table143690117171252224225231243[[#This Row],[Teste 1]:[Teste 3]])</f>
        <v>9</v>
      </c>
      <c r="N163" s="16"/>
      <c r="O163" s="16" t="s">
        <v>3</v>
      </c>
      <c r="P163" s="16" t="s">
        <v>7</v>
      </c>
      <c r="Q163" s="17">
        <v>10871</v>
      </c>
      <c r="R163" s="17">
        <v>43647</v>
      </c>
      <c r="S163" s="17">
        <v>26815</v>
      </c>
      <c r="T163" s="17">
        <f>AVERAGE(Table143690117171252224225231255[[#This Row],[Teste 1]:[Teste 3]])</f>
        <v>27111</v>
      </c>
    </row>
    <row r="164" spans="1:20" x14ac:dyDescent="0.25">
      <c r="A164" s="16" t="s">
        <v>3</v>
      </c>
      <c r="B164" s="16" t="s">
        <v>8</v>
      </c>
      <c r="C164" s="17">
        <v>8</v>
      </c>
      <c r="D164" s="17">
        <v>2</v>
      </c>
      <c r="E164" s="17">
        <v>3</v>
      </c>
      <c r="F164" s="17">
        <f>AVERAGE(Table143690117171252224225231[[#This Row],[Teste 1]:[Teste 3]])</f>
        <v>4.333333333333333</v>
      </c>
      <c r="G164" s="16"/>
      <c r="H164" s="16" t="s">
        <v>3</v>
      </c>
      <c r="I164" s="16" t="s">
        <v>8</v>
      </c>
      <c r="J164" s="17">
        <v>9</v>
      </c>
      <c r="K164" s="17">
        <v>9</v>
      </c>
      <c r="L164" s="17">
        <v>9</v>
      </c>
      <c r="M164" s="17">
        <f>AVERAGE(Table143690117171252224225231243[[#This Row],[Teste 1]:[Teste 3]])</f>
        <v>9</v>
      </c>
      <c r="N164" s="16"/>
      <c r="O164" s="16" t="s">
        <v>3</v>
      </c>
      <c r="P164" s="16" t="s">
        <v>8</v>
      </c>
      <c r="Q164" s="17">
        <v>10871</v>
      </c>
      <c r="R164" s="17">
        <v>43647</v>
      </c>
      <c r="S164" s="17">
        <v>26815</v>
      </c>
      <c r="T164" s="17">
        <f>AVERAGE(Table143690117171252224225231255[[#This Row],[Teste 1]:[Teste 3]])</f>
        <v>27111</v>
      </c>
    </row>
    <row r="165" spans="1:20" x14ac:dyDescent="0.25">
      <c r="A165" s="16" t="s">
        <v>3</v>
      </c>
      <c r="B165" s="16" t="s">
        <v>9</v>
      </c>
      <c r="C165" s="17">
        <v>8</v>
      </c>
      <c r="D165" s="17">
        <v>2</v>
      </c>
      <c r="E165" s="17">
        <v>3</v>
      </c>
      <c r="F165" s="17">
        <f>AVERAGE(Table143690117171252224225231[[#This Row],[Teste 1]:[Teste 3]])</f>
        <v>4.333333333333333</v>
      </c>
      <c r="G165" s="16"/>
      <c r="H165" s="16" t="s">
        <v>3</v>
      </c>
      <c r="I165" s="16" t="s">
        <v>9</v>
      </c>
      <c r="J165" s="17">
        <v>9</v>
      </c>
      <c r="K165" s="17">
        <v>9</v>
      </c>
      <c r="L165" s="17">
        <v>9</v>
      </c>
      <c r="M165" s="17">
        <f>AVERAGE(Table143690117171252224225231243[[#This Row],[Teste 1]:[Teste 3]])</f>
        <v>9</v>
      </c>
      <c r="N165" s="16"/>
      <c r="O165" s="16" t="s">
        <v>3</v>
      </c>
      <c r="P165" s="16" t="s">
        <v>9</v>
      </c>
      <c r="Q165" s="17">
        <v>10871</v>
      </c>
      <c r="R165" s="17">
        <v>43647</v>
      </c>
      <c r="S165" s="17">
        <v>26815</v>
      </c>
      <c r="T165" s="17">
        <f>AVERAGE(Table143690117171252224225231255[[#This Row],[Teste 1]:[Teste 3]])</f>
        <v>27111</v>
      </c>
    </row>
    <row r="166" spans="1:20" x14ac:dyDescent="0.25">
      <c r="A166" s="16" t="s">
        <v>17</v>
      </c>
      <c r="B166" s="16" t="s">
        <v>4</v>
      </c>
      <c r="C166" s="17">
        <v>10000000</v>
      </c>
      <c r="D166" s="17">
        <v>10000000</v>
      </c>
      <c r="E166" s="17">
        <v>10000000</v>
      </c>
      <c r="F166" s="17">
        <f>AVERAGE(Table143690117171252224225231[[#This Row],[Teste 1]:[Teste 3]])</f>
        <v>10000000</v>
      </c>
      <c r="G166" s="16"/>
      <c r="H166" s="16" t="s">
        <v>17</v>
      </c>
      <c r="I166" s="16" t="s">
        <v>4</v>
      </c>
      <c r="J166" s="17">
        <v>10000000</v>
      </c>
      <c r="K166" s="17">
        <v>10000000</v>
      </c>
      <c r="L166" s="17">
        <v>10000000</v>
      </c>
      <c r="M166" s="17">
        <f>AVERAGE(Table143690117171252224225231243[[#This Row],[Teste 1]:[Teste 3]])</f>
        <v>10000000</v>
      </c>
      <c r="N166" s="16"/>
      <c r="O166" s="16" t="s">
        <v>17</v>
      </c>
      <c r="P166" s="16" t="s">
        <v>4</v>
      </c>
      <c r="Q166" s="17">
        <v>10000000</v>
      </c>
      <c r="R166" s="17">
        <v>10000000</v>
      </c>
      <c r="S166" s="17">
        <v>10000000</v>
      </c>
      <c r="T166" s="17">
        <f>AVERAGE(Table143690117171252224225231255[[#This Row],[Teste 1]:[Teste 3]])</f>
        <v>10000000</v>
      </c>
    </row>
    <row r="167" spans="1:20" x14ac:dyDescent="0.25">
      <c r="A167" s="16" t="s">
        <v>17</v>
      </c>
      <c r="B167" s="16" t="s">
        <v>5</v>
      </c>
      <c r="C167" s="17">
        <v>258.475683</v>
      </c>
      <c r="D167" s="17">
        <v>358.85982369999999</v>
      </c>
      <c r="E167" s="17">
        <v>299.56056749999999</v>
      </c>
      <c r="F167" s="17">
        <f>AVERAGE(Table143690117171252224225231[[#This Row],[Teste 1]:[Teste 3]])</f>
        <v>305.63202473333331</v>
      </c>
      <c r="G167" s="16"/>
      <c r="H167" s="16" t="s">
        <v>17</v>
      </c>
      <c r="I167" s="16" t="s">
        <v>5</v>
      </c>
      <c r="J167" s="17">
        <v>1825.43</v>
      </c>
      <c r="K167" s="17">
        <v>1833.88</v>
      </c>
      <c r="L167" s="17">
        <v>1774.38</v>
      </c>
      <c r="M167" s="17">
        <f>AVERAGE(Table143690117171252224225231243[[#This Row],[Teste 1]:[Teste 3]])</f>
        <v>1811.2300000000002</v>
      </c>
      <c r="N167" s="16"/>
      <c r="O167" s="16" t="s">
        <v>17</v>
      </c>
      <c r="P167" s="16" t="s">
        <v>5</v>
      </c>
      <c r="Q167" s="17">
        <v>2119.3226377000001</v>
      </c>
      <c r="R167" s="17">
        <v>2129.1321297</v>
      </c>
      <c r="S167" s="17">
        <v>2060.0522919</v>
      </c>
      <c r="T167" s="17">
        <f>AVERAGE(Table143690117171252224225231255[[#This Row],[Teste 1]:[Teste 3]])</f>
        <v>2102.8356864333332</v>
      </c>
    </row>
    <row r="168" spans="1:20" x14ac:dyDescent="0.25">
      <c r="A168" s="16" t="s">
        <v>17</v>
      </c>
      <c r="B168" s="16" t="s">
        <v>6</v>
      </c>
      <c r="C168" s="17">
        <v>91</v>
      </c>
      <c r="D168" s="17">
        <v>108</v>
      </c>
      <c r="E168" s="17">
        <v>98</v>
      </c>
      <c r="F168" s="17">
        <f>AVERAGE(Table143690117171252224225231[[#This Row],[Teste 1]:[Teste 3]])</f>
        <v>99</v>
      </c>
      <c r="G168" s="16"/>
      <c r="H168" s="16" t="s">
        <v>17</v>
      </c>
      <c r="I168" s="16" t="s">
        <v>6</v>
      </c>
      <c r="J168" s="17">
        <v>149</v>
      </c>
      <c r="K168" s="17">
        <v>142</v>
      </c>
      <c r="L168" s="17">
        <v>143</v>
      </c>
      <c r="M168" s="17">
        <f>AVERAGE(Table143690117171252224225231243[[#This Row],[Teste 1]:[Teste 3]])</f>
        <v>144.66666666666666</v>
      </c>
      <c r="N168" s="16"/>
      <c r="O168" s="16" t="s">
        <v>17</v>
      </c>
      <c r="P168" s="16" t="s">
        <v>6</v>
      </c>
      <c r="Q168" s="17">
        <v>173</v>
      </c>
      <c r="R168" s="17">
        <v>165</v>
      </c>
      <c r="S168" s="17">
        <v>166</v>
      </c>
      <c r="T168" s="17">
        <f>AVERAGE(Table143690117171252224225231255[[#This Row],[Teste 1]:[Teste 3]])</f>
        <v>168</v>
      </c>
    </row>
    <row r="169" spans="1:20" x14ac:dyDescent="0.25">
      <c r="A169" s="16" t="s">
        <v>17</v>
      </c>
      <c r="B169" s="16" t="s">
        <v>7</v>
      </c>
      <c r="C169" s="17">
        <v>131967</v>
      </c>
      <c r="D169" s="17">
        <v>112831</v>
      </c>
      <c r="E169" s="17">
        <v>5255167</v>
      </c>
      <c r="F169" s="17">
        <f>AVERAGE(Table143690117171252224225231[[#This Row],[Teste 1]:[Teste 3]])</f>
        <v>1833321.6666666667</v>
      </c>
      <c r="G169" s="16"/>
      <c r="H169" s="16" t="s">
        <v>17</v>
      </c>
      <c r="I169" s="16" t="s">
        <v>7</v>
      </c>
      <c r="J169" s="17">
        <v>2335716</v>
      </c>
      <c r="K169" s="17">
        <v>2026831</v>
      </c>
      <c r="L169" s="17">
        <v>2744777</v>
      </c>
      <c r="M169" s="17">
        <f>AVERAGE(Table143690117171252224225231243[[#This Row],[Teste 1]:[Teste 3]])</f>
        <v>2369108</v>
      </c>
      <c r="N169" s="16"/>
      <c r="O169" s="16" t="s">
        <v>17</v>
      </c>
      <c r="P169" s="16" t="s">
        <v>7</v>
      </c>
      <c r="Q169" s="17">
        <v>3872767</v>
      </c>
      <c r="R169" s="17">
        <v>2353151</v>
      </c>
      <c r="S169" s="17">
        <v>3186687</v>
      </c>
      <c r="T169" s="17">
        <f>AVERAGE(Table143690117171252224225231255[[#This Row],[Teste 1]:[Teste 3]])</f>
        <v>3137535</v>
      </c>
    </row>
    <row r="170" spans="1:20" x14ac:dyDescent="0.25">
      <c r="A170" s="16" t="s">
        <v>17</v>
      </c>
      <c r="B170" s="16" t="s">
        <v>8</v>
      </c>
      <c r="C170" s="17">
        <v>414</v>
      </c>
      <c r="D170" s="17">
        <v>663</v>
      </c>
      <c r="E170" s="17">
        <v>503</v>
      </c>
      <c r="F170" s="17">
        <f>AVERAGE(Table143690117171252224225231[[#This Row],[Teste 1]:[Teste 3]])</f>
        <v>526.66666666666663</v>
      </c>
      <c r="G170" s="16"/>
      <c r="H170" s="16" t="s">
        <v>17</v>
      </c>
      <c r="I170" s="16" t="s">
        <v>8</v>
      </c>
      <c r="J170" s="17">
        <v>7151</v>
      </c>
      <c r="K170" s="17">
        <v>7289</v>
      </c>
      <c r="L170" s="17">
        <v>6982</v>
      </c>
      <c r="M170" s="17">
        <f>AVERAGE(Table143690117171252224225231243[[#This Row],[Teste 1]:[Teste 3]])</f>
        <v>7140.666666666667</v>
      </c>
      <c r="N170" s="16"/>
      <c r="O170" s="16" t="s">
        <v>17</v>
      </c>
      <c r="P170" s="16" t="s">
        <v>8</v>
      </c>
      <c r="Q170" s="17">
        <v>8303</v>
      </c>
      <c r="R170" s="17">
        <v>8463</v>
      </c>
      <c r="S170" s="17">
        <v>8107</v>
      </c>
      <c r="T170" s="17">
        <f>AVERAGE(Table143690117171252224225231255[[#This Row],[Teste 1]:[Teste 3]])</f>
        <v>8291</v>
      </c>
    </row>
    <row r="171" spans="1:20" x14ac:dyDescent="0.25">
      <c r="A171" s="16" t="s">
        <v>17</v>
      </c>
      <c r="B171" s="16" t="s">
        <v>9</v>
      </c>
      <c r="C171" s="17">
        <v>751</v>
      </c>
      <c r="D171" s="17">
        <v>1145</v>
      </c>
      <c r="E171" s="17">
        <v>1105</v>
      </c>
      <c r="F171" s="17">
        <f>AVERAGE(Table143690117171252224225231[[#This Row],[Teste 1]:[Teste 3]])</f>
        <v>1000.3333333333334</v>
      </c>
      <c r="G171" s="16"/>
      <c r="H171" s="16" t="s">
        <v>17</v>
      </c>
      <c r="I171" s="16" t="s">
        <v>9</v>
      </c>
      <c r="J171" s="17">
        <v>19196</v>
      </c>
      <c r="K171" s="17">
        <v>19320</v>
      </c>
      <c r="L171" s="17">
        <v>18727</v>
      </c>
      <c r="M171" s="17">
        <f>AVERAGE(Table143690117171252224225231243[[#This Row],[Teste 1]:[Teste 3]])</f>
        <v>19081</v>
      </c>
      <c r="N171" s="16"/>
      <c r="O171" s="16" t="s">
        <v>17</v>
      </c>
      <c r="P171" s="16" t="s">
        <v>9</v>
      </c>
      <c r="Q171" s="17">
        <v>22287</v>
      </c>
      <c r="R171" s="17">
        <v>22431</v>
      </c>
      <c r="S171" s="17">
        <v>21743</v>
      </c>
      <c r="T171" s="17">
        <f>AVERAGE(Table143690117171252224225231255[[#This Row],[Teste 1]:[Teste 3]])</f>
        <v>22153.666666666668</v>
      </c>
    </row>
    <row r="172" spans="1:20" x14ac:dyDescent="0.25">
      <c r="A172" s="16" t="s">
        <v>17</v>
      </c>
      <c r="B172" s="16" t="s">
        <v>11</v>
      </c>
      <c r="C172" s="17">
        <v>10000000</v>
      </c>
      <c r="D172" s="17">
        <v>10000000</v>
      </c>
      <c r="E172" s="17">
        <v>10000000</v>
      </c>
      <c r="F172" s="17">
        <f>AVERAGE(Table143690117171252224225231[[#This Row],[Teste 1]:[Teste 3]])</f>
        <v>10000000</v>
      </c>
      <c r="G172" s="16"/>
      <c r="H172" s="16" t="s">
        <v>17</v>
      </c>
      <c r="I172" s="16" t="s">
        <v>11</v>
      </c>
      <c r="J172" s="17">
        <v>10000000</v>
      </c>
      <c r="K172" s="17">
        <v>10000000</v>
      </c>
      <c r="L172" s="17">
        <v>10000000</v>
      </c>
      <c r="M172" s="17">
        <f>AVERAGE(Table143690117171252224225231243[[#This Row],[Teste 1]:[Teste 3]])</f>
        <v>10000000</v>
      </c>
      <c r="N172" s="16"/>
      <c r="O172" s="16" t="s">
        <v>17</v>
      </c>
      <c r="P172" s="16" t="s">
        <v>11</v>
      </c>
      <c r="Q172" s="17">
        <v>10000000</v>
      </c>
      <c r="R172" s="17">
        <v>10000000</v>
      </c>
      <c r="S172" s="17">
        <v>10000000</v>
      </c>
      <c r="T172" s="17">
        <f>AVERAGE(Table143690117171252224225231255[[#This Row],[Teste 1]:[Teste 3]])</f>
        <v>10000000</v>
      </c>
    </row>
    <row r="173" spans="1:20" x14ac:dyDescent="0.25">
      <c r="A173" s="16"/>
      <c r="B173" s="16"/>
      <c r="C173" s="17"/>
      <c r="D173" s="17"/>
      <c r="E173" s="17"/>
      <c r="F173" s="17"/>
      <c r="G173" s="16"/>
      <c r="H173" s="16"/>
      <c r="I173" s="16"/>
      <c r="J173" s="17"/>
      <c r="K173" s="17"/>
      <c r="L173" s="17"/>
      <c r="M173" s="17"/>
      <c r="N173" s="16"/>
      <c r="O173" s="16"/>
      <c r="P173" s="16"/>
      <c r="Q173" s="17"/>
      <c r="R173" s="17"/>
      <c r="S173" s="17"/>
      <c r="T173" s="17"/>
    </row>
    <row r="174" spans="1:20" x14ac:dyDescent="0.25">
      <c r="A174" s="16"/>
      <c r="B174" s="16"/>
      <c r="C174" s="17"/>
      <c r="D174" s="17"/>
      <c r="E174" s="17"/>
      <c r="F174" s="17"/>
      <c r="G174" s="16"/>
      <c r="H174" s="16"/>
      <c r="I174" s="16"/>
      <c r="J174" s="17"/>
      <c r="K174" s="17"/>
      <c r="L174" s="17"/>
      <c r="M174" s="17"/>
      <c r="N174" s="16"/>
      <c r="O174" s="16"/>
      <c r="P174" s="16"/>
      <c r="Q174" s="17"/>
      <c r="R174" s="17"/>
      <c r="S174" s="17"/>
      <c r="T174" s="17"/>
    </row>
    <row r="175" spans="1:20" x14ac:dyDescent="0.25">
      <c r="A175" s="16"/>
      <c r="B175" s="16"/>
      <c r="C175" s="17"/>
      <c r="D175" s="17"/>
      <c r="E175" s="17"/>
      <c r="F175" s="17"/>
      <c r="G175" s="16"/>
      <c r="H175" s="16"/>
      <c r="I175" s="16"/>
      <c r="J175" s="17"/>
      <c r="K175" s="17"/>
      <c r="L175" s="17"/>
      <c r="M175" s="17"/>
      <c r="N175" s="16"/>
      <c r="O175" s="16"/>
      <c r="P175" s="16"/>
      <c r="Q175" s="17"/>
      <c r="R175" s="17"/>
      <c r="S175" s="17"/>
      <c r="T175" s="17"/>
    </row>
    <row r="177" spans="1:20" ht="15.75" x14ac:dyDescent="0.25">
      <c r="A177" s="2" t="s">
        <v>73</v>
      </c>
      <c r="H177" s="2" t="s">
        <v>73</v>
      </c>
      <c r="O177" s="2" t="s">
        <v>73</v>
      </c>
    </row>
    <row r="178" spans="1:20" ht="15.75" x14ac:dyDescent="0.25">
      <c r="A178" s="16" t="s">
        <v>59</v>
      </c>
      <c r="B178" s="21" t="s">
        <v>81</v>
      </c>
      <c r="C178" s="16" t="s">
        <v>82</v>
      </c>
      <c r="D178" s="16" t="s">
        <v>64</v>
      </c>
      <c r="E178" s="16" t="s">
        <v>63</v>
      </c>
      <c r="F178" s="16" t="s">
        <v>18</v>
      </c>
      <c r="G178" s="16"/>
      <c r="H178" s="16" t="s">
        <v>12</v>
      </c>
      <c r="I178" s="21" t="s">
        <v>81</v>
      </c>
      <c r="J178" s="16" t="s">
        <v>82</v>
      </c>
      <c r="K178" s="16" t="s">
        <v>64</v>
      </c>
      <c r="L178" s="16" t="s">
        <v>63</v>
      </c>
      <c r="M178" s="16" t="s">
        <v>18</v>
      </c>
      <c r="N178" s="16"/>
      <c r="O178" s="16" t="s">
        <v>13</v>
      </c>
      <c r="P178" s="21" t="s">
        <v>81</v>
      </c>
      <c r="Q178" s="16" t="s">
        <v>82</v>
      </c>
      <c r="R178" s="16" t="s">
        <v>64</v>
      </c>
      <c r="S178" s="16" t="s">
        <v>63</v>
      </c>
      <c r="T178" s="16" t="s">
        <v>18</v>
      </c>
    </row>
    <row r="179" spans="1:20" x14ac:dyDescent="0.25">
      <c r="A179" s="16" t="s">
        <v>0</v>
      </c>
      <c r="B179" s="16" t="s">
        <v>1</v>
      </c>
      <c r="C179" s="17">
        <v>401125</v>
      </c>
      <c r="D179" s="17">
        <v>402057</v>
      </c>
      <c r="E179" s="17">
        <v>408798</v>
      </c>
      <c r="F179" s="17">
        <f>AVERAGE(Table143690117171252224226232[[#This Row],[Teste 1]:[Teste 3]])</f>
        <v>403993.33333333331</v>
      </c>
      <c r="G179" s="16"/>
      <c r="H179" s="16" t="s">
        <v>0</v>
      </c>
      <c r="I179" s="16" t="s">
        <v>1</v>
      </c>
      <c r="J179" s="17">
        <v>3190875</v>
      </c>
      <c r="K179" s="17">
        <v>3156839</v>
      </c>
      <c r="L179" s="17">
        <v>3059557</v>
      </c>
      <c r="M179" s="17">
        <f>AVERAGE(Table143690117171252224226232244[[#This Row],[Teste 1]:[Teste 3]])</f>
        <v>3135757</v>
      </c>
      <c r="N179" s="16"/>
      <c r="O179" s="16" t="s">
        <v>0</v>
      </c>
      <c r="P179" s="16" t="s">
        <v>1</v>
      </c>
      <c r="Q179" s="17">
        <v>6700839</v>
      </c>
      <c r="R179" s="17">
        <v>6629362</v>
      </c>
      <c r="S179" s="17">
        <v>6425071</v>
      </c>
      <c r="T179" s="17">
        <f>AVERAGE(Table143690117171252224226232256[[#This Row],[Teste 1]:[Teste 3]])</f>
        <v>6585090.666666667</v>
      </c>
    </row>
    <row r="180" spans="1:20" x14ac:dyDescent="0.25">
      <c r="A180" s="16" t="s">
        <v>0</v>
      </c>
      <c r="B180" s="16" t="s">
        <v>2</v>
      </c>
      <c r="C180" s="17">
        <v>24929.8846992832</v>
      </c>
      <c r="D180" s="17">
        <v>24872.095250175898</v>
      </c>
      <c r="E180" s="17">
        <v>21003.5453423092</v>
      </c>
      <c r="F180" s="17">
        <f>AVERAGE(Table143690117171252224226232[[#This Row],[Teste 1]:[Teste 3]])</f>
        <v>23601.841763922766</v>
      </c>
      <c r="G180" s="16"/>
      <c r="H180" s="16" t="s">
        <v>0</v>
      </c>
      <c r="I180" s="16" t="s">
        <v>2</v>
      </c>
      <c r="J180" s="17">
        <v>3133.94</v>
      </c>
      <c r="K180" s="17">
        <v>3167.72</v>
      </c>
      <c r="L180" s="17">
        <v>3268.44</v>
      </c>
      <c r="M180" s="17">
        <f>AVERAGE(Table143690117171252224226232244[[#This Row],[Teste 1]:[Teste 3]])</f>
        <v>3190.0333333333333</v>
      </c>
      <c r="N180" s="16"/>
      <c r="O180" s="16" t="s">
        <v>0</v>
      </c>
      <c r="P180" s="16" t="s">
        <v>2</v>
      </c>
      <c r="Q180" s="17">
        <v>1492.3504355200801</v>
      </c>
      <c r="R180" s="17">
        <v>1508.4407820843001</v>
      </c>
      <c r="S180" s="17">
        <v>1556.40303430109</v>
      </c>
      <c r="T180" s="17">
        <f>AVERAGE(Table143690117171252224226232256[[#This Row],[Teste 1]:[Teste 3]])</f>
        <v>1519.0647506351568</v>
      </c>
    </row>
    <row r="181" spans="1:20" x14ac:dyDescent="0.25">
      <c r="A181" s="16" t="s">
        <v>3</v>
      </c>
      <c r="B181" s="16" t="s">
        <v>4</v>
      </c>
      <c r="C181" s="17">
        <v>6</v>
      </c>
      <c r="D181" s="17">
        <v>6</v>
      </c>
      <c r="E181" s="17">
        <v>6</v>
      </c>
      <c r="F181" s="17">
        <f>AVERAGE(Table143690117171252224226232[[#This Row],[Teste 1]:[Teste 3]])</f>
        <v>6</v>
      </c>
      <c r="G181" s="16"/>
      <c r="H181" s="16" t="s">
        <v>3</v>
      </c>
      <c r="I181" s="16" t="s">
        <v>4</v>
      </c>
      <c r="J181" s="17">
        <v>6</v>
      </c>
      <c r="K181" s="17">
        <v>6</v>
      </c>
      <c r="L181" s="17">
        <v>6</v>
      </c>
      <c r="M181" s="17">
        <f>AVERAGE(Table143690117171252224226232244[[#This Row],[Teste 1]:[Teste 3]])</f>
        <v>6</v>
      </c>
      <c r="N181" s="16"/>
      <c r="O181" s="16" t="s">
        <v>3</v>
      </c>
      <c r="P181" s="16" t="s">
        <v>4</v>
      </c>
      <c r="Q181" s="17">
        <v>6</v>
      </c>
      <c r="R181" s="17">
        <v>6</v>
      </c>
      <c r="S181" s="17">
        <v>6</v>
      </c>
      <c r="T181" s="17">
        <f>AVERAGE(Table143690117171252224226232256[[#This Row],[Teste 1]:[Teste 3]])</f>
        <v>6</v>
      </c>
    </row>
    <row r="182" spans="1:20" x14ac:dyDescent="0.25">
      <c r="A182" s="16" t="s">
        <v>3</v>
      </c>
      <c r="B182" s="16" t="s">
        <v>5</v>
      </c>
      <c r="C182" s="17">
        <v>0.66666666666666596</v>
      </c>
      <c r="D182" s="17">
        <v>1.3333333333333299</v>
      </c>
      <c r="E182" s="17">
        <v>1.1666666666666601</v>
      </c>
      <c r="F182" s="17">
        <f>AVERAGE(Table143690117171252224226232[[#This Row],[Teste 1]:[Teste 3]])</f>
        <v>1.055555555555552</v>
      </c>
      <c r="G182" s="16"/>
      <c r="H182" s="16" t="s">
        <v>3</v>
      </c>
      <c r="I182" s="16" t="s">
        <v>5</v>
      </c>
      <c r="J182" s="17">
        <v>5.3333333333333304</v>
      </c>
      <c r="K182" s="17">
        <v>2.3333333333333299</v>
      </c>
      <c r="L182" s="17">
        <v>5.8333333333333304</v>
      </c>
      <c r="M182" s="17">
        <f>AVERAGE(Table143690117171252224226232244[[#This Row],[Teste 1]:[Teste 3]])</f>
        <v>4.4999999999999973</v>
      </c>
      <c r="N182" s="16"/>
      <c r="O182" s="16" t="s">
        <v>3</v>
      </c>
      <c r="P182" s="16" t="s">
        <v>5</v>
      </c>
      <c r="Q182" s="17">
        <v>66987.166666666599</v>
      </c>
      <c r="R182" s="17">
        <v>6307.1666666666597</v>
      </c>
      <c r="S182" s="17">
        <v>1775.6666666666599</v>
      </c>
      <c r="T182" s="17">
        <f>AVERAGE(Table143690117171252224226232256[[#This Row],[Teste 1]:[Teste 3]])</f>
        <v>25023.333333333303</v>
      </c>
    </row>
    <row r="183" spans="1:20" x14ac:dyDescent="0.25">
      <c r="A183" s="16" t="s">
        <v>3</v>
      </c>
      <c r="B183" s="16" t="s">
        <v>6</v>
      </c>
      <c r="C183" s="17">
        <v>0</v>
      </c>
      <c r="D183" s="17">
        <v>1</v>
      </c>
      <c r="E183" s="17">
        <v>0</v>
      </c>
      <c r="F183" s="17">
        <f>AVERAGE(Table143690117171252224226232[[#This Row],[Teste 1]:[Teste 3]])</f>
        <v>0.33333333333333331</v>
      </c>
      <c r="G183" s="16"/>
      <c r="H183" s="16" t="s">
        <v>3</v>
      </c>
      <c r="I183" s="16" t="s">
        <v>6</v>
      </c>
      <c r="J183" s="17">
        <v>1</v>
      </c>
      <c r="K183" s="17">
        <v>1</v>
      </c>
      <c r="L183" s="17">
        <v>0</v>
      </c>
      <c r="M183" s="17">
        <f>AVERAGE(Table143690117171252224226232244[[#This Row],[Teste 1]:[Teste 3]])</f>
        <v>0.66666666666666663</v>
      </c>
      <c r="N183" s="16"/>
      <c r="O183" s="16" t="s">
        <v>3</v>
      </c>
      <c r="P183" s="16" t="s">
        <v>6</v>
      </c>
      <c r="Q183" s="17">
        <v>1</v>
      </c>
      <c r="R183" s="17">
        <v>1</v>
      </c>
      <c r="S183" s="17">
        <v>1</v>
      </c>
      <c r="T183" s="17">
        <f>AVERAGE(Table143690117171252224226232256[[#This Row],[Teste 1]:[Teste 3]])</f>
        <v>1</v>
      </c>
    </row>
    <row r="184" spans="1:20" x14ac:dyDescent="0.25">
      <c r="A184" s="16" t="s">
        <v>3</v>
      </c>
      <c r="B184" s="16" t="s">
        <v>7</v>
      </c>
      <c r="C184" s="17">
        <v>2</v>
      </c>
      <c r="D184" s="17">
        <v>3</v>
      </c>
      <c r="E184" s="17">
        <v>3</v>
      </c>
      <c r="F184" s="17">
        <f>AVERAGE(Table143690117171252224226232[[#This Row],[Teste 1]:[Teste 3]])</f>
        <v>2.6666666666666665</v>
      </c>
      <c r="G184" s="16"/>
      <c r="H184" s="16" t="s">
        <v>3</v>
      </c>
      <c r="I184" s="16" t="s">
        <v>7</v>
      </c>
      <c r="J184" s="17">
        <v>4</v>
      </c>
      <c r="K184" s="17">
        <v>7</v>
      </c>
      <c r="L184" s="17">
        <v>6</v>
      </c>
      <c r="M184" s="17">
        <f>AVERAGE(Table143690117171252224226232244[[#This Row],[Teste 1]:[Teste 3]])</f>
        <v>5.666666666666667</v>
      </c>
      <c r="N184" s="16"/>
      <c r="O184" s="16" t="s">
        <v>3</v>
      </c>
      <c r="P184" s="16" t="s">
        <v>7</v>
      </c>
      <c r="Q184" s="17">
        <v>401663</v>
      </c>
      <c r="R184" s="17">
        <v>37823</v>
      </c>
      <c r="S184" s="17">
        <v>10647</v>
      </c>
      <c r="T184" s="17">
        <f>AVERAGE(Table143690117171252224226232256[[#This Row],[Teste 1]:[Teste 3]])</f>
        <v>150044.33333333334</v>
      </c>
    </row>
    <row r="185" spans="1:20" x14ac:dyDescent="0.25">
      <c r="A185" s="16" t="s">
        <v>3</v>
      </c>
      <c r="B185" s="16" t="s">
        <v>8</v>
      </c>
      <c r="C185" s="17">
        <v>2</v>
      </c>
      <c r="D185" s="17">
        <v>3</v>
      </c>
      <c r="E185" s="17">
        <v>3</v>
      </c>
      <c r="F185" s="17">
        <f>AVERAGE(Table143690117171252224226232[[#This Row],[Teste 1]:[Teste 3]])</f>
        <v>2.6666666666666665</v>
      </c>
      <c r="G185" s="16"/>
      <c r="H185" s="16" t="s">
        <v>3</v>
      </c>
      <c r="I185" s="16" t="s">
        <v>8</v>
      </c>
      <c r="J185" s="17">
        <v>4</v>
      </c>
      <c r="K185" s="17">
        <v>7</v>
      </c>
      <c r="L185" s="17">
        <v>6</v>
      </c>
      <c r="M185" s="17">
        <f>AVERAGE(Table143690117171252224226232244[[#This Row],[Teste 1]:[Teste 3]])</f>
        <v>5.666666666666667</v>
      </c>
      <c r="N185" s="16"/>
      <c r="O185" s="16" t="s">
        <v>3</v>
      </c>
      <c r="P185" s="16" t="s">
        <v>8</v>
      </c>
      <c r="Q185" s="17">
        <v>401663</v>
      </c>
      <c r="R185" s="17">
        <v>37823</v>
      </c>
      <c r="S185" s="17">
        <v>10647</v>
      </c>
      <c r="T185" s="17">
        <f>AVERAGE(Table143690117171252224226232256[[#This Row],[Teste 1]:[Teste 3]])</f>
        <v>150044.33333333334</v>
      </c>
    </row>
    <row r="186" spans="1:20" x14ac:dyDescent="0.25">
      <c r="A186" s="16" t="s">
        <v>3</v>
      </c>
      <c r="B186" s="16" t="s">
        <v>9</v>
      </c>
      <c r="C186" s="17">
        <v>2</v>
      </c>
      <c r="D186" s="17">
        <v>3</v>
      </c>
      <c r="E186" s="17">
        <v>3</v>
      </c>
      <c r="F186" s="17">
        <f>AVERAGE(Table143690117171252224226232[[#This Row],[Teste 1]:[Teste 3]])</f>
        <v>2.6666666666666665</v>
      </c>
      <c r="G186" s="16"/>
      <c r="H186" s="16" t="s">
        <v>3</v>
      </c>
      <c r="I186" s="16" t="s">
        <v>9</v>
      </c>
      <c r="J186" s="17">
        <v>4</v>
      </c>
      <c r="K186" s="17">
        <v>7</v>
      </c>
      <c r="L186" s="17">
        <v>6</v>
      </c>
      <c r="M186" s="17">
        <f>AVERAGE(Table143690117171252224226232244[[#This Row],[Teste 1]:[Teste 3]])</f>
        <v>5.666666666666667</v>
      </c>
      <c r="N186" s="16"/>
      <c r="O186" s="16" t="s">
        <v>3</v>
      </c>
      <c r="P186" s="16" t="s">
        <v>9</v>
      </c>
      <c r="Q186" s="17">
        <v>401663</v>
      </c>
      <c r="R186" s="17">
        <v>37823</v>
      </c>
      <c r="S186" s="17">
        <v>10647</v>
      </c>
      <c r="T186" s="17">
        <f>AVERAGE(Table143690117171252224226232256[[#This Row],[Teste 1]:[Teste 3]])</f>
        <v>150044.33333333334</v>
      </c>
    </row>
    <row r="187" spans="1:20" x14ac:dyDescent="0.25">
      <c r="A187" s="16" t="s">
        <v>17</v>
      </c>
      <c r="B187" s="16" t="s">
        <v>4</v>
      </c>
      <c r="C187" s="17">
        <v>10000000</v>
      </c>
      <c r="D187" s="17">
        <v>10000000</v>
      </c>
      <c r="E187" s="17">
        <v>10000000</v>
      </c>
      <c r="F187" s="17">
        <f>AVERAGE(Table143690117171252224226232[[#This Row],[Teste 1]:[Teste 3]])</f>
        <v>10000000</v>
      </c>
      <c r="G187" s="16"/>
      <c r="H187" s="16" t="s">
        <v>17</v>
      </c>
      <c r="I187" s="16" t="s">
        <v>4</v>
      </c>
      <c r="J187" s="17">
        <v>10000000</v>
      </c>
      <c r="K187" s="17">
        <v>10000000</v>
      </c>
      <c r="L187" s="17">
        <v>10000000</v>
      </c>
      <c r="M187" s="17">
        <f>AVERAGE(Table143690117171252224226232244[[#This Row],[Teste 1]:[Teste 3]])</f>
        <v>10000000</v>
      </c>
      <c r="N187" s="16"/>
      <c r="O187" s="16" t="s">
        <v>17</v>
      </c>
      <c r="P187" s="16" t="s">
        <v>4</v>
      </c>
      <c r="Q187" s="17">
        <v>10000000</v>
      </c>
      <c r="R187" s="17">
        <v>10000000</v>
      </c>
      <c r="S187" s="17">
        <v>10000000</v>
      </c>
      <c r="T187" s="17">
        <f>AVERAGE(Table143690117171252224226232256[[#This Row],[Teste 1]:[Teste 3]])</f>
        <v>10000000</v>
      </c>
    </row>
    <row r="188" spans="1:20" x14ac:dyDescent="0.25">
      <c r="A188" s="16" t="s">
        <v>17</v>
      </c>
      <c r="B188" s="16" t="s">
        <v>5</v>
      </c>
      <c r="C188" s="17">
        <v>234.2908319</v>
      </c>
      <c r="D188" s="17">
        <v>235.5117568</v>
      </c>
      <c r="E188" s="17">
        <v>532.72704839999994</v>
      </c>
      <c r="F188" s="17">
        <f>AVERAGE(Table143690117171252224226232[[#This Row],[Teste 1]:[Teste 3]])</f>
        <v>334.17654569999996</v>
      </c>
      <c r="G188" s="16"/>
      <c r="H188" s="16" t="s">
        <v>17</v>
      </c>
      <c r="I188" s="16" t="s">
        <v>5</v>
      </c>
      <c r="J188" s="17">
        <v>1909.86</v>
      </c>
      <c r="K188" s="17">
        <v>1890.35</v>
      </c>
      <c r="L188" s="17">
        <v>1832.59</v>
      </c>
      <c r="M188" s="17">
        <f>AVERAGE(Table143690117171252224226232244[[#This Row],[Teste 1]:[Teste 3]])</f>
        <v>1877.6000000000001</v>
      </c>
      <c r="N188" s="16"/>
      <c r="O188" s="16" t="s">
        <v>17</v>
      </c>
      <c r="P188" s="16" t="s">
        <v>5</v>
      </c>
      <c r="Q188" s="17">
        <v>4010.7145654999999</v>
      </c>
      <c r="R188" s="17">
        <v>3969.0754520999999</v>
      </c>
      <c r="S188" s="17">
        <v>3848.4401723000001</v>
      </c>
      <c r="T188" s="17">
        <f>AVERAGE(Table143690117171252224226232256[[#This Row],[Teste 1]:[Teste 3]])</f>
        <v>3942.7433966333338</v>
      </c>
    </row>
    <row r="189" spans="1:20" x14ac:dyDescent="0.25">
      <c r="A189" s="16" t="s">
        <v>17</v>
      </c>
      <c r="B189" s="16" t="s">
        <v>6</v>
      </c>
      <c r="C189" s="17">
        <v>85</v>
      </c>
      <c r="D189" s="17">
        <v>89</v>
      </c>
      <c r="E189" s="17">
        <v>96</v>
      </c>
      <c r="F189" s="17">
        <f>AVERAGE(Table143690117171252224226232[[#This Row],[Teste 1]:[Teste 3]])</f>
        <v>90</v>
      </c>
      <c r="G189" s="16"/>
      <c r="H189" s="16" t="s">
        <v>17</v>
      </c>
      <c r="I189" s="16" t="s">
        <v>6</v>
      </c>
      <c r="J189" s="17">
        <v>77</v>
      </c>
      <c r="K189" s="17">
        <v>77</v>
      </c>
      <c r="L189" s="17">
        <v>77</v>
      </c>
      <c r="M189" s="17">
        <f>AVERAGE(Table143690117171252224226232244[[#This Row],[Teste 1]:[Teste 3]])</f>
        <v>77</v>
      </c>
      <c r="N189" s="16"/>
      <c r="O189" s="16" t="s">
        <v>17</v>
      </c>
      <c r="P189" s="16" t="s">
        <v>6</v>
      </c>
      <c r="Q189" s="17">
        <v>162</v>
      </c>
      <c r="R189" s="17">
        <v>162</v>
      </c>
      <c r="S189" s="17">
        <v>161</v>
      </c>
      <c r="T189" s="17">
        <f>AVERAGE(Table143690117171252224226232256[[#This Row],[Teste 1]:[Teste 3]])</f>
        <v>161.66666666666666</v>
      </c>
    </row>
    <row r="190" spans="1:20" x14ac:dyDescent="0.25">
      <c r="A190" s="16" t="s">
        <v>17</v>
      </c>
      <c r="B190" s="16" t="s">
        <v>7</v>
      </c>
      <c r="C190" s="17">
        <v>155391</v>
      </c>
      <c r="D190" s="17">
        <v>304383</v>
      </c>
      <c r="E190" s="17">
        <v>1049599</v>
      </c>
      <c r="F190" s="17">
        <f>AVERAGE(Table143690117171252224226232[[#This Row],[Teste 1]:[Teste 3]])</f>
        <v>503124.33333333331</v>
      </c>
      <c r="G190" s="16"/>
      <c r="H190" s="16" t="s">
        <v>17</v>
      </c>
      <c r="I190" s="16" t="s">
        <v>7</v>
      </c>
      <c r="J190" s="17">
        <v>1151755</v>
      </c>
      <c r="K190" s="17">
        <v>1202468</v>
      </c>
      <c r="L190" s="17">
        <v>1510643</v>
      </c>
      <c r="M190" s="17">
        <f>AVERAGE(Table143690117171252224226232244[[#This Row],[Teste 1]:[Teste 3]])</f>
        <v>1288288.6666666667</v>
      </c>
      <c r="N190" s="16"/>
      <c r="O190" s="16" t="s">
        <v>17</v>
      </c>
      <c r="P190" s="16" t="s">
        <v>7</v>
      </c>
      <c r="Q190" s="17">
        <v>2418687</v>
      </c>
      <c r="R190" s="17">
        <v>2525183</v>
      </c>
      <c r="S190" s="17">
        <v>3172351</v>
      </c>
      <c r="T190" s="17">
        <f>AVERAGE(Table143690117171252224226232256[[#This Row],[Teste 1]:[Teste 3]])</f>
        <v>2705407</v>
      </c>
    </row>
    <row r="191" spans="1:20" x14ac:dyDescent="0.25">
      <c r="A191" s="16" t="s">
        <v>17</v>
      </c>
      <c r="B191" s="16" t="s">
        <v>8</v>
      </c>
      <c r="C191" s="17">
        <v>348</v>
      </c>
      <c r="D191" s="17">
        <v>339</v>
      </c>
      <c r="E191" s="17">
        <v>846</v>
      </c>
      <c r="F191" s="17">
        <f>AVERAGE(Table143690117171252224226232[[#This Row],[Teste 1]:[Teste 3]])</f>
        <v>511</v>
      </c>
      <c r="G191" s="16"/>
      <c r="H191" s="16" t="s">
        <v>17</v>
      </c>
      <c r="I191" s="16" t="s">
        <v>8</v>
      </c>
      <c r="J191" s="17">
        <v>8395</v>
      </c>
      <c r="K191" s="17">
        <v>8372</v>
      </c>
      <c r="L191" s="17">
        <v>8311</v>
      </c>
      <c r="M191" s="17">
        <f>AVERAGE(Table143690117171252224226232244[[#This Row],[Teste 1]:[Teste 3]])</f>
        <v>8359.3333333333339</v>
      </c>
      <c r="N191" s="16"/>
      <c r="O191" s="16" t="s">
        <v>17</v>
      </c>
      <c r="P191" s="16" t="s">
        <v>8</v>
      </c>
      <c r="Q191" s="17">
        <v>17631</v>
      </c>
      <c r="R191" s="17">
        <v>17583</v>
      </c>
      <c r="S191" s="17">
        <v>17455</v>
      </c>
      <c r="T191" s="17">
        <f>AVERAGE(Table143690117171252224226232256[[#This Row],[Teste 1]:[Teste 3]])</f>
        <v>17556.333333333332</v>
      </c>
    </row>
    <row r="192" spans="1:20" x14ac:dyDescent="0.25">
      <c r="A192" s="16" t="s">
        <v>17</v>
      </c>
      <c r="B192" s="16" t="s">
        <v>9</v>
      </c>
      <c r="C192" s="17">
        <v>529</v>
      </c>
      <c r="D192" s="17">
        <v>508</v>
      </c>
      <c r="E192" s="17">
        <v>2091</v>
      </c>
      <c r="F192" s="17">
        <f>AVERAGE(Table143690117171252224226232[[#This Row],[Teste 1]:[Teste 3]])</f>
        <v>1042.6666666666667</v>
      </c>
      <c r="G192" s="16"/>
      <c r="H192" s="16" t="s">
        <v>17</v>
      </c>
      <c r="I192" s="16" t="s">
        <v>9</v>
      </c>
      <c r="J192" s="17">
        <v>15664</v>
      </c>
      <c r="K192" s="17">
        <v>15831</v>
      </c>
      <c r="L192" s="17">
        <v>15995</v>
      </c>
      <c r="M192" s="17">
        <f>AVERAGE(Table143690117171252224226232244[[#This Row],[Teste 1]:[Teste 3]])</f>
        <v>15830</v>
      </c>
      <c r="N192" s="16"/>
      <c r="O192" s="16" t="s">
        <v>17</v>
      </c>
      <c r="P192" s="16" t="s">
        <v>9</v>
      </c>
      <c r="Q192" s="17">
        <v>32895</v>
      </c>
      <c r="R192" s="17">
        <v>33247</v>
      </c>
      <c r="S192" s="17">
        <v>29391</v>
      </c>
      <c r="T192" s="17">
        <f>AVERAGE(Table143690117171252224226232256[[#This Row],[Teste 1]:[Teste 3]])</f>
        <v>31844.333333333332</v>
      </c>
    </row>
    <row r="193" spans="1:34" x14ac:dyDescent="0.25">
      <c r="A193" s="16" t="s">
        <v>17</v>
      </c>
      <c r="B193" s="16" t="s">
        <v>11</v>
      </c>
      <c r="C193" s="17">
        <v>10000000</v>
      </c>
      <c r="D193" s="17">
        <v>10000000</v>
      </c>
      <c r="E193" s="17">
        <v>10000000</v>
      </c>
      <c r="F193" s="17">
        <f>AVERAGE(Table143690117171252224226232[[#This Row],[Teste 1]:[Teste 3]])</f>
        <v>10000000</v>
      </c>
      <c r="G193" s="16"/>
      <c r="H193" s="16" t="s">
        <v>17</v>
      </c>
      <c r="I193" s="16" t="s">
        <v>11</v>
      </c>
      <c r="J193" s="17">
        <v>10000000</v>
      </c>
      <c r="K193" s="17">
        <v>10000000</v>
      </c>
      <c r="L193" s="17">
        <v>10000000</v>
      </c>
      <c r="M193" s="17">
        <f>AVERAGE(Table143690117171252224226232244[[#This Row],[Teste 1]:[Teste 3]])</f>
        <v>10000000</v>
      </c>
      <c r="N193" s="16"/>
      <c r="O193" s="16" t="s">
        <v>17</v>
      </c>
      <c r="P193" s="16" t="s">
        <v>11</v>
      </c>
      <c r="Q193" s="17">
        <v>10000000</v>
      </c>
      <c r="R193" s="17">
        <v>10000000</v>
      </c>
      <c r="S193" s="17">
        <v>10000000</v>
      </c>
      <c r="T193" s="17">
        <f>AVERAGE(Table143690117171252224226232256[[#This Row],[Teste 1]:[Teste 3]])</f>
        <v>10000000</v>
      </c>
    </row>
    <row r="194" spans="1:34" x14ac:dyDescent="0.25">
      <c r="A194" s="16"/>
      <c r="B194" s="16"/>
      <c r="C194" s="17"/>
      <c r="D194" s="17"/>
      <c r="E194" s="17"/>
      <c r="F194" s="17"/>
      <c r="G194" s="16"/>
      <c r="H194" s="16"/>
      <c r="I194" s="16"/>
      <c r="J194" s="17"/>
      <c r="K194" s="17"/>
      <c r="L194" s="17"/>
      <c r="M194" s="17"/>
      <c r="N194" s="16"/>
      <c r="O194" s="16"/>
      <c r="P194" s="16"/>
      <c r="Q194" s="17"/>
      <c r="R194" s="17"/>
      <c r="S194" s="17"/>
      <c r="T194" s="17"/>
    </row>
    <row r="195" spans="1:34" x14ac:dyDescent="0.25">
      <c r="A195" s="16"/>
      <c r="B195" s="16"/>
      <c r="C195" s="17"/>
      <c r="D195" s="17"/>
      <c r="E195" s="17"/>
      <c r="F195" s="17"/>
      <c r="G195" s="16"/>
      <c r="H195" s="16"/>
      <c r="I195" s="16"/>
      <c r="J195" s="17"/>
      <c r="K195" s="17"/>
      <c r="L195" s="17"/>
      <c r="M195" s="17"/>
      <c r="N195" s="16"/>
      <c r="O195" s="16"/>
      <c r="P195" s="16"/>
      <c r="Q195" s="17"/>
      <c r="R195" s="17"/>
      <c r="S195" s="17"/>
      <c r="T195" s="17"/>
    </row>
    <row r="196" spans="1:34" x14ac:dyDescent="0.25">
      <c r="A196" s="16"/>
      <c r="B196" s="16"/>
      <c r="C196" s="17"/>
      <c r="D196" s="17"/>
      <c r="E196" s="17"/>
      <c r="F196" s="17"/>
      <c r="G196" s="16"/>
      <c r="H196" s="16"/>
      <c r="I196" s="16"/>
      <c r="J196" s="17"/>
      <c r="K196" s="17"/>
      <c r="L196" s="17"/>
      <c r="M196" s="17"/>
      <c r="N196" s="16"/>
      <c r="O196" s="16"/>
      <c r="P196" s="16"/>
      <c r="Q196" s="17"/>
      <c r="R196" s="17"/>
      <c r="S196" s="17"/>
      <c r="T196" s="17"/>
    </row>
    <row r="208" spans="1:34" x14ac:dyDescent="0.25">
      <c r="AH208" s="3"/>
    </row>
    <row r="209" spans="34:34" x14ac:dyDescent="0.25">
      <c r="AH209" s="3"/>
    </row>
    <row r="210" spans="34:34" x14ac:dyDescent="0.25">
      <c r="AH210" s="3"/>
    </row>
    <row r="211" spans="34:34" x14ac:dyDescent="0.25">
      <c r="AH211" s="3"/>
    </row>
    <row r="212" spans="34:34" x14ac:dyDescent="0.25">
      <c r="AH212" s="3"/>
    </row>
    <row r="213" spans="34:34" x14ac:dyDescent="0.25">
      <c r="AH213" s="3"/>
    </row>
    <row r="214" spans="34:34" x14ac:dyDescent="0.25">
      <c r="AH214" s="3"/>
    </row>
    <row r="233" spans="34:34" x14ac:dyDescent="0.25">
      <c r="AH233" s="3"/>
    </row>
    <row r="234" spans="34:34" x14ac:dyDescent="0.25">
      <c r="AH234" s="3"/>
    </row>
    <row r="235" spans="34:34" x14ac:dyDescent="0.25">
      <c r="AH235" s="3"/>
    </row>
    <row r="236" spans="34:34" x14ac:dyDescent="0.25">
      <c r="AH236" s="3"/>
    </row>
    <row r="237" spans="34:34" x14ac:dyDescent="0.25">
      <c r="AH237" s="3"/>
    </row>
    <row r="238" spans="34:34" x14ac:dyDescent="0.25">
      <c r="AH238" s="3"/>
    </row>
    <row r="239" spans="34:34" x14ac:dyDescent="0.25">
      <c r="AH239" s="3"/>
    </row>
  </sheetData>
  <phoneticPr fontId="1" type="noConversion"/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D731-DC60-4C6F-AEDF-229FDF0391FA}">
  <dimension ref="A1:Y195"/>
  <sheetViews>
    <sheetView zoomScale="79" zoomScaleNormal="79" workbookViewId="0">
      <selection activeCell="H9" sqref="H9:M9"/>
    </sheetView>
  </sheetViews>
  <sheetFormatPr defaultRowHeight="15" x14ac:dyDescent="0.25"/>
  <cols>
    <col min="1" max="1" width="18.28515625" customWidth="1"/>
    <col min="2" max="2" width="25.42578125" customWidth="1"/>
    <col min="3" max="3" width="14.28515625" customWidth="1"/>
    <col min="4" max="5" width="14" customWidth="1"/>
    <col min="6" max="6" width="14.42578125" customWidth="1"/>
    <col min="7" max="7" width="11.140625" customWidth="1"/>
    <col min="8" max="8" width="14.5703125" customWidth="1"/>
    <col min="9" max="9" width="25.42578125" customWidth="1"/>
    <col min="10" max="10" width="14.5703125" customWidth="1"/>
    <col min="11" max="11" width="14.140625" customWidth="1"/>
    <col min="12" max="12" width="14.42578125" customWidth="1"/>
    <col min="13" max="13" width="14.140625" customWidth="1"/>
    <col min="14" max="14" width="11.28515625" customWidth="1"/>
    <col min="15" max="15" width="13.7109375" customWidth="1"/>
    <col min="16" max="16" width="24.28515625" customWidth="1"/>
    <col min="17" max="17" width="14.140625" customWidth="1"/>
    <col min="18" max="18" width="14.28515625" customWidth="1"/>
    <col min="19" max="19" width="14" customWidth="1"/>
    <col min="20" max="20" width="14.42578125" customWidth="1"/>
    <col min="21" max="22" width="11" customWidth="1"/>
    <col min="23" max="23" width="10.7109375" customWidth="1"/>
    <col min="24" max="24" width="10.85546875" customWidth="1"/>
    <col min="25" max="25" width="10.5703125" customWidth="1"/>
    <col min="26" max="26" width="10.42578125" customWidth="1"/>
    <col min="27" max="27" width="10.5703125" customWidth="1"/>
    <col min="28" max="28" width="11.28515625" customWidth="1"/>
    <col min="29" max="29" width="11.140625" customWidth="1"/>
    <col min="30" max="30" width="10.7109375" customWidth="1"/>
    <col min="31" max="31" width="10.5703125" customWidth="1"/>
    <col min="32" max="32" width="13.28515625" customWidth="1"/>
    <col min="33" max="33" width="12.7109375" customWidth="1"/>
    <col min="34" max="34" width="24.28515625" customWidth="1"/>
    <col min="35" max="36" width="10.7109375" customWidth="1"/>
    <col min="37" max="37" width="10.85546875" customWidth="1"/>
    <col min="38" max="38" width="10.28515625" customWidth="1"/>
    <col min="39" max="40" width="10.7109375" customWidth="1"/>
    <col min="41" max="41" width="11.28515625" customWidth="1"/>
    <col min="42" max="42" width="10.5703125" customWidth="1"/>
    <col min="43" max="43" width="10.7109375" customWidth="1"/>
    <col min="44" max="44" width="11.7109375" customWidth="1"/>
    <col min="46" max="46" width="11.42578125" customWidth="1"/>
    <col min="47" max="47" width="11.28515625" customWidth="1"/>
  </cols>
  <sheetData>
    <row r="1" spans="1:25" ht="18.75" x14ac:dyDescent="0.25">
      <c r="A1" s="16"/>
      <c r="B1" s="16"/>
      <c r="C1" s="16"/>
      <c r="D1" s="16"/>
      <c r="E1" s="16"/>
      <c r="F1" s="7" t="s">
        <v>91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5" ht="16.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5" ht="15.75" x14ac:dyDescent="0.25">
      <c r="A3" s="21" t="s">
        <v>61</v>
      </c>
      <c r="B3" s="16"/>
      <c r="C3" s="16"/>
      <c r="D3" s="16"/>
      <c r="E3" s="16"/>
      <c r="F3" s="16"/>
      <c r="G3" s="16"/>
      <c r="H3" s="21" t="s">
        <v>61</v>
      </c>
      <c r="I3" s="16"/>
      <c r="J3" s="16"/>
      <c r="K3" s="16"/>
      <c r="L3" s="16"/>
      <c r="M3" s="16"/>
      <c r="N3" s="16"/>
      <c r="O3" s="21" t="s">
        <v>61</v>
      </c>
      <c r="P3" s="16"/>
      <c r="Q3" s="16"/>
      <c r="R3" s="16"/>
      <c r="S3" s="16"/>
      <c r="T3" s="16"/>
    </row>
    <row r="4" spans="1:25" ht="15" customHeight="1" x14ac:dyDescent="0.25">
      <c r="A4" s="16" t="s">
        <v>75</v>
      </c>
      <c r="B4" s="16"/>
      <c r="C4" s="16"/>
      <c r="D4" s="16"/>
      <c r="E4" s="16"/>
      <c r="F4" s="16"/>
      <c r="G4" s="16"/>
      <c r="H4" s="16" t="s">
        <v>75</v>
      </c>
      <c r="I4" s="16"/>
      <c r="J4" s="16"/>
      <c r="K4" s="16"/>
      <c r="L4" s="16"/>
      <c r="M4" s="16"/>
      <c r="N4" s="16"/>
      <c r="O4" s="16" t="s">
        <v>75</v>
      </c>
      <c r="P4" s="16"/>
      <c r="Q4" s="16"/>
      <c r="R4" s="16"/>
      <c r="S4" s="16"/>
      <c r="T4" s="16"/>
    </row>
    <row r="5" spans="1:25" ht="15" customHeight="1" x14ac:dyDescent="0.25">
      <c r="A5" s="16" t="s">
        <v>59</v>
      </c>
      <c r="B5" s="16" t="s">
        <v>61</v>
      </c>
      <c r="C5" s="16" t="s">
        <v>82</v>
      </c>
      <c r="D5" s="16" t="s">
        <v>64</v>
      </c>
      <c r="E5" s="16" t="s">
        <v>63</v>
      </c>
      <c r="F5" s="16" t="s">
        <v>18</v>
      </c>
      <c r="G5" s="16"/>
      <c r="H5" s="16" t="s">
        <v>12</v>
      </c>
      <c r="I5" s="16" t="s">
        <v>61</v>
      </c>
      <c r="J5" s="16" t="s">
        <v>82</v>
      </c>
      <c r="K5" s="16" t="s">
        <v>64</v>
      </c>
      <c r="L5" s="16" t="s">
        <v>63</v>
      </c>
      <c r="M5" s="16" t="s">
        <v>18</v>
      </c>
      <c r="N5" s="16"/>
      <c r="O5" s="16" t="s">
        <v>13</v>
      </c>
      <c r="P5" s="16" t="s">
        <v>61</v>
      </c>
      <c r="Q5" s="16" t="s">
        <v>82</v>
      </c>
      <c r="R5" s="16" t="s">
        <v>64</v>
      </c>
      <c r="S5" s="16" t="s">
        <v>63</v>
      </c>
      <c r="T5" s="16" t="s">
        <v>18</v>
      </c>
      <c r="V5" s="15"/>
      <c r="W5" s="15"/>
      <c r="X5" s="15"/>
      <c r="Y5" s="15"/>
    </row>
    <row r="6" spans="1:25" ht="14.45" customHeight="1" x14ac:dyDescent="0.25">
      <c r="A6" s="16" t="s">
        <v>0</v>
      </c>
      <c r="B6" s="16" t="s">
        <v>1</v>
      </c>
      <c r="C6" s="17">
        <v>89349</v>
      </c>
      <c r="D6" s="17">
        <v>83285</v>
      </c>
      <c r="E6" s="17">
        <v>91851</v>
      </c>
      <c r="F6" s="17">
        <f>AVERAGE(Table16[[#This Row],[Teste 1]:[Teste 3]])</f>
        <v>88161.666666666672</v>
      </c>
      <c r="G6" s="16"/>
      <c r="H6" s="16" t="s">
        <v>0</v>
      </c>
      <c r="I6" s="16" t="s">
        <v>1</v>
      </c>
      <c r="J6" s="17">
        <v>115008</v>
      </c>
      <c r="K6" s="17">
        <v>114752</v>
      </c>
      <c r="L6" s="17">
        <v>114508</v>
      </c>
      <c r="M6" s="17">
        <f>AVERAGE(Table1668[[#This Row],[Teste 1]:[Teste 3]])</f>
        <v>114756</v>
      </c>
      <c r="N6" s="16"/>
      <c r="O6" s="16" t="s">
        <v>0</v>
      </c>
      <c r="P6" s="16" t="s">
        <v>1</v>
      </c>
      <c r="Q6" s="17">
        <v>25614</v>
      </c>
      <c r="R6" s="17">
        <v>26868</v>
      </c>
      <c r="S6" s="17">
        <v>26958</v>
      </c>
      <c r="T6" s="17">
        <f>AVERAGE(Table1680[[#This Row],[Teste 1]:[Teste 3]])</f>
        <v>26480</v>
      </c>
      <c r="V6" s="15"/>
      <c r="W6" s="15"/>
      <c r="X6" s="15"/>
      <c r="Y6" s="15"/>
    </row>
    <row r="7" spans="1:25" ht="16.5" customHeight="1" x14ac:dyDescent="0.25">
      <c r="A7" s="16" t="s">
        <v>0</v>
      </c>
      <c r="B7" s="16" t="s">
        <v>2</v>
      </c>
      <c r="C7" s="17">
        <v>1119.2067062865799</v>
      </c>
      <c r="D7" s="17">
        <v>1200.6964039142699</v>
      </c>
      <c r="E7" s="17">
        <v>1088.7197744172599</v>
      </c>
      <c r="F7" s="17">
        <f>AVERAGE(Table16[[#This Row],[Teste 1]:[Teste 3]])</f>
        <v>1136.2076282060366</v>
      </c>
      <c r="G7" s="16"/>
      <c r="H7" s="16" t="s">
        <v>0</v>
      </c>
      <c r="I7" s="16" t="s">
        <v>2</v>
      </c>
      <c r="J7" s="17">
        <v>823.58</v>
      </c>
      <c r="K7" s="17">
        <v>863.25</v>
      </c>
      <c r="L7" s="17">
        <v>914.35</v>
      </c>
      <c r="M7" s="17">
        <f>AVERAGE(Table1668[[#This Row],[Teste 1]:[Teste 3]])</f>
        <v>867.06</v>
      </c>
      <c r="N7" s="16"/>
      <c r="O7" s="16" t="s">
        <v>0</v>
      </c>
      <c r="P7" s="16" t="s">
        <v>2</v>
      </c>
      <c r="Q7" s="17">
        <v>3904.11493714374</v>
      </c>
      <c r="R7" s="17">
        <v>3721.8996575852302</v>
      </c>
      <c r="S7" s="17">
        <v>3709.47399658728</v>
      </c>
      <c r="T7" s="17">
        <f>AVERAGE(Table1680[[#This Row],[Teste 1]:[Teste 3]])</f>
        <v>3778.4961971054167</v>
      </c>
      <c r="V7" s="15"/>
      <c r="W7" s="15"/>
      <c r="X7" s="15"/>
      <c r="Y7" s="15"/>
    </row>
    <row r="8" spans="1:25" x14ac:dyDescent="0.25">
      <c r="A8" s="16" t="s">
        <v>3</v>
      </c>
      <c r="B8" s="16" t="s">
        <v>4</v>
      </c>
      <c r="C8" s="17">
        <v>1</v>
      </c>
      <c r="D8" s="17">
        <v>1</v>
      </c>
      <c r="E8" s="17">
        <v>1</v>
      </c>
      <c r="F8" s="17">
        <f>AVERAGE(Table16[[#This Row],[Teste 1]:[Teste 3]])</f>
        <v>1</v>
      </c>
      <c r="G8" s="16"/>
      <c r="H8" s="16" t="s">
        <v>3</v>
      </c>
      <c r="I8" s="16" t="s">
        <v>4</v>
      </c>
      <c r="J8" s="17">
        <v>1</v>
      </c>
      <c r="K8" s="17">
        <v>1</v>
      </c>
      <c r="L8" s="17">
        <v>1</v>
      </c>
      <c r="M8" s="17">
        <f>AVERAGE(Table1668[[#This Row],[Teste 1]:[Teste 3]])</f>
        <v>1</v>
      </c>
      <c r="N8" s="16"/>
      <c r="O8" s="16" t="s">
        <v>3</v>
      </c>
      <c r="P8" s="16" t="s">
        <v>4</v>
      </c>
      <c r="Q8" s="17">
        <v>1</v>
      </c>
      <c r="R8" s="17">
        <v>1</v>
      </c>
      <c r="S8" s="17">
        <v>1</v>
      </c>
      <c r="T8" s="17">
        <f>AVERAGE(Table1680[[#This Row],[Teste 1]:[Teste 3]])</f>
        <v>1</v>
      </c>
      <c r="V8" s="15"/>
      <c r="W8" s="15"/>
      <c r="X8" s="15"/>
      <c r="Y8" s="15"/>
    </row>
    <row r="9" spans="1:25" x14ac:dyDescent="0.25">
      <c r="A9" s="16" t="s">
        <v>3</v>
      </c>
      <c r="B9" s="16" t="s">
        <v>5</v>
      </c>
      <c r="C9" s="17">
        <v>9</v>
      </c>
      <c r="D9" s="17">
        <v>9</v>
      </c>
      <c r="E9" s="17">
        <v>10</v>
      </c>
      <c r="F9" s="17">
        <f>AVERAGE(Table16[[#This Row],[Teste 1]:[Teste 3]])</f>
        <v>9.3333333333333339</v>
      </c>
      <c r="G9" s="16"/>
      <c r="H9" s="16" t="s">
        <v>3</v>
      </c>
      <c r="I9" s="16" t="s">
        <v>5</v>
      </c>
      <c r="J9" s="17">
        <v>7</v>
      </c>
      <c r="K9" s="17">
        <v>7</v>
      </c>
      <c r="L9" s="17">
        <v>7</v>
      </c>
      <c r="M9" s="17">
        <f>AVERAGE(Table1668[[#This Row],[Teste 1]:[Teste 3]])</f>
        <v>7</v>
      </c>
      <c r="N9" s="16"/>
      <c r="O9" s="16" t="s">
        <v>3</v>
      </c>
      <c r="P9" s="16" t="s">
        <v>5</v>
      </c>
      <c r="Q9" s="17">
        <v>1025</v>
      </c>
      <c r="R9" s="17">
        <v>976</v>
      </c>
      <c r="S9" s="17">
        <v>1272</v>
      </c>
      <c r="T9" s="17">
        <f>AVERAGE(Table1680[[#This Row],[Teste 1]:[Teste 3]])</f>
        <v>1091</v>
      </c>
      <c r="V9" s="15"/>
      <c r="W9" s="15"/>
      <c r="X9" s="15"/>
      <c r="Y9" s="15"/>
    </row>
    <row r="10" spans="1:25" x14ac:dyDescent="0.25">
      <c r="A10" s="16" t="s">
        <v>3</v>
      </c>
      <c r="B10" s="16" t="s">
        <v>6</v>
      </c>
      <c r="C10" s="17">
        <v>9</v>
      </c>
      <c r="D10" s="17">
        <v>9</v>
      </c>
      <c r="E10" s="17">
        <v>10</v>
      </c>
      <c r="F10" s="17">
        <f>AVERAGE(Table16[[#This Row],[Teste 1]:[Teste 3]])</f>
        <v>9.3333333333333339</v>
      </c>
      <c r="G10" s="16"/>
      <c r="H10" s="16" t="s">
        <v>3</v>
      </c>
      <c r="I10" s="16" t="s">
        <v>6</v>
      </c>
      <c r="J10" s="17">
        <v>7</v>
      </c>
      <c r="K10" s="17">
        <v>7</v>
      </c>
      <c r="L10" s="17">
        <v>7</v>
      </c>
      <c r="M10" s="17">
        <f>AVERAGE(Table1668[[#This Row],[Teste 1]:[Teste 3]])</f>
        <v>7</v>
      </c>
      <c r="N10" s="16"/>
      <c r="O10" s="16" t="s">
        <v>3</v>
      </c>
      <c r="P10" s="16" t="s">
        <v>6</v>
      </c>
      <c r="Q10" s="17">
        <v>1025</v>
      </c>
      <c r="R10" s="17">
        <v>976</v>
      </c>
      <c r="S10" s="17">
        <v>1272</v>
      </c>
      <c r="T10" s="17">
        <f>AVERAGE(Table1680[[#This Row],[Teste 1]:[Teste 3]])</f>
        <v>1091</v>
      </c>
      <c r="V10" s="15"/>
      <c r="W10" s="15"/>
      <c r="X10" s="15"/>
      <c r="Y10" s="15"/>
    </row>
    <row r="11" spans="1:25" x14ac:dyDescent="0.25">
      <c r="A11" s="16" t="s">
        <v>3</v>
      </c>
      <c r="B11" s="16" t="s">
        <v>7</v>
      </c>
      <c r="C11" s="17">
        <v>9</v>
      </c>
      <c r="D11" s="17">
        <v>9</v>
      </c>
      <c r="E11" s="17">
        <v>10</v>
      </c>
      <c r="F11" s="17">
        <f>AVERAGE(Table16[[#This Row],[Teste 1]:[Teste 3]])</f>
        <v>9.3333333333333339</v>
      </c>
      <c r="G11" s="16"/>
      <c r="H11" s="16" t="s">
        <v>3</v>
      </c>
      <c r="I11" s="16" t="s">
        <v>7</v>
      </c>
      <c r="J11" s="17">
        <v>7</v>
      </c>
      <c r="K11" s="17">
        <v>7</v>
      </c>
      <c r="L11" s="17">
        <v>7</v>
      </c>
      <c r="M11" s="17">
        <f>AVERAGE(Table1668[[#This Row],[Teste 1]:[Teste 3]])</f>
        <v>7</v>
      </c>
      <c r="N11" s="16"/>
      <c r="O11" s="16" t="s">
        <v>3</v>
      </c>
      <c r="P11" s="16" t="s">
        <v>7</v>
      </c>
      <c r="Q11" s="17">
        <v>1025</v>
      </c>
      <c r="R11" s="17">
        <v>976</v>
      </c>
      <c r="S11" s="17">
        <v>1272</v>
      </c>
      <c r="T11" s="17">
        <f>AVERAGE(Table1680[[#This Row],[Teste 1]:[Teste 3]])</f>
        <v>1091</v>
      </c>
      <c r="V11" s="15"/>
      <c r="W11" s="15"/>
      <c r="X11" s="15"/>
      <c r="Y11" s="15"/>
    </row>
    <row r="12" spans="1:25" x14ac:dyDescent="0.25">
      <c r="A12" s="16" t="s">
        <v>3</v>
      </c>
      <c r="B12" s="16" t="s">
        <v>8</v>
      </c>
      <c r="C12" s="17">
        <v>9</v>
      </c>
      <c r="D12" s="17">
        <v>9</v>
      </c>
      <c r="E12" s="17">
        <v>10</v>
      </c>
      <c r="F12" s="17">
        <f>AVERAGE(Table16[[#This Row],[Teste 1]:[Teste 3]])</f>
        <v>9.3333333333333339</v>
      </c>
      <c r="G12" s="16"/>
      <c r="H12" s="16" t="s">
        <v>3</v>
      </c>
      <c r="I12" s="16" t="s">
        <v>8</v>
      </c>
      <c r="J12" s="17">
        <v>7</v>
      </c>
      <c r="K12" s="17">
        <v>7</v>
      </c>
      <c r="L12" s="17">
        <v>7</v>
      </c>
      <c r="M12" s="17">
        <f>AVERAGE(Table1668[[#This Row],[Teste 1]:[Teste 3]])</f>
        <v>7</v>
      </c>
      <c r="N12" s="16"/>
      <c r="O12" s="16" t="s">
        <v>3</v>
      </c>
      <c r="P12" s="16" t="s">
        <v>8</v>
      </c>
      <c r="Q12" s="17">
        <v>1025</v>
      </c>
      <c r="R12" s="17">
        <v>976</v>
      </c>
      <c r="S12" s="17">
        <v>1272</v>
      </c>
      <c r="T12" s="17">
        <f>AVERAGE(Table1680[[#This Row],[Teste 1]:[Teste 3]])</f>
        <v>1091</v>
      </c>
      <c r="V12" s="15"/>
      <c r="W12" s="15"/>
      <c r="X12" s="15"/>
      <c r="Y12" s="15"/>
    </row>
    <row r="13" spans="1:25" x14ac:dyDescent="0.25">
      <c r="A13" s="16" t="s">
        <v>3</v>
      </c>
      <c r="B13" s="16" t="s">
        <v>9</v>
      </c>
      <c r="C13" s="17">
        <v>9</v>
      </c>
      <c r="D13" s="17">
        <v>9</v>
      </c>
      <c r="E13" s="17">
        <v>10</v>
      </c>
      <c r="F13" s="17">
        <f>AVERAGE(Table16[[#This Row],[Teste 1]:[Teste 3]])</f>
        <v>9.3333333333333339</v>
      </c>
      <c r="G13" s="16"/>
      <c r="H13" s="16" t="s">
        <v>3</v>
      </c>
      <c r="I13" s="16" t="s">
        <v>9</v>
      </c>
      <c r="J13" s="17">
        <v>7</v>
      </c>
      <c r="K13" s="17">
        <v>7</v>
      </c>
      <c r="L13" s="17">
        <v>7</v>
      </c>
      <c r="M13" s="17">
        <f>AVERAGE(Table1668[[#This Row],[Teste 1]:[Teste 3]])</f>
        <v>7</v>
      </c>
      <c r="N13" s="16"/>
      <c r="O13" s="16" t="s">
        <v>3</v>
      </c>
      <c r="P13" s="16" t="s">
        <v>9</v>
      </c>
      <c r="Q13" s="17">
        <v>1025</v>
      </c>
      <c r="R13" s="17">
        <v>976</v>
      </c>
      <c r="S13" s="17">
        <v>1272</v>
      </c>
      <c r="T13" s="17">
        <f>AVERAGE(Table1680[[#This Row],[Teste 1]:[Teste 3]])</f>
        <v>1091</v>
      </c>
      <c r="V13" s="15"/>
      <c r="W13" s="15"/>
      <c r="X13" s="15"/>
      <c r="Y13" s="15"/>
    </row>
    <row r="14" spans="1:25" x14ac:dyDescent="0.25">
      <c r="A14" s="16" t="s">
        <v>10</v>
      </c>
      <c r="B14" s="16" t="s">
        <v>4</v>
      </c>
      <c r="C14" s="17">
        <v>100000</v>
      </c>
      <c r="D14" s="17">
        <v>100000</v>
      </c>
      <c r="E14" s="17">
        <v>100000</v>
      </c>
      <c r="F14" s="17">
        <f>AVERAGE(Table16[[#This Row],[Teste 1]:[Teste 3]])</f>
        <v>100000</v>
      </c>
      <c r="G14" s="16"/>
      <c r="H14" s="16" t="s">
        <v>10</v>
      </c>
      <c r="I14" s="16" t="s">
        <v>4</v>
      </c>
      <c r="J14" s="17">
        <v>100000</v>
      </c>
      <c r="K14" s="17">
        <v>100000</v>
      </c>
      <c r="L14" s="17">
        <v>100000</v>
      </c>
      <c r="M14" s="17">
        <f>AVERAGE(Table1668[[#This Row],[Teste 1]:[Teste 3]])</f>
        <v>100000</v>
      </c>
      <c r="N14" s="16"/>
      <c r="O14" s="16" t="s">
        <v>10</v>
      </c>
      <c r="P14" s="16" t="s">
        <v>4</v>
      </c>
      <c r="Q14" s="17">
        <v>100000</v>
      </c>
      <c r="R14" s="17">
        <v>100000</v>
      </c>
      <c r="S14" s="17">
        <v>100000</v>
      </c>
      <c r="T14" s="17">
        <f>AVERAGE(Table1680[[#This Row],[Teste 1]:[Teste 3]])</f>
        <v>100000</v>
      </c>
      <c r="V14" s="15"/>
      <c r="W14" s="15"/>
      <c r="X14" s="15"/>
      <c r="Y14" s="15"/>
    </row>
    <row r="15" spans="1:25" x14ac:dyDescent="0.25">
      <c r="A15" s="16" t="s">
        <v>10</v>
      </c>
      <c r="B15" s="16" t="s">
        <v>5</v>
      </c>
      <c r="C15" s="17">
        <v>856.32889999999998</v>
      </c>
      <c r="D15" s="17">
        <v>800.62012000000004</v>
      </c>
      <c r="E15" s="17">
        <v>885.23379999999997</v>
      </c>
      <c r="F15" s="17">
        <f>AVERAGE(Table16[[#This Row],[Teste 1]:[Teste 3]])</f>
        <v>847.39427333333333</v>
      </c>
      <c r="G15" s="16"/>
      <c r="H15" s="16" t="s">
        <v>10</v>
      </c>
      <c r="I15" s="16" t="s">
        <v>5</v>
      </c>
      <c r="J15" s="17">
        <v>438.63</v>
      </c>
      <c r="K15" s="17">
        <v>420.21</v>
      </c>
      <c r="L15" s="17">
        <v>393.24</v>
      </c>
      <c r="M15" s="17">
        <f>AVERAGE(Table1668[[#This Row],[Teste 1]:[Teste 3]])</f>
        <v>417.35999999999996</v>
      </c>
      <c r="N15" s="16"/>
      <c r="O15" s="16" t="s">
        <v>10</v>
      </c>
      <c r="P15" s="16" t="s">
        <v>5</v>
      </c>
      <c r="Q15" s="17">
        <v>245.2373</v>
      </c>
      <c r="R15" s="17">
        <v>257.14616000000001</v>
      </c>
      <c r="S15" s="17">
        <v>257.88258999999999</v>
      </c>
      <c r="T15" s="17">
        <f>AVERAGE(Table1680[[#This Row],[Teste 1]:[Teste 3]])</f>
        <v>253.42201666666665</v>
      </c>
    </row>
    <row r="16" spans="1:25" x14ac:dyDescent="0.25">
      <c r="A16" s="16" t="s">
        <v>10</v>
      </c>
      <c r="B16" s="16" t="s">
        <v>6</v>
      </c>
      <c r="C16" s="17">
        <v>459</v>
      </c>
      <c r="D16" s="17">
        <v>272</v>
      </c>
      <c r="E16" s="17">
        <v>233</v>
      </c>
      <c r="F16" s="17">
        <f>AVERAGE(Table16[[#This Row],[Teste 1]:[Teste 3]])</f>
        <v>321.33333333333331</v>
      </c>
      <c r="G16" s="16"/>
      <c r="H16" s="16" t="s">
        <v>10</v>
      </c>
      <c r="I16" s="16" t="s">
        <v>6</v>
      </c>
      <c r="J16" s="17">
        <v>440</v>
      </c>
      <c r="K16" s="17">
        <v>420</v>
      </c>
      <c r="L16" s="17">
        <v>400</v>
      </c>
      <c r="M16" s="17">
        <f>AVERAGE(Table1668[[#This Row],[Teste 1]:[Teste 3]])</f>
        <v>420</v>
      </c>
      <c r="N16" s="16"/>
      <c r="O16" s="16" t="s">
        <v>10</v>
      </c>
      <c r="P16" s="16" t="s">
        <v>6</v>
      </c>
      <c r="Q16" s="17">
        <v>185</v>
      </c>
      <c r="R16" s="17">
        <v>197</v>
      </c>
      <c r="S16" s="17">
        <v>194</v>
      </c>
      <c r="T16" s="17">
        <f>AVERAGE(Table1680[[#This Row],[Teste 1]:[Teste 3]])</f>
        <v>192</v>
      </c>
    </row>
    <row r="17" spans="1:22" x14ac:dyDescent="0.25">
      <c r="A17" s="16" t="s">
        <v>10</v>
      </c>
      <c r="B17" s="16" t="s">
        <v>7</v>
      </c>
      <c r="C17" s="17">
        <v>28431</v>
      </c>
      <c r="D17" s="17">
        <v>30671</v>
      </c>
      <c r="E17" s="17">
        <v>51487</v>
      </c>
      <c r="F17" s="17">
        <f>AVERAGE(Table16[[#This Row],[Teste 1]:[Teste 3]])</f>
        <v>36863</v>
      </c>
      <c r="G17" s="16"/>
      <c r="H17" s="16" t="s">
        <v>10</v>
      </c>
      <c r="I17" s="16" t="s">
        <v>7</v>
      </c>
      <c r="J17" s="18">
        <v>48280</v>
      </c>
      <c r="K17" s="17">
        <v>47921</v>
      </c>
      <c r="L17" s="17">
        <v>47237</v>
      </c>
      <c r="M17" s="17">
        <f>AVERAGE(Table1668[[#This Row],[Teste 1]:[Teste 3]])</f>
        <v>47812.666666666664</v>
      </c>
      <c r="N17" s="16"/>
      <c r="O17" s="16" t="s">
        <v>10</v>
      </c>
      <c r="P17" s="16" t="s">
        <v>7</v>
      </c>
      <c r="Q17" s="17">
        <v>51327</v>
      </c>
      <c r="R17" s="17">
        <v>47103</v>
      </c>
      <c r="S17" s="17">
        <v>54783</v>
      </c>
      <c r="T17" s="17">
        <f>AVERAGE(Table1680[[#This Row],[Teste 1]:[Teste 3]])</f>
        <v>51071</v>
      </c>
    </row>
    <row r="18" spans="1:22" x14ac:dyDescent="0.25">
      <c r="A18" s="16" t="s">
        <v>10</v>
      </c>
      <c r="B18" s="16" t="s">
        <v>8</v>
      </c>
      <c r="C18" s="17">
        <v>1345</v>
      </c>
      <c r="D18" s="17">
        <v>1137</v>
      </c>
      <c r="E18" s="17">
        <v>1483</v>
      </c>
      <c r="F18" s="17">
        <f>AVERAGE(Table16[[#This Row],[Teste 1]:[Teste 3]])</f>
        <v>1321.6666666666667</v>
      </c>
      <c r="G18" s="16"/>
      <c r="H18" s="16" t="s">
        <v>10</v>
      </c>
      <c r="I18" s="16" t="s">
        <v>8</v>
      </c>
      <c r="J18" s="17">
        <v>1672</v>
      </c>
      <c r="K18" s="17">
        <v>1729</v>
      </c>
      <c r="L18" s="17">
        <v>1749</v>
      </c>
      <c r="M18" s="17">
        <f>AVERAGE(Table1668[[#This Row],[Teste 1]:[Teste 3]])</f>
        <v>1716.6666666666667</v>
      </c>
      <c r="N18" s="16"/>
      <c r="O18" s="16" t="s">
        <v>10</v>
      </c>
      <c r="P18" s="16" t="s">
        <v>8</v>
      </c>
      <c r="Q18" s="17">
        <v>370</v>
      </c>
      <c r="R18" s="17">
        <v>386</v>
      </c>
      <c r="S18" s="17">
        <v>399</v>
      </c>
      <c r="T18" s="17">
        <f>AVERAGE(Table1680[[#This Row],[Teste 1]:[Teste 3]])</f>
        <v>385</v>
      </c>
    </row>
    <row r="19" spans="1:22" x14ac:dyDescent="0.25">
      <c r="A19" s="16" t="s">
        <v>10</v>
      </c>
      <c r="B19" s="16" t="s">
        <v>9</v>
      </c>
      <c r="C19" s="17">
        <v>2359</v>
      </c>
      <c r="D19" s="17">
        <v>1861</v>
      </c>
      <c r="E19" s="17">
        <v>2929</v>
      </c>
      <c r="F19" s="17">
        <f>AVERAGE(Table16[[#This Row],[Teste 1]:[Teste 3]])</f>
        <v>2383</v>
      </c>
      <c r="G19" s="16"/>
      <c r="H19" s="16" t="s">
        <v>10</v>
      </c>
      <c r="I19" s="16" t="s">
        <v>9</v>
      </c>
      <c r="J19" s="17">
        <v>3265</v>
      </c>
      <c r="K19" s="17">
        <v>3099</v>
      </c>
      <c r="L19" s="17">
        <v>2912</v>
      </c>
      <c r="M19" s="17">
        <f>AVERAGE(Table1668[[#This Row],[Teste 1]:[Teste 3]])</f>
        <v>3092</v>
      </c>
      <c r="N19" s="16"/>
      <c r="O19" s="16" t="s">
        <v>10</v>
      </c>
      <c r="P19" s="16" t="s">
        <v>9</v>
      </c>
      <c r="Q19" s="17">
        <v>590</v>
      </c>
      <c r="R19" s="17">
        <v>556</v>
      </c>
      <c r="S19" s="17">
        <v>578</v>
      </c>
      <c r="T19" s="17">
        <f>AVERAGE(Table1680[[#This Row],[Teste 1]:[Teste 3]])</f>
        <v>574.66666666666663</v>
      </c>
    </row>
    <row r="20" spans="1:22" x14ac:dyDescent="0.25">
      <c r="A20" s="16" t="s">
        <v>10</v>
      </c>
      <c r="B20" s="16" t="s">
        <v>11</v>
      </c>
      <c r="C20" s="17">
        <v>100000</v>
      </c>
      <c r="D20" s="17">
        <v>100000</v>
      </c>
      <c r="E20" s="17">
        <v>100000</v>
      </c>
      <c r="F20" s="17">
        <f>AVERAGE(Table16[[#This Row],[Teste 1]:[Teste 3]])</f>
        <v>100000</v>
      </c>
      <c r="G20" s="16"/>
      <c r="H20" s="16" t="s">
        <v>10</v>
      </c>
      <c r="I20" s="16" t="s">
        <v>11</v>
      </c>
      <c r="J20" s="17">
        <v>100000</v>
      </c>
      <c r="K20" s="17">
        <v>100000</v>
      </c>
      <c r="L20" s="17">
        <v>100000</v>
      </c>
      <c r="M20" s="17">
        <f>AVERAGE(Table1668[[#This Row],[Teste 1]:[Teste 3]])</f>
        <v>100000</v>
      </c>
      <c r="N20" s="16"/>
      <c r="O20" s="16" t="s">
        <v>10</v>
      </c>
      <c r="P20" s="16" t="s">
        <v>11</v>
      </c>
      <c r="Q20" s="17">
        <v>100000</v>
      </c>
      <c r="R20" s="17">
        <v>100000</v>
      </c>
      <c r="S20" s="17">
        <v>100000</v>
      </c>
      <c r="T20" s="17">
        <f>AVERAGE(Table1680[[#This Row],[Teste 1]:[Teste 3]])</f>
        <v>100000</v>
      </c>
    </row>
    <row r="21" spans="1:22" x14ac:dyDescent="0.25">
      <c r="G21" s="16"/>
      <c r="H21" s="16"/>
      <c r="I21" s="16"/>
      <c r="J21" s="17"/>
      <c r="K21" s="17"/>
      <c r="L21" s="17"/>
      <c r="M21" s="17"/>
      <c r="N21" s="16"/>
      <c r="O21" s="16"/>
      <c r="P21" s="16"/>
      <c r="Q21" s="17"/>
      <c r="R21" s="17"/>
      <c r="S21" s="17"/>
      <c r="T21" s="17"/>
    </row>
    <row r="22" spans="1:22" x14ac:dyDescent="0.25">
      <c r="G22" s="16"/>
      <c r="H22" s="16"/>
      <c r="I22" s="16"/>
      <c r="J22" s="17"/>
      <c r="K22" s="17"/>
      <c r="L22" s="17"/>
      <c r="M22" s="17"/>
      <c r="N22" s="16"/>
      <c r="O22" s="16"/>
      <c r="P22" s="16"/>
      <c r="Q22" s="17"/>
      <c r="R22" s="17"/>
      <c r="S22" s="17"/>
      <c r="T22" s="17"/>
    </row>
    <row r="23" spans="1:22" x14ac:dyDescent="0.25">
      <c r="G23" s="16"/>
      <c r="H23" s="16"/>
      <c r="I23" s="16"/>
      <c r="J23" s="17"/>
      <c r="K23" s="17"/>
      <c r="L23" s="17"/>
      <c r="M23" s="17"/>
      <c r="N23" s="16"/>
      <c r="O23" s="16"/>
      <c r="P23" s="16"/>
      <c r="Q23" s="17"/>
      <c r="R23" s="17"/>
      <c r="S23" s="17"/>
      <c r="T23" s="17"/>
    </row>
    <row r="24" spans="1:22" ht="15" customHeight="1" x14ac:dyDescent="0.25"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2" ht="15" customHeight="1" x14ac:dyDescent="0.25">
      <c r="A25" s="16" t="s">
        <v>76</v>
      </c>
      <c r="B25" s="16"/>
      <c r="C25" s="16"/>
      <c r="D25" s="16"/>
      <c r="E25" s="16"/>
      <c r="F25" s="16"/>
      <c r="G25" s="16"/>
      <c r="H25" s="16" t="s">
        <v>76</v>
      </c>
      <c r="I25" s="16"/>
      <c r="J25" s="16"/>
      <c r="K25" s="16"/>
      <c r="L25" s="16"/>
      <c r="M25" s="16"/>
      <c r="N25" s="16"/>
      <c r="O25" s="16" t="s">
        <v>76</v>
      </c>
      <c r="P25" s="16"/>
      <c r="Q25" s="16"/>
      <c r="R25" s="16"/>
      <c r="S25" s="16"/>
      <c r="T25" s="16"/>
    </row>
    <row r="26" spans="1:22" ht="13.9" customHeight="1" x14ac:dyDescent="0.25">
      <c r="A26" s="16" t="s">
        <v>59</v>
      </c>
      <c r="B26" s="16" t="s">
        <v>61</v>
      </c>
      <c r="C26" s="16" t="s">
        <v>82</v>
      </c>
      <c r="D26" s="16" t="s">
        <v>64</v>
      </c>
      <c r="E26" s="16" t="s">
        <v>63</v>
      </c>
      <c r="F26" s="16" t="s">
        <v>18</v>
      </c>
      <c r="G26" s="16"/>
      <c r="H26" s="16" t="s">
        <v>12</v>
      </c>
      <c r="I26" s="16" t="s">
        <v>61</v>
      </c>
      <c r="J26" s="16" t="s">
        <v>82</v>
      </c>
      <c r="K26" s="16" t="s">
        <v>64</v>
      </c>
      <c r="L26" s="16" t="s">
        <v>63</v>
      </c>
      <c r="M26" s="16" t="s">
        <v>18</v>
      </c>
      <c r="N26" s="16"/>
      <c r="O26" s="16" t="s">
        <v>13</v>
      </c>
      <c r="P26" s="16" t="s">
        <v>61</v>
      </c>
      <c r="Q26" s="16" t="s">
        <v>82</v>
      </c>
      <c r="R26" s="16" t="s">
        <v>64</v>
      </c>
      <c r="S26" s="16" t="s">
        <v>63</v>
      </c>
      <c r="T26" s="16" t="s">
        <v>18</v>
      </c>
    </row>
    <row r="27" spans="1:22" ht="15" customHeight="1" x14ac:dyDescent="0.25">
      <c r="A27" s="16" t="s">
        <v>0</v>
      </c>
      <c r="B27" s="16" t="s">
        <v>1</v>
      </c>
      <c r="C27" s="17">
        <v>36802</v>
      </c>
      <c r="D27" s="17">
        <v>39496</v>
      </c>
      <c r="E27" s="17">
        <v>37032</v>
      </c>
      <c r="F27" s="17">
        <f>AVERAGE(Table167[[#This Row],[Teste 1]:[Teste 3]])</f>
        <v>37776.666666666664</v>
      </c>
      <c r="G27" s="16"/>
      <c r="H27" s="16" t="s">
        <v>0</v>
      </c>
      <c r="I27" s="16" t="s">
        <v>1</v>
      </c>
      <c r="J27" s="17">
        <v>99030</v>
      </c>
      <c r="K27" s="17">
        <v>98810</v>
      </c>
      <c r="L27" s="17">
        <v>98598</v>
      </c>
      <c r="M27" s="17">
        <f>AVERAGE(Table16769[[#This Row],[Teste 1]:[Teste 3]])</f>
        <v>98812.666666666672</v>
      </c>
      <c r="N27" s="16"/>
      <c r="O27" s="16" t="s">
        <v>0</v>
      </c>
      <c r="P27" s="16" t="s">
        <v>1</v>
      </c>
      <c r="Q27" s="17">
        <v>12074</v>
      </c>
      <c r="R27" s="17">
        <v>11609</v>
      </c>
      <c r="S27" s="17">
        <v>11116</v>
      </c>
      <c r="T27" s="17">
        <f>AVERAGE(Table16781[[#This Row],[Teste 1]:[Teste 3]])</f>
        <v>11599.666666666666</v>
      </c>
      <c r="V27" s="15"/>
    </row>
    <row r="28" spans="1:22" x14ac:dyDescent="0.25">
      <c r="A28" s="16" t="s">
        <v>0</v>
      </c>
      <c r="B28" s="16" t="s">
        <v>2</v>
      </c>
      <c r="C28" s="17">
        <v>3318.58312945431</v>
      </c>
      <c r="D28" s="17">
        <v>2531.9019647559198</v>
      </c>
      <c r="E28" s="17">
        <v>2700.3672499459899</v>
      </c>
      <c r="F28" s="17">
        <f>AVERAGE(Table167[[#This Row],[Teste 1]:[Teste 3]])</f>
        <v>2850.2841147187396</v>
      </c>
      <c r="G28" s="16"/>
      <c r="H28" s="16" t="s">
        <v>0</v>
      </c>
      <c r="I28" s="16" t="s">
        <v>2</v>
      </c>
      <c r="J28" s="17">
        <v>1001.325</v>
      </c>
      <c r="K28" s="17">
        <v>1151</v>
      </c>
      <c r="L28" s="17">
        <v>1287.6199999999999</v>
      </c>
      <c r="M28" s="17">
        <f>AVERAGE(Table16769[[#This Row],[Teste 1]:[Teste 3]])</f>
        <v>1146.6483333333333</v>
      </c>
      <c r="N28" s="16"/>
      <c r="O28" s="16" t="s">
        <v>0</v>
      </c>
      <c r="P28" s="16" t="s">
        <v>2</v>
      </c>
      <c r="Q28" s="17">
        <v>8567.5935995028703</v>
      </c>
      <c r="R28" s="17">
        <v>8614.0063743647097</v>
      </c>
      <c r="S28" s="17">
        <v>8996.0417416336804</v>
      </c>
      <c r="T28" s="17">
        <f>AVERAGE(Table16781[[#This Row],[Teste 1]:[Teste 3]])</f>
        <v>8725.8805718337535</v>
      </c>
      <c r="V28" s="15"/>
    </row>
    <row r="29" spans="1:22" x14ac:dyDescent="0.25">
      <c r="A29" s="16" t="s">
        <v>3</v>
      </c>
      <c r="B29" s="16" t="s">
        <v>4</v>
      </c>
      <c r="C29" s="17">
        <v>3</v>
      </c>
      <c r="D29" s="17">
        <v>3</v>
      </c>
      <c r="E29" s="17">
        <v>3</v>
      </c>
      <c r="F29" s="17">
        <f>AVERAGE(Table167[[#This Row],[Teste 1]:[Teste 3]])</f>
        <v>3</v>
      </c>
      <c r="G29" s="16"/>
      <c r="H29" s="16" t="s">
        <v>3</v>
      </c>
      <c r="I29" s="16" t="s">
        <v>4</v>
      </c>
      <c r="J29" s="17">
        <v>3</v>
      </c>
      <c r="K29" s="17">
        <v>3</v>
      </c>
      <c r="L29" s="17">
        <v>3</v>
      </c>
      <c r="M29" s="17">
        <f>AVERAGE(Table16769[[#This Row],[Teste 1]:[Teste 3]])</f>
        <v>3</v>
      </c>
      <c r="N29" s="16"/>
      <c r="O29" s="16" t="s">
        <v>3</v>
      </c>
      <c r="P29" s="16" t="s">
        <v>4</v>
      </c>
      <c r="Q29" s="17">
        <v>3</v>
      </c>
      <c r="R29" s="17">
        <v>3</v>
      </c>
      <c r="S29" s="17">
        <v>3</v>
      </c>
      <c r="T29" s="17">
        <f>AVERAGE(Table16781[[#This Row],[Teste 1]:[Teste 3]])</f>
        <v>3</v>
      </c>
      <c r="V29" s="15"/>
    </row>
    <row r="30" spans="1:22" x14ac:dyDescent="0.25">
      <c r="A30" s="16" t="s">
        <v>3</v>
      </c>
      <c r="B30" s="16" t="s">
        <v>5</v>
      </c>
      <c r="C30" s="17">
        <v>3.6666666666666599</v>
      </c>
      <c r="D30" s="17">
        <v>4.6666666666666599</v>
      </c>
      <c r="E30" s="17">
        <v>4.6666666666666599</v>
      </c>
      <c r="F30" s="17">
        <f>AVERAGE(Table167[[#This Row],[Teste 1]:[Teste 3]])</f>
        <v>4.3333333333333259</v>
      </c>
      <c r="G30" s="16"/>
      <c r="H30" s="16" t="s">
        <v>3</v>
      </c>
      <c r="I30" s="16" t="s">
        <v>5</v>
      </c>
      <c r="J30" s="17">
        <v>2</v>
      </c>
      <c r="K30" s="17">
        <v>2</v>
      </c>
      <c r="L30" s="17">
        <v>2</v>
      </c>
      <c r="M30" s="17">
        <f>AVERAGE(Table16769[[#This Row],[Teste 1]:[Teste 3]])</f>
        <v>2</v>
      </c>
      <c r="N30" s="16"/>
      <c r="O30" s="16" t="s">
        <v>3</v>
      </c>
      <c r="P30" s="16" t="s">
        <v>5</v>
      </c>
      <c r="Q30" s="17">
        <v>678</v>
      </c>
      <c r="R30" s="17">
        <v>582</v>
      </c>
      <c r="S30" s="17">
        <v>366</v>
      </c>
      <c r="T30" s="17">
        <f>AVERAGE(Table16781[[#This Row],[Teste 1]:[Teste 3]])</f>
        <v>542</v>
      </c>
      <c r="V30" s="15"/>
    </row>
    <row r="31" spans="1:22" x14ac:dyDescent="0.25">
      <c r="A31" s="16" t="s">
        <v>3</v>
      </c>
      <c r="B31" s="16" t="s">
        <v>6</v>
      </c>
      <c r="C31" s="17">
        <v>1</v>
      </c>
      <c r="D31" s="17">
        <v>1</v>
      </c>
      <c r="E31" s="17">
        <v>1</v>
      </c>
      <c r="F31" s="17">
        <f>AVERAGE(Table167[[#This Row],[Teste 1]:[Teste 3]])</f>
        <v>1</v>
      </c>
      <c r="G31" s="16"/>
      <c r="H31" s="16" t="s">
        <v>3</v>
      </c>
      <c r="I31" s="16" t="s">
        <v>6</v>
      </c>
      <c r="J31" s="17">
        <v>0.33329999999999999</v>
      </c>
      <c r="K31" s="17">
        <v>0.33333299999999999</v>
      </c>
      <c r="L31" s="17">
        <v>0.33333000000000002</v>
      </c>
      <c r="M31" s="17">
        <f>AVERAGE(Table16769[[#This Row],[Teste 1]:[Teste 3]])</f>
        <v>0.33332100000000003</v>
      </c>
      <c r="N31" s="16"/>
      <c r="O31" s="16" t="s">
        <v>3</v>
      </c>
      <c r="P31" s="16" t="s">
        <v>6</v>
      </c>
      <c r="Q31" s="17">
        <v>2</v>
      </c>
      <c r="R31" s="17">
        <v>2</v>
      </c>
      <c r="S31" s="17">
        <v>2</v>
      </c>
      <c r="T31" s="17">
        <f>AVERAGE(Table16781[[#This Row],[Teste 1]:[Teste 3]])</f>
        <v>2</v>
      </c>
      <c r="V31" s="15"/>
    </row>
    <row r="32" spans="1:22" x14ac:dyDescent="0.25">
      <c r="A32" s="16" t="s">
        <v>3</v>
      </c>
      <c r="B32" s="16" t="s">
        <v>7</v>
      </c>
      <c r="C32" s="17">
        <v>9</v>
      </c>
      <c r="D32" s="17">
        <v>11</v>
      </c>
      <c r="E32" s="17">
        <v>11</v>
      </c>
      <c r="F32" s="17">
        <f>AVERAGE(Table167[[#This Row],[Teste 1]:[Teste 3]])</f>
        <v>10.333333333333334</v>
      </c>
      <c r="G32" s="16"/>
      <c r="H32" s="16" t="s">
        <v>3</v>
      </c>
      <c r="I32" s="16" t="s">
        <v>7</v>
      </c>
      <c r="J32" s="17">
        <v>5</v>
      </c>
      <c r="K32" s="17">
        <v>4</v>
      </c>
      <c r="L32" s="17">
        <v>4</v>
      </c>
      <c r="M32" s="17">
        <f>AVERAGE(Table16769[[#This Row],[Teste 1]:[Teste 3]])</f>
        <v>4.333333333333333</v>
      </c>
      <c r="N32" s="16"/>
      <c r="O32" s="16" t="s">
        <v>3</v>
      </c>
      <c r="P32" s="16" t="s">
        <v>7</v>
      </c>
      <c r="Q32" s="17">
        <v>2022</v>
      </c>
      <c r="R32" s="17">
        <v>1734</v>
      </c>
      <c r="S32" s="17">
        <v>1086</v>
      </c>
      <c r="T32" s="17">
        <f>AVERAGE(Table16781[[#This Row],[Teste 1]:[Teste 3]])</f>
        <v>1614</v>
      </c>
      <c r="V32" s="15"/>
    </row>
    <row r="33" spans="1:22" x14ac:dyDescent="0.25">
      <c r="A33" s="16" t="s">
        <v>3</v>
      </c>
      <c r="B33" s="16" t="s">
        <v>8</v>
      </c>
      <c r="C33" s="17">
        <v>9</v>
      </c>
      <c r="D33" s="17">
        <v>11</v>
      </c>
      <c r="E33" s="17">
        <v>11</v>
      </c>
      <c r="F33" s="17">
        <f>AVERAGE(Table167[[#This Row],[Teste 1]:[Teste 3]])</f>
        <v>10.333333333333334</v>
      </c>
      <c r="G33" s="16"/>
      <c r="H33" s="16" t="s">
        <v>3</v>
      </c>
      <c r="I33" s="16" t="s">
        <v>8</v>
      </c>
      <c r="J33" s="17">
        <v>5</v>
      </c>
      <c r="K33" s="17">
        <v>4</v>
      </c>
      <c r="L33" s="17">
        <v>4</v>
      </c>
      <c r="M33" s="17">
        <f>AVERAGE(Table16769[[#This Row],[Teste 1]:[Teste 3]])</f>
        <v>4.333333333333333</v>
      </c>
      <c r="N33" s="16"/>
      <c r="O33" s="16" t="s">
        <v>3</v>
      </c>
      <c r="P33" s="16" t="s">
        <v>8</v>
      </c>
      <c r="Q33" s="17">
        <v>2022</v>
      </c>
      <c r="R33" s="17">
        <v>1734</v>
      </c>
      <c r="S33" s="17">
        <v>1086</v>
      </c>
      <c r="T33" s="17">
        <f>AVERAGE(Table16781[[#This Row],[Teste 1]:[Teste 3]])</f>
        <v>1614</v>
      </c>
      <c r="V33" s="15"/>
    </row>
    <row r="34" spans="1:22" x14ac:dyDescent="0.25">
      <c r="A34" s="16" t="s">
        <v>3</v>
      </c>
      <c r="B34" s="16" t="s">
        <v>9</v>
      </c>
      <c r="C34" s="17">
        <v>9</v>
      </c>
      <c r="D34" s="17">
        <v>11</v>
      </c>
      <c r="E34" s="17">
        <v>11</v>
      </c>
      <c r="F34" s="17">
        <f>AVERAGE(Table167[[#This Row],[Teste 1]:[Teste 3]])</f>
        <v>10.333333333333334</v>
      </c>
      <c r="G34" s="16"/>
      <c r="H34" s="16" t="s">
        <v>3</v>
      </c>
      <c r="I34" s="16" t="s">
        <v>9</v>
      </c>
      <c r="J34" s="17">
        <v>5</v>
      </c>
      <c r="K34" s="17">
        <v>4</v>
      </c>
      <c r="L34" s="17">
        <v>4</v>
      </c>
      <c r="M34" s="17">
        <f>AVERAGE(Table16769[[#This Row],[Teste 1]:[Teste 3]])</f>
        <v>4.333333333333333</v>
      </c>
      <c r="N34" s="16"/>
      <c r="O34" s="16" t="s">
        <v>3</v>
      </c>
      <c r="P34" s="16" t="s">
        <v>9</v>
      </c>
      <c r="Q34" s="17">
        <v>2022</v>
      </c>
      <c r="R34" s="17">
        <v>1734</v>
      </c>
      <c r="S34" s="17">
        <v>1086</v>
      </c>
      <c r="T34" s="17">
        <f>AVERAGE(Table16781[[#This Row],[Teste 1]:[Teste 3]])</f>
        <v>1614</v>
      </c>
      <c r="V34" s="15"/>
    </row>
    <row r="35" spans="1:22" x14ac:dyDescent="0.25">
      <c r="A35" s="16" t="s">
        <v>10</v>
      </c>
      <c r="B35" s="16" t="s">
        <v>4</v>
      </c>
      <c r="C35" s="17">
        <v>100000</v>
      </c>
      <c r="D35" s="17">
        <v>100000</v>
      </c>
      <c r="E35" s="17">
        <v>100000</v>
      </c>
      <c r="F35" s="17">
        <f>AVERAGE(Table167[[#This Row],[Teste 1]:[Teste 3]])</f>
        <v>100000</v>
      </c>
      <c r="G35" s="16"/>
      <c r="H35" s="16" t="s">
        <v>10</v>
      </c>
      <c r="I35" s="16" t="s">
        <v>4</v>
      </c>
      <c r="J35" s="17">
        <v>100000</v>
      </c>
      <c r="K35" s="17">
        <v>100000</v>
      </c>
      <c r="L35" s="17">
        <v>100000</v>
      </c>
      <c r="M35" s="17">
        <f>AVERAGE(Table16769[[#This Row],[Teste 1]:[Teste 3]])</f>
        <v>100000</v>
      </c>
      <c r="N35" s="16"/>
      <c r="O35" s="16" t="s">
        <v>10</v>
      </c>
      <c r="P35" s="16" t="s">
        <v>4</v>
      </c>
      <c r="Q35" s="17">
        <v>100000</v>
      </c>
      <c r="R35" s="17">
        <v>100000</v>
      </c>
      <c r="S35" s="17">
        <v>100000</v>
      </c>
      <c r="T35" s="17">
        <f>AVERAGE(Table16781[[#This Row],[Teste 1]:[Teste 3]])</f>
        <v>100000</v>
      </c>
      <c r="U35" s="15"/>
      <c r="V35" s="15"/>
    </row>
    <row r="36" spans="1:22" ht="13.9" customHeight="1" x14ac:dyDescent="0.25">
      <c r="A36" s="16" t="s">
        <v>10</v>
      </c>
      <c r="B36" s="16" t="s">
        <v>5</v>
      </c>
      <c r="C36" s="17">
        <v>1037.60455</v>
      </c>
      <c r="D36" s="17">
        <v>1113.70967</v>
      </c>
      <c r="E36" s="17">
        <v>1037.60455</v>
      </c>
      <c r="F36" s="17">
        <f>AVERAGE(Table167[[#This Row],[Teste 1]:[Teste 3]])</f>
        <v>1062.9729233333335</v>
      </c>
      <c r="G36" s="16"/>
      <c r="H36" s="16" t="s">
        <v>10</v>
      </c>
      <c r="I36" s="16" t="s">
        <v>5</v>
      </c>
      <c r="J36" s="17">
        <v>2788.6529</v>
      </c>
      <c r="K36" s="17">
        <v>2724.0736999999999</v>
      </c>
      <c r="L36" s="17">
        <v>2647.6242000000002</v>
      </c>
      <c r="M36" s="17">
        <f>AVERAGE(Table16769[[#This Row],[Teste 1]:[Teste 3]])</f>
        <v>2720.1169333333332</v>
      </c>
      <c r="N36" s="16"/>
      <c r="O36" s="16" t="s">
        <v>10</v>
      </c>
      <c r="P36" s="16" t="s">
        <v>5</v>
      </c>
      <c r="Q36" s="17">
        <v>354.28404999999998</v>
      </c>
      <c r="R36" s="17">
        <v>320.66574000000003</v>
      </c>
      <c r="S36" s="17">
        <v>305.64562000000001</v>
      </c>
      <c r="T36" s="17">
        <f>AVERAGE(Table16781[[#This Row],[Teste 1]:[Teste 3]])</f>
        <v>326.86513666666667</v>
      </c>
    </row>
    <row r="37" spans="1:22" x14ac:dyDescent="0.25">
      <c r="A37" s="16" t="s">
        <v>10</v>
      </c>
      <c r="B37" s="16" t="s">
        <v>6</v>
      </c>
      <c r="C37" s="17">
        <v>446</v>
      </c>
      <c r="D37" s="17">
        <v>244</v>
      </c>
      <c r="E37" s="17">
        <v>445</v>
      </c>
      <c r="F37" s="17">
        <f>AVERAGE(Table167[[#This Row],[Teste 1]:[Teste 3]])</f>
        <v>378.33333333333331</v>
      </c>
      <c r="G37" s="16"/>
      <c r="H37" s="16" t="s">
        <v>10</v>
      </c>
      <c r="I37" s="16" t="s">
        <v>6</v>
      </c>
      <c r="J37" s="17">
        <v>929</v>
      </c>
      <c r="K37" s="17">
        <v>971</v>
      </c>
      <c r="L37" s="17">
        <v>996</v>
      </c>
      <c r="M37" s="17">
        <f>AVERAGE(Table16769[[#This Row],[Teste 1]:[Teste 3]])</f>
        <v>965.33333333333337</v>
      </c>
      <c r="N37" s="16"/>
      <c r="O37" s="16" t="s">
        <v>10</v>
      </c>
      <c r="P37" s="16" t="s">
        <v>6</v>
      </c>
      <c r="Q37" s="17">
        <v>172</v>
      </c>
      <c r="R37" s="17">
        <v>173</v>
      </c>
      <c r="S37" s="17">
        <v>169</v>
      </c>
      <c r="T37" s="17">
        <f>AVERAGE(Table16781[[#This Row],[Teste 1]:[Teste 3]])</f>
        <v>171.33333333333334</v>
      </c>
    </row>
    <row r="38" spans="1:22" x14ac:dyDescent="0.25">
      <c r="A38" s="16" t="s">
        <v>10</v>
      </c>
      <c r="B38" s="16" t="s">
        <v>7</v>
      </c>
      <c r="C38" s="17">
        <v>218</v>
      </c>
      <c r="D38" s="17">
        <v>59903</v>
      </c>
      <c r="E38" s="17">
        <v>133247</v>
      </c>
      <c r="F38" s="17">
        <f>AVERAGE(Table167[[#This Row],[Teste 1]:[Teste 3]])</f>
        <v>64456</v>
      </c>
      <c r="G38" s="16"/>
      <c r="H38" s="16" t="s">
        <v>10</v>
      </c>
      <c r="I38" s="16" t="s">
        <v>7</v>
      </c>
      <c r="J38" s="18">
        <v>166233</v>
      </c>
      <c r="K38" s="17">
        <v>165179</v>
      </c>
      <c r="L38" s="17">
        <v>164207</v>
      </c>
      <c r="M38" s="17">
        <f>AVERAGE(Table16769[[#This Row],[Teste 1]:[Teste 3]])</f>
        <v>165206.33333333334</v>
      </c>
      <c r="N38" s="16"/>
      <c r="O38" s="16" t="s">
        <v>10</v>
      </c>
      <c r="P38" s="16" t="s">
        <v>7</v>
      </c>
      <c r="Q38" s="17">
        <v>68735</v>
      </c>
      <c r="R38" s="17">
        <v>87167</v>
      </c>
      <c r="S38" s="17">
        <v>79039</v>
      </c>
      <c r="T38" s="17">
        <f>AVERAGE(Table16781[[#This Row],[Teste 1]:[Teste 3]])</f>
        <v>78313.666666666672</v>
      </c>
    </row>
    <row r="39" spans="1:22" x14ac:dyDescent="0.25">
      <c r="A39" s="16" t="s">
        <v>10</v>
      </c>
      <c r="B39" s="16" t="s">
        <v>8</v>
      </c>
      <c r="C39" s="17">
        <v>1039</v>
      </c>
      <c r="D39" s="17">
        <v>2195</v>
      </c>
      <c r="E39" s="17">
        <v>1731</v>
      </c>
      <c r="F39" s="17">
        <f>AVERAGE(Table167[[#This Row],[Teste 1]:[Teste 3]])</f>
        <v>1655</v>
      </c>
      <c r="G39" s="16"/>
      <c r="H39" s="16" t="s">
        <v>10</v>
      </c>
      <c r="I39" s="16" t="s">
        <v>8</v>
      </c>
      <c r="J39" s="19">
        <v>4315</v>
      </c>
      <c r="K39" s="17">
        <v>4241</v>
      </c>
      <c r="L39" s="17">
        <v>4098</v>
      </c>
      <c r="M39" s="17">
        <f>AVERAGE(Table16769[[#This Row],[Teste 1]:[Teste 3]])</f>
        <v>4218</v>
      </c>
      <c r="N39" s="16"/>
      <c r="O39" s="16" t="s">
        <v>10</v>
      </c>
      <c r="P39" s="16" t="s">
        <v>8</v>
      </c>
      <c r="Q39" s="17">
        <v>560</v>
      </c>
      <c r="R39" s="17">
        <v>486</v>
      </c>
      <c r="S39" s="17">
        <v>458</v>
      </c>
      <c r="T39" s="17">
        <f>AVERAGE(Table16781[[#This Row],[Teste 1]:[Teste 3]])</f>
        <v>501.33333333333331</v>
      </c>
      <c r="V39" s="15"/>
    </row>
    <row r="40" spans="1:22" x14ac:dyDescent="0.25">
      <c r="A40" s="16" t="s">
        <v>10</v>
      </c>
      <c r="B40" s="16" t="s">
        <v>9</v>
      </c>
      <c r="C40" s="17">
        <v>2960</v>
      </c>
      <c r="D40" s="17">
        <v>4683</v>
      </c>
      <c r="E40" s="17">
        <v>3565</v>
      </c>
      <c r="F40" s="17">
        <f>AVERAGE(Table167[[#This Row],[Teste 1]:[Teste 3]])</f>
        <v>3736</v>
      </c>
      <c r="G40" s="16"/>
      <c r="H40" s="16" t="s">
        <v>10</v>
      </c>
      <c r="I40" s="16" t="s">
        <v>9</v>
      </c>
      <c r="J40" s="18">
        <v>9216</v>
      </c>
      <c r="K40" s="17">
        <v>9574</v>
      </c>
      <c r="L40" s="17">
        <v>8909</v>
      </c>
      <c r="M40" s="17">
        <f>AVERAGE(Table16769[[#This Row],[Teste 1]:[Teste 3]])</f>
        <v>9233</v>
      </c>
      <c r="N40" s="16"/>
      <c r="O40" s="16" t="s">
        <v>10</v>
      </c>
      <c r="P40" s="16" t="s">
        <v>9</v>
      </c>
      <c r="Q40" s="17">
        <v>1209</v>
      </c>
      <c r="R40" s="17">
        <v>904</v>
      </c>
      <c r="S40" s="17">
        <v>872</v>
      </c>
      <c r="T40" s="17">
        <f>AVERAGE(Table16781[[#This Row],[Teste 1]:[Teste 3]])</f>
        <v>995</v>
      </c>
      <c r="V40" s="15"/>
    </row>
    <row r="41" spans="1:22" x14ac:dyDescent="0.25">
      <c r="A41" s="16" t="s">
        <v>10</v>
      </c>
      <c r="B41" s="16" t="s">
        <v>11</v>
      </c>
      <c r="C41" s="17">
        <v>100000</v>
      </c>
      <c r="D41" s="17">
        <v>100000</v>
      </c>
      <c r="E41" s="17">
        <v>100000</v>
      </c>
      <c r="F41" s="17">
        <f>AVERAGE(Table167[[#This Row],[Teste 1]:[Teste 3]])</f>
        <v>100000</v>
      </c>
      <c r="G41" s="16"/>
      <c r="H41" s="16" t="s">
        <v>10</v>
      </c>
      <c r="I41" s="16" t="s">
        <v>11</v>
      </c>
      <c r="J41" s="17">
        <v>100000</v>
      </c>
      <c r="K41" s="17">
        <v>100000</v>
      </c>
      <c r="L41" s="17">
        <v>100000</v>
      </c>
      <c r="M41" s="17">
        <f>AVERAGE(Table16769[[#This Row],[Teste 1]:[Teste 3]])</f>
        <v>100000</v>
      </c>
      <c r="N41" s="16"/>
      <c r="O41" s="16" t="s">
        <v>10</v>
      </c>
      <c r="P41" s="16" t="s">
        <v>11</v>
      </c>
      <c r="Q41" s="17">
        <v>100000</v>
      </c>
      <c r="R41" s="17">
        <v>100000</v>
      </c>
      <c r="S41" s="17">
        <v>100000</v>
      </c>
      <c r="T41" s="17">
        <f>AVERAGE(Table16781[[#This Row],[Teste 1]:[Teste 3]])</f>
        <v>100000</v>
      </c>
      <c r="V41" s="15"/>
    </row>
    <row r="42" spans="1:22" x14ac:dyDescent="0.25">
      <c r="A42" s="16"/>
      <c r="B42" s="16"/>
      <c r="C42" s="17"/>
      <c r="D42" s="17"/>
      <c r="E42" s="17"/>
      <c r="F42" s="17"/>
      <c r="G42" s="16"/>
      <c r="H42" s="16"/>
      <c r="I42" s="16"/>
      <c r="J42" s="17"/>
      <c r="K42" s="17"/>
      <c r="L42" s="17"/>
      <c r="M42" s="17"/>
      <c r="N42" s="16"/>
      <c r="O42" s="16"/>
      <c r="P42" s="16"/>
      <c r="Q42" s="17"/>
      <c r="R42" s="17"/>
      <c r="S42" s="17"/>
      <c r="T42" s="17"/>
      <c r="V42" s="15"/>
    </row>
    <row r="43" spans="1:22" x14ac:dyDescent="0.25">
      <c r="A43" s="16"/>
      <c r="B43" s="16"/>
      <c r="C43" s="17"/>
      <c r="D43" s="17"/>
      <c r="E43" s="17"/>
      <c r="F43" s="17"/>
      <c r="G43" s="16"/>
      <c r="H43" s="16"/>
      <c r="I43" s="16"/>
      <c r="J43" s="17"/>
      <c r="K43" s="17"/>
      <c r="L43" s="17"/>
      <c r="M43" s="17"/>
      <c r="N43" s="16"/>
      <c r="O43" s="16"/>
      <c r="P43" s="16"/>
      <c r="Q43" s="17"/>
      <c r="R43" s="17"/>
      <c r="S43" s="17"/>
      <c r="T43" s="17"/>
      <c r="V43" s="15"/>
    </row>
    <row r="44" spans="1:22" ht="15.75" customHeight="1" x14ac:dyDescent="0.25">
      <c r="A44" s="16"/>
      <c r="B44" s="16"/>
      <c r="C44" s="17"/>
      <c r="D44" s="17"/>
      <c r="E44" s="17"/>
      <c r="F44" s="17"/>
      <c r="G44" s="16"/>
      <c r="H44" s="16"/>
      <c r="I44" s="16"/>
      <c r="J44" s="17"/>
      <c r="K44" s="17"/>
      <c r="L44" s="17"/>
      <c r="M44" s="17"/>
      <c r="N44" s="16"/>
      <c r="O44" s="16"/>
      <c r="P44" s="16"/>
      <c r="Q44" s="17"/>
      <c r="R44" s="17"/>
      <c r="S44" s="17"/>
      <c r="T44" s="17"/>
      <c r="V44" s="15"/>
    </row>
    <row r="45" spans="1:22" ht="16.149999999999999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2" x14ac:dyDescent="0.25">
      <c r="A46" s="16" t="s">
        <v>77</v>
      </c>
      <c r="B46" s="16"/>
      <c r="C46" s="16"/>
      <c r="D46" s="16"/>
      <c r="E46" s="16"/>
      <c r="F46" s="16"/>
      <c r="G46" s="16"/>
      <c r="H46" s="16" t="s">
        <v>77</v>
      </c>
      <c r="I46" s="16"/>
      <c r="J46" s="16"/>
      <c r="K46" s="16"/>
      <c r="L46" s="16"/>
      <c r="M46" s="16"/>
      <c r="N46" s="16"/>
      <c r="O46" s="16" t="s">
        <v>77</v>
      </c>
      <c r="P46" s="16"/>
      <c r="Q46" s="16"/>
      <c r="R46" s="16"/>
      <c r="S46" s="16"/>
      <c r="T46" s="16"/>
    </row>
    <row r="47" spans="1:22" x14ac:dyDescent="0.25">
      <c r="A47" s="16" t="s">
        <v>59</v>
      </c>
      <c r="B47" s="16" t="s">
        <v>61</v>
      </c>
      <c r="C47" s="16" t="s">
        <v>82</v>
      </c>
      <c r="D47" s="16" t="s">
        <v>64</v>
      </c>
      <c r="E47" s="16" t="s">
        <v>63</v>
      </c>
      <c r="F47" s="16" t="s">
        <v>18</v>
      </c>
      <c r="G47" s="16"/>
      <c r="H47" s="16" t="s">
        <v>12</v>
      </c>
      <c r="I47" s="16" t="s">
        <v>61</v>
      </c>
      <c r="J47" s="16" t="s">
        <v>82</v>
      </c>
      <c r="K47" s="16" t="s">
        <v>64</v>
      </c>
      <c r="L47" s="16" t="s">
        <v>63</v>
      </c>
      <c r="M47" s="16" t="s">
        <v>18</v>
      </c>
      <c r="N47" s="16"/>
      <c r="O47" s="16" t="s">
        <v>13</v>
      </c>
      <c r="P47" s="16" t="s">
        <v>61</v>
      </c>
      <c r="Q47" s="16" t="s">
        <v>82</v>
      </c>
      <c r="R47" s="16" t="s">
        <v>64</v>
      </c>
      <c r="S47" s="16" t="s">
        <v>63</v>
      </c>
      <c r="T47" s="16" t="s">
        <v>18</v>
      </c>
    </row>
    <row r="48" spans="1:22" x14ac:dyDescent="0.25">
      <c r="A48" s="16" t="s">
        <v>0</v>
      </c>
      <c r="B48" s="16" t="s">
        <v>1</v>
      </c>
      <c r="C48" s="17">
        <v>14409</v>
      </c>
      <c r="D48" s="17">
        <v>14579</v>
      </c>
      <c r="E48" s="17">
        <v>14353</v>
      </c>
      <c r="F48" s="17">
        <f>AVERAGE(Table16711[[#This Row],[Teste 1]:[Teste 3]])</f>
        <v>14447</v>
      </c>
      <c r="G48" s="16"/>
      <c r="H48" s="16" t="s">
        <v>0</v>
      </c>
      <c r="I48" s="16" t="s">
        <v>1</v>
      </c>
      <c r="J48" s="17">
        <v>33863</v>
      </c>
      <c r="K48" s="17">
        <v>33517</v>
      </c>
      <c r="L48" s="17">
        <v>32152</v>
      </c>
      <c r="M48" s="17">
        <f>AVERAGE(Table1671170[[#This Row],[Teste 1]:[Teste 3]])</f>
        <v>33177.333333333336</v>
      </c>
      <c r="N48" s="16"/>
      <c r="O48" s="16" t="s">
        <v>0</v>
      </c>
      <c r="P48" s="16" t="s">
        <v>1</v>
      </c>
      <c r="Q48" s="17">
        <v>8311</v>
      </c>
      <c r="R48" s="17">
        <v>8043</v>
      </c>
      <c r="S48" s="17">
        <v>8708</v>
      </c>
      <c r="T48" s="17">
        <f>AVERAGE(Table1671182[[#This Row],[Teste 1]:[Teste 3]])</f>
        <v>8354</v>
      </c>
    </row>
    <row r="49" spans="1:20" x14ac:dyDescent="0.25">
      <c r="A49" s="16" t="s">
        <v>0</v>
      </c>
      <c r="B49" s="16" t="s">
        <v>2</v>
      </c>
      <c r="C49" s="17">
        <v>6940.1068776459097</v>
      </c>
      <c r="D49" s="17">
        <v>6859.1810137869497</v>
      </c>
      <c r="E49" s="17">
        <v>6967.1845607190098</v>
      </c>
      <c r="F49" s="17">
        <f>AVERAGE(Table16711[[#This Row],[Teste 1]:[Teste 3]])</f>
        <v>6922.1574840506228</v>
      </c>
      <c r="G49" s="16"/>
      <c r="H49" s="16" t="s">
        <v>0</v>
      </c>
      <c r="I49" s="16" t="s">
        <v>2</v>
      </c>
      <c r="J49" s="17">
        <v>2986.43</v>
      </c>
      <c r="K49" s="17">
        <v>3009.6336999999999</v>
      </c>
      <c r="L49" s="17">
        <v>3098.2</v>
      </c>
      <c r="M49" s="17">
        <f>AVERAGE(Table1671170[[#This Row],[Teste 1]:[Teste 3]])</f>
        <v>3031.421233333333</v>
      </c>
      <c r="N49" s="16"/>
      <c r="O49" s="16" t="s">
        <v>0</v>
      </c>
      <c r="P49" s="16" t="s">
        <v>2</v>
      </c>
      <c r="Q49" s="17">
        <v>12032.2464204066</v>
      </c>
      <c r="R49" s="17">
        <v>12433.171702101199</v>
      </c>
      <c r="S49" s="17">
        <v>11483.6931557188</v>
      </c>
      <c r="T49" s="17">
        <f>AVERAGE(Table1671182[[#This Row],[Teste 1]:[Teste 3]])</f>
        <v>11983.037092742199</v>
      </c>
    </row>
    <row r="50" spans="1:20" x14ac:dyDescent="0.25">
      <c r="A50" s="16" t="s">
        <v>3</v>
      </c>
      <c r="B50" s="16" t="s">
        <v>4</v>
      </c>
      <c r="C50" s="17">
        <v>6</v>
      </c>
      <c r="D50" s="17">
        <v>6</v>
      </c>
      <c r="E50" s="17">
        <v>6</v>
      </c>
      <c r="F50" s="17">
        <f>AVERAGE(Table16711[[#This Row],[Teste 1]:[Teste 3]])</f>
        <v>6</v>
      </c>
      <c r="G50" s="16"/>
      <c r="H50" s="16" t="s">
        <v>3</v>
      </c>
      <c r="I50" s="16" t="s">
        <v>4</v>
      </c>
      <c r="J50" s="17">
        <v>6</v>
      </c>
      <c r="K50" s="17">
        <v>6</v>
      </c>
      <c r="L50" s="17">
        <v>6</v>
      </c>
      <c r="M50" s="17">
        <f>AVERAGE(Table1671170[[#This Row],[Teste 1]:[Teste 3]])</f>
        <v>6</v>
      </c>
      <c r="N50" s="16"/>
      <c r="O50" s="16" t="s">
        <v>3</v>
      </c>
      <c r="P50" s="16" t="s">
        <v>4</v>
      </c>
      <c r="Q50" s="17">
        <v>6</v>
      </c>
      <c r="R50" s="17">
        <v>6</v>
      </c>
      <c r="S50" s="17">
        <v>6</v>
      </c>
      <c r="T50" s="17">
        <f>AVERAGE(Table1671182[[#This Row],[Teste 1]:[Teste 3]])</f>
        <v>6</v>
      </c>
    </row>
    <row r="51" spans="1:20" x14ac:dyDescent="0.25">
      <c r="A51" s="16" t="s">
        <v>3</v>
      </c>
      <c r="B51" s="16" t="s">
        <v>5</v>
      </c>
      <c r="C51" s="17">
        <v>2.3333333333333299</v>
      </c>
      <c r="D51" s="17">
        <v>2.3333333333333299</v>
      </c>
      <c r="E51" s="17">
        <v>2.1666666666666599</v>
      </c>
      <c r="F51" s="17">
        <f>AVERAGE(Table16711[[#This Row],[Teste 1]:[Teste 3]])</f>
        <v>2.2777777777777732</v>
      </c>
      <c r="G51" s="16"/>
      <c r="H51" s="16" t="s">
        <v>3</v>
      </c>
      <c r="I51" s="16" t="s">
        <v>5</v>
      </c>
      <c r="J51" s="17">
        <v>2</v>
      </c>
      <c r="K51" s="17">
        <v>1</v>
      </c>
      <c r="L51" s="17">
        <v>1</v>
      </c>
      <c r="M51" s="17">
        <f>AVERAGE(Table1671170[[#This Row],[Teste 1]:[Teste 3]])</f>
        <v>1.3333333333333333</v>
      </c>
      <c r="N51" s="16"/>
      <c r="O51" s="16" t="s">
        <v>3</v>
      </c>
      <c r="P51" s="16" t="s">
        <v>5</v>
      </c>
      <c r="Q51" s="17">
        <v>277.166666666666</v>
      </c>
      <c r="R51" s="17">
        <v>215.666666666666</v>
      </c>
      <c r="S51" s="17">
        <v>247.5</v>
      </c>
      <c r="T51" s="17">
        <f>AVERAGE(Table1671182[[#This Row],[Teste 1]:[Teste 3]])</f>
        <v>246.77777777777735</v>
      </c>
    </row>
    <row r="52" spans="1:20" x14ac:dyDescent="0.25">
      <c r="A52" s="16" t="s">
        <v>3</v>
      </c>
      <c r="B52" s="16" t="s">
        <v>6</v>
      </c>
      <c r="C52" s="17">
        <v>1</v>
      </c>
      <c r="D52" s="17">
        <v>7</v>
      </c>
      <c r="E52" s="17">
        <v>1</v>
      </c>
      <c r="F52" s="17">
        <f>AVERAGE(Table16711[[#This Row],[Teste 1]:[Teste 3]])</f>
        <v>3</v>
      </c>
      <c r="G52" s="16"/>
      <c r="H52" s="16" t="s">
        <v>3</v>
      </c>
      <c r="I52" s="16" t="s">
        <v>6</v>
      </c>
      <c r="J52" s="17">
        <v>0.33329999999999999</v>
      </c>
      <c r="K52" s="17">
        <v>1.3333330000000001</v>
      </c>
      <c r="L52" s="17">
        <v>1.3332999999999999</v>
      </c>
      <c r="M52" s="17">
        <f>AVERAGE(Table1671170[[#This Row],[Teste 1]:[Teste 3]])</f>
        <v>0.99997766666666665</v>
      </c>
      <c r="N52" s="16"/>
      <c r="O52" s="16" t="s">
        <v>3</v>
      </c>
      <c r="P52" s="16" t="s">
        <v>6</v>
      </c>
      <c r="Q52" s="17">
        <v>3</v>
      </c>
      <c r="R52" s="17">
        <v>2</v>
      </c>
      <c r="S52" s="17">
        <v>2</v>
      </c>
      <c r="T52" s="17">
        <f>AVERAGE(Table1671182[[#This Row],[Teste 1]:[Teste 3]])</f>
        <v>2.3333333333333335</v>
      </c>
    </row>
    <row r="53" spans="1:20" x14ac:dyDescent="0.25">
      <c r="A53" s="16" t="s">
        <v>3</v>
      </c>
      <c r="B53" s="16" t="s">
        <v>7</v>
      </c>
      <c r="C53" s="17">
        <v>7</v>
      </c>
      <c r="D53" s="17">
        <v>8</v>
      </c>
      <c r="E53" s="17">
        <v>8</v>
      </c>
      <c r="F53" s="17">
        <f>AVERAGE(Table16711[[#This Row],[Teste 1]:[Teste 3]])</f>
        <v>7.666666666666667</v>
      </c>
      <c r="G53" s="16"/>
      <c r="H53" s="16" t="s">
        <v>3</v>
      </c>
      <c r="I53" s="16" t="s">
        <v>7</v>
      </c>
      <c r="J53" s="17">
        <v>3</v>
      </c>
      <c r="K53" s="17">
        <v>4</v>
      </c>
      <c r="L53" s="17">
        <v>4</v>
      </c>
      <c r="M53" s="17">
        <f>AVERAGE(Table1671170[[#This Row],[Teste 1]:[Teste 3]])</f>
        <v>3.6666666666666665</v>
      </c>
      <c r="N53" s="16"/>
      <c r="O53" s="16" t="s">
        <v>3</v>
      </c>
      <c r="P53" s="16" t="s">
        <v>7</v>
      </c>
      <c r="Q53" s="17">
        <v>1637</v>
      </c>
      <c r="R53" s="17">
        <v>1271</v>
      </c>
      <c r="S53" s="17">
        <v>1465</v>
      </c>
      <c r="T53" s="17">
        <f>AVERAGE(Table1671182[[#This Row],[Teste 1]:[Teste 3]])</f>
        <v>1457.6666666666667</v>
      </c>
    </row>
    <row r="54" spans="1:20" x14ac:dyDescent="0.25">
      <c r="A54" s="16" t="s">
        <v>3</v>
      </c>
      <c r="B54" s="16" t="s">
        <v>8</v>
      </c>
      <c r="C54" s="17">
        <v>7</v>
      </c>
      <c r="D54" s="17">
        <v>8</v>
      </c>
      <c r="E54" s="17">
        <v>8</v>
      </c>
      <c r="F54" s="17">
        <f>AVERAGE(Table16711[[#This Row],[Teste 1]:[Teste 3]])</f>
        <v>7.666666666666667</v>
      </c>
      <c r="G54" s="16"/>
      <c r="H54" s="16" t="s">
        <v>3</v>
      </c>
      <c r="I54" s="16" t="s">
        <v>8</v>
      </c>
      <c r="J54" s="17">
        <v>3</v>
      </c>
      <c r="K54" s="17">
        <v>4</v>
      </c>
      <c r="L54" s="17">
        <v>4</v>
      </c>
      <c r="M54" s="17">
        <f>AVERAGE(Table1671170[[#This Row],[Teste 1]:[Teste 3]])</f>
        <v>3.6666666666666665</v>
      </c>
      <c r="N54" s="16"/>
      <c r="O54" s="16" t="s">
        <v>3</v>
      </c>
      <c r="P54" s="16" t="s">
        <v>8</v>
      </c>
      <c r="Q54" s="17">
        <v>1637</v>
      </c>
      <c r="R54" s="17">
        <v>1271</v>
      </c>
      <c r="S54" s="17">
        <v>1465</v>
      </c>
      <c r="T54" s="17">
        <f>AVERAGE(Table1671182[[#This Row],[Teste 1]:[Teste 3]])</f>
        <v>1457.6666666666667</v>
      </c>
    </row>
    <row r="55" spans="1:20" x14ac:dyDescent="0.25">
      <c r="A55" s="16" t="s">
        <v>3</v>
      </c>
      <c r="B55" s="16" t="s">
        <v>9</v>
      </c>
      <c r="C55" s="17">
        <v>7</v>
      </c>
      <c r="D55" s="17">
        <v>8</v>
      </c>
      <c r="E55" s="17">
        <v>8</v>
      </c>
      <c r="F55" s="17">
        <f>AVERAGE(Table16711[[#This Row],[Teste 1]:[Teste 3]])</f>
        <v>7.666666666666667</v>
      </c>
      <c r="G55" s="16"/>
      <c r="H55" s="16" t="s">
        <v>3</v>
      </c>
      <c r="I55" s="16" t="s">
        <v>9</v>
      </c>
      <c r="J55" s="17">
        <v>3</v>
      </c>
      <c r="K55" s="17">
        <v>4</v>
      </c>
      <c r="L55" s="17">
        <v>4</v>
      </c>
      <c r="M55" s="17">
        <f>AVERAGE(Table1671170[[#This Row],[Teste 1]:[Teste 3]])</f>
        <v>3.6666666666666665</v>
      </c>
      <c r="N55" s="16"/>
      <c r="O55" s="16" t="s">
        <v>3</v>
      </c>
      <c r="P55" s="16" t="s">
        <v>9</v>
      </c>
      <c r="Q55" s="17">
        <v>1637</v>
      </c>
      <c r="R55" s="17">
        <v>1271</v>
      </c>
      <c r="S55" s="17">
        <v>1465</v>
      </c>
      <c r="T55" s="17">
        <f>AVERAGE(Table1671182[[#This Row],[Teste 1]:[Teste 3]])</f>
        <v>1457.6666666666667</v>
      </c>
    </row>
    <row r="56" spans="1:20" x14ac:dyDescent="0.25">
      <c r="A56" s="16" t="s">
        <v>10</v>
      </c>
      <c r="B56" s="16" t="s">
        <v>4</v>
      </c>
      <c r="C56" s="17">
        <v>100000</v>
      </c>
      <c r="D56" s="17">
        <v>100000</v>
      </c>
      <c r="E56" s="17">
        <v>100000</v>
      </c>
      <c r="F56" s="17">
        <f>AVERAGE(Table16711[[#This Row],[Teste 1]:[Teste 3]])</f>
        <v>100000</v>
      </c>
      <c r="G56" s="16"/>
      <c r="H56" s="16" t="s">
        <v>10</v>
      </c>
      <c r="I56" s="16" t="s">
        <v>4</v>
      </c>
      <c r="J56" s="17">
        <v>100000</v>
      </c>
      <c r="K56" s="17">
        <v>100000</v>
      </c>
      <c r="L56" s="17">
        <v>100000</v>
      </c>
      <c r="M56" s="17">
        <f>AVERAGE(Table1671170[[#This Row],[Teste 1]:[Teste 3]])</f>
        <v>100000</v>
      </c>
      <c r="N56" s="16"/>
      <c r="O56" s="16" t="s">
        <v>10</v>
      </c>
      <c r="P56" s="16" t="s">
        <v>4</v>
      </c>
      <c r="Q56" s="17">
        <v>100000</v>
      </c>
      <c r="R56" s="17">
        <v>100000</v>
      </c>
      <c r="S56" s="17">
        <v>100000</v>
      </c>
      <c r="T56" s="17">
        <f>AVERAGE(Table1671182[[#This Row],[Teste 1]:[Teste 3]])</f>
        <v>100000</v>
      </c>
    </row>
    <row r="57" spans="1:20" x14ac:dyDescent="0.25">
      <c r="A57" s="16" t="s">
        <v>10</v>
      </c>
      <c r="B57" s="16" t="s">
        <v>5</v>
      </c>
      <c r="C57" s="17">
        <v>785.42697999999996</v>
      </c>
      <c r="D57" s="17">
        <v>802.69483000000002</v>
      </c>
      <c r="E57" s="17">
        <v>786.84388000000001</v>
      </c>
      <c r="F57" s="17">
        <f>AVERAGE(Table16711[[#This Row],[Teste 1]:[Teste 3]])</f>
        <v>791.65522999999996</v>
      </c>
      <c r="G57" s="16"/>
      <c r="H57" s="16" t="s">
        <v>10</v>
      </c>
      <c r="I57" s="16" t="s">
        <v>5</v>
      </c>
      <c r="J57" s="17">
        <v>842.78</v>
      </c>
      <c r="K57" s="17">
        <v>795.09699999999998</v>
      </c>
      <c r="L57" s="17">
        <v>769.34550000000002</v>
      </c>
      <c r="M57" s="17">
        <f>AVERAGE(Table1671170[[#This Row],[Teste 1]:[Teste 3]])</f>
        <v>802.40749999999991</v>
      </c>
      <c r="N57" s="16"/>
      <c r="O57" s="16" t="s">
        <v>10</v>
      </c>
      <c r="P57" s="16" t="s">
        <v>5</v>
      </c>
      <c r="Q57" s="17">
        <v>445.45040999999998</v>
      </c>
      <c r="R57" s="17">
        <v>431.22537</v>
      </c>
      <c r="S57" s="17">
        <v>470.27902999999998</v>
      </c>
      <c r="T57" s="17">
        <f>AVERAGE(Table1671182[[#This Row],[Teste 1]:[Teste 3]])</f>
        <v>448.98493666666667</v>
      </c>
    </row>
    <row r="58" spans="1:20" x14ac:dyDescent="0.25">
      <c r="A58" s="16" t="s">
        <v>10</v>
      </c>
      <c r="B58" s="16" t="s">
        <v>6</v>
      </c>
      <c r="C58" s="17">
        <v>215</v>
      </c>
      <c r="D58" s="17">
        <v>228</v>
      </c>
      <c r="E58" s="17">
        <v>225</v>
      </c>
      <c r="F58" s="17">
        <f>AVERAGE(Table16711[[#This Row],[Teste 1]:[Teste 3]])</f>
        <v>222.66666666666666</v>
      </c>
      <c r="G58" s="16"/>
      <c r="H58" s="16" t="s">
        <v>10</v>
      </c>
      <c r="I58" s="16" t="s">
        <v>6</v>
      </c>
      <c r="J58" s="17">
        <v>222</v>
      </c>
      <c r="K58" s="17">
        <v>224</v>
      </c>
      <c r="L58" s="17">
        <v>226</v>
      </c>
      <c r="M58" s="17">
        <f>AVERAGE(Table1671170[[#This Row],[Teste 1]:[Teste 3]])</f>
        <v>224</v>
      </c>
      <c r="N58" s="16"/>
      <c r="O58" s="16" t="s">
        <v>10</v>
      </c>
      <c r="P58" s="16" t="s">
        <v>6</v>
      </c>
      <c r="Q58" s="17">
        <v>147</v>
      </c>
      <c r="R58" s="17">
        <v>152</v>
      </c>
      <c r="S58" s="17">
        <v>176</v>
      </c>
      <c r="T58" s="17">
        <f>AVERAGE(Table1671182[[#This Row],[Teste 1]:[Teste 3]])</f>
        <v>158.33333333333334</v>
      </c>
    </row>
    <row r="59" spans="1:20" x14ac:dyDescent="0.25">
      <c r="A59" s="16" t="s">
        <v>10</v>
      </c>
      <c r="B59" s="16" t="s">
        <v>7</v>
      </c>
      <c r="C59" s="17">
        <v>330495</v>
      </c>
      <c r="D59" s="17">
        <v>270335</v>
      </c>
      <c r="E59" s="17">
        <v>137215</v>
      </c>
      <c r="F59" s="17">
        <f>AVERAGE(Table16711[[#This Row],[Teste 1]:[Teste 3]])</f>
        <v>246015</v>
      </c>
      <c r="G59" s="16"/>
      <c r="H59" s="16" t="s">
        <v>10</v>
      </c>
      <c r="I59" s="16" t="s">
        <v>7</v>
      </c>
      <c r="J59" s="18">
        <v>247619</v>
      </c>
      <c r="K59" s="17">
        <v>247084</v>
      </c>
      <c r="L59" s="17">
        <v>244879</v>
      </c>
      <c r="M59" s="17">
        <f>AVERAGE(Table1671170[[#This Row],[Teste 1]:[Teste 3]])</f>
        <v>246527.33333333334</v>
      </c>
      <c r="N59" s="16"/>
      <c r="O59" s="16" t="s">
        <v>10</v>
      </c>
      <c r="P59" s="16" t="s">
        <v>7</v>
      </c>
      <c r="Q59" s="17">
        <v>120511</v>
      </c>
      <c r="R59" s="17">
        <v>137599</v>
      </c>
      <c r="S59" s="17">
        <v>148607</v>
      </c>
      <c r="T59" s="17">
        <f>AVERAGE(Table1671182[[#This Row],[Teste 1]:[Teste 3]])</f>
        <v>135572.33333333334</v>
      </c>
    </row>
    <row r="60" spans="1:20" x14ac:dyDescent="0.25">
      <c r="A60" s="16" t="s">
        <v>10</v>
      </c>
      <c r="B60" s="16" t="s">
        <v>8</v>
      </c>
      <c r="C60" s="17">
        <v>1209</v>
      </c>
      <c r="D60" s="17">
        <v>1260</v>
      </c>
      <c r="E60" s="17">
        <v>1218</v>
      </c>
      <c r="F60" s="17">
        <f>AVERAGE(Table16711[[#This Row],[Teste 1]:[Teste 3]])</f>
        <v>1229</v>
      </c>
      <c r="G60" s="16"/>
      <c r="H60" s="16" t="s">
        <v>10</v>
      </c>
      <c r="I60" s="16" t="s">
        <v>8</v>
      </c>
      <c r="J60" s="19">
        <v>1254</v>
      </c>
      <c r="K60" s="17">
        <v>1234</v>
      </c>
      <c r="L60" s="17">
        <v>1174</v>
      </c>
      <c r="M60" s="17">
        <f>AVERAGE(Table1671170[[#This Row],[Teste 1]:[Teste 3]])</f>
        <v>1220.6666666666667</v>
      </c>
      <c r="N60" s="16"/>
      <c r="O60" s="16" t="s">
        <v>10</v>
      </c>
      <c r="P60" s="16" t="s">
        <v>8</v>
      </c>
      <c r="Q60" s="17">
        <v>852</v>
      </c>
      <c r="R60" s="17">
        <v>813</v>
      </c>
      <c r="S60" s="17">
        <v>1040</v>
      </c>
      <c r="T60" s="17">
        <f>AVERAGE(Table1671182[[#This Row],[Teste 1]:[Teste 3]])</f>
        <v>901.66666666666663</v>
      </c>
    </row>
    <row r="61" spans="1:20" x14ac:dyDescent="0.25">
      <c r="A61" s="16" t="s">
        <v>10</v>
      </c>
      <c r="B61" s="16" t="s">
        <v>9</v>
      </c>
      <c r="C61" s="17">
        <v>2355</v>
      </c>
      <c r="D61" s="17">
        <v>2453</v>
      </c>
      <c r="E61" s="17">
        <v>2507</v>
      </c>
      <c r="F61" s="17">
        <f>AVERAGE(Table16711[[#This Row],[Teste 1]:[Teste 3]])</f>
        <v>2438.3333333333335</v>
      </c>
      <c r="G61" s="16"/>
      <c r="H61" s="16" t="s">
        <v>10</v>
      </c>
      <c r="I61" s="16" t="s">
        <v>9</v>
      </c>
      <c r="J61" s="18">
        <v>2303</v>
      </c>
      <c r="K61" s="17">
        <v>2448</v>
      </c>
      <c r="L61" s="17">
        <v>2570</v>
      </c>
      <c r="M61" s="17">
        <f>AVERAGE(Table1671170[[#This Row],[Teste 1]:[Teste 3]])</f>
        <v>2440.3333333333335</v>
      </c>
      <c r="N61" s="16"/>
      <c r="O61" s="16" t="s">
        <v>10</v>
      </c>
      <c r="P61" s="16" t="s">
        <v>9</v>
      </c>
      <c r="Q61" s="17">
        <v>2255</v>
      </c>
      <c r="R61" s="17">
        <v>2143</v>
      </c>
      <c r="S61" s="17">
        <v>2139</v>
      </c>
      <c r="T61" s="17">
        <f>AVERAGE(Table1671182[[#This Row],[Teste 1]:[Teste 3]])</f>
        <v>2179</v>
      </c>
    </row>
    <row r="62" spans="1:20" x14ac:dyDescent="0.25">
      <c r="A62" s="16" t="s">
        <v>10</v>
      </c>
      <c r="B62" s="16" t="s">
        <v>11</v>
      </c>
      <c r="C62" s="17">
        <v>100000</v>
      </c>
      <c r="D62" s="17">
        <v>100000</v>
      </c>
      <c r="E62" s="17">
        <v>100000</v>
      </c>
      <c r="F62" s="17">
        <f>AVERAGE(Table16711[[#This Row],[Teste 1]:[Teste 3]])</f>
        <v>100000</v>
      </c>
      <c r="G62" s="16"/>
      <c r="H62" s="16" t="s">
        <v>10</v>
      </c>
      <c r="I62" s="16" t="s">
        <v>11</v>
      </c>
      <c r="J62" s="17">
        <v>100000</v>
      </c>
      <c r="K62" s="17">
        <v>100000</v>
      </c>
      <c r="L62" s="17">
        <v>100000</v>
      </c>
      <c r="M62" s="17">
        <f>AVERAGE(Table1671170[[#This Row],[Teste 1]:[Teste 3]])</f>
        <v>100000</v>
      </c>
      <c r="N62" s="16"/>
      <c r="O62" s="16" t="s">
        <v>10</v>
      </c>
      <c r="P62" s="16" t="s">
        <v>11</v>
      </c>
      <c r="Q62" s="17">
        <v>100000</v>
      </c>
      <c r="R62" s="17">
        <v>100000</v>
      </c>
      <c r="S62" s="17">
        <v>100000</v>
      </c>
      <c r="T62" s="17">
        <f>AVERAGE(Table1671182[[#This Row],[Teste 1]:[Teste 3]])</f>
        <v>100000</v>
      </c>
    </row>
    <row r="63" spans="1:20" x14ac:dyDescent="0.25">
      <c r="A63" s="16"/>
      <c r="B63" s="16"/>
      <c r="C63" s="17"/>
      <c r="D63" s="17"/>
      <c r="E63" s="17"/>
      <c r="F63" s="17"/>
      <c r="G63" s="16"/>
      <c r="H63" s="16"/>
      <c r="I63" s="16"/>
      <c r="J63" s="17"/>
      <c r="K63" s="17"/>
      <c r="L63" s="17"/>
      <c r="M63" s="17"/>
      <c r="N63" s="16"/>
      <c r="O63" s="16"/>
      <c r="P63" s="16"/>
      <c r="Q63" s="17"/>
      <c r="R63" s="17"/>
      <c r="S63" s="17"/>
      <c r="T63" s="17"/>
    </row>
    <row r="64" spans="1:20" x14ac:dyDescent="0.25">
      <c r="A64" s="16"/>
      <c r="B64" s="16"/>
      <c r="C64" s="17"/>
      <c r="D64" s="17"/>
      <c r="E64" s="17"/>
      <c r="F64" s="17"/>
      <c r="G64" s="16"/>
      <c r="H64" s="16"/>
      <c r="I64" s="16"/>
      <c r="J64" s="17"/>
      <c r="K64" s="17"/>
      <c r="L64" s="17"/>
      <c r="M64" s="17"/>
      <c r="N64" s="16"/>
      <c r="O64" s="16"/>
      <c r="P64" s="16"/>
      <c r="Q64" s="17"/>
      <c r="R64" s="17"/>
      <c r="S64" s="17"/>
      <c r="T64" s="17"/>
    </row>
    <row r="65" spans="1:20" x14ac:dyDescent="0.25">
      <c r="A65" s="16"/>
      <c r="B65" s="16"/>
      <c r="C65" s="17"/>
      <c r="D65" s="17"/>
      <c r="E65" s="17"/>
      <c r="F65" s="17"/>
      <c r="G65" s="16"/>
      <c r="H65" s="16"/>
      <c r="I65" s="16"/>
      <c r="J65" s="17"/>
      <c r="K65" s="17"/>
      <c r="L65" s="17"/>
      <c r="M65" s="17"/>
      <c r="N65" s="16"/>
      <c r="O65" s="16"/>
      <c r="P65" s="16"/>
      <c r="Q65" s="17"/>
      <c r="R65" s="17"/>
      <c r="S65" s="17"/>
      <c r="T65" s="17"/>
    </row>
    <row r="66" spans="1:20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 ht="15.75" x14ac:dyDescent="0.25">
      <c r="A68" s="21" t="s">
        <v>60</v>
      </c>
      <c r="B68" s="16"/>
      <c r="C68" s="16"/>
      <c r="D68" s="16"/>
      <c r="E68" s="16"/>
      <c r="F68" s="16"/>
      <c r="G68" s="16"/>
      <c r="H68" s="21" t="s">
        <v>60</v>
      </c>
      <c r="I68" s="16"/>
      <c r="J68" s="16"/>
      <c r="K68" s="16"/>
      <c r="L68" s="16"/>
      <c r="M68" s="16"/>
      <c r="N68" s="16"/>
      <c r="O68" s="21" t="s">
        <v>60</v>
      </c>
      <c r="P68" s="16"/>
      <c r="Q68" s="16"/>
      <c r="R68" s="16"/>
      <c r="S68" s="16"/>
      <c r="T68" s="16"/>
    </row>
    <row r="69" spans="1:20" x14ac:dyDescent="0.25">
      <c r="A69" s="16" t="s">
        <v>75</v>
      </c>
      <c r="B69" s="16"/>
      <c r="C69" s="16"/>
      <c r="D69" s="16"/>
      <c r="E69" s="16"/>
      <c r="F69" s="16"/>
      <c r="G69" s="16"/>
      <c r="H69" s="16" t="s">
        <v>75</v>
      </c>
      <c r="I69" s="16"/>
      <c r="J69" s="16"/>
      <c r="K69" s="16"/>
      <c r="L69" s="16"/>
      <c r="M69" s="16"/>
      <c r="N69" s="16"/>
      <c r="O69" s="16" t="s">
        <v>75</v>
      </c>
      <c r="P69" s="16"/>
      <c r="Q69" s="16"/>
      <c r="R69" s="16"/>
      <c r="S69" s="16"/>
      <c r="T69" s="16"/>
    </row>
    <row r="70" spans="1:20" x14ac:dyDescent="0.25">
      <c r="A70" s="16" t="s">
        <v>59</v>
      </c>
      <c r="B70" s="16" t="s">
        <v>60</v>
      </c>
      <c r="C70" s="16" t="s">
        <v>82</v>
      </c>
      <c r="D70" s="16" t="s">
        <v>64</v>
      </c>
      <c r="E70" s="16" t="s">
        <v>63</v>
      </c>
      <c r="F70" s="16" t="s">
        <v>18</v>
      </c>
      <c r="G70" s="16"/>
      <c r="H70" s="16" t="s">
        <v>12</v>
      </c>
      <c r="I70" s="16" t="s">
        <v>60</v>
      </c>
      <c r="J70" s="16" t="s">
        <v>82</v>
      </c>
      <c r="K70" s="16" t="s">
        <v>64</v>
      </c>
      <c r="L70" s="16" t="s">
        <v>63</v>
      </c>
      <c r="M70" s="16" t="s">
        <v>18</v>
      </c>
      <c r="N70" s="16"/>
      <c r="O70" s="16" t="s">
        <v>13</v>
      </c>
      <c r="P70" s="16" t="s">
        <v>60</v>
      </c>
      <c r="Q70" s="16" t="s">
        <v>82</v>
      </c>
      <c r="R70" s="16" t="s">
        <v>64</v>
      </c>
      <c r="S70" s="16" t="s">
        <v>63</v>
      </c>
      <c r="T70" s="16" t="s">
        <v>18</v>
      </c>
    </row>
    <row r="71" spans="1:20" x14ac:dyDescent="0.25">
      <c r="A71" s="16" t="s">
        <v>0</v>
      </c>
      <c r="B71" s="16" t="s">
        <v>1</v>
      </c>
      <c r="C71" s="17">
        <v>426878</v>
      </c>
      <c r="D71" s="17">
        <v>435326</v>
      </c>
      <c r="E71" s="17">
        <v>429094</v>
      </c>
      <c r="F71" s="17">
        <f>AVERAGE(Table1612[[#This Row],[Teste 1]:[Teste 3]])</f>
        <v>430432.66666666669</v>
      </c>
      <c r="G71" s="16"/>
      <c r="H71" s="16" t="s">
        <v>0</v>
      </c>
      <c r="I71" s="16" t="s">
        <v>1</v>
      </c>
      <c r="J71" s="17">
        <v>560476</v>
      </c>
      <c r="K71" s="17">
        <v>559562</v>
      </c>
      <c r="L71" s="17">
        <v>559128</v>
      </c>
      <c r="M71" s="17">
        <f>AVERAGE(Table161271[[#This Row],[Teste 1]:[Teste 3]])</f>
        <v>559722</v>
      </c>
      <c r="N71" s="16"/>
      <c r="O71" s="16" t="s">
        <v>0</v>
      </c>
      <c r="P71" s="16" t="s">
        <v>1</v>
      </c>
      <c r="Q71" s="17">
        <v>277774</v>
      </c>
      <c r="R71" s="17">
        <v>265817</v>
      </c>
      <c r="S71" s="17">
        <v>262360</v>
      </c>
      <c r="T71" s="17">
        <f>AVERAGE(Table161283[[#This Row],[Teste 1]:[Teste 3]])</f>
        <v>268650.33333333331</v>
      </c>
    </row>
    <row r="72" spans="1:20" x14ac:dyDescent="0.25">
      <c r="A72" s="16" t="s">
        <v>0</v>
      </c>
      <c r="B72" s="16" t="s">
        <v>2</v>
      </c>
      <c r="C72" s="17">
        <v>2342.5896860461298</v>
      </c>
      <c r="D72" s="17">
        <v>2297.1290481156602</v>
      </c>
      <c r="E72" s="17">
        <v>2330.4916871361502</v>
      </c>
      <c r="F72" s="17">
        <f>AVERAGE(Table1612[[#This Row],[Teste 1]:[Teste 3]])</f>
        <v>2323.4034737659799</v>
      </c>
      <c r="G72" s="16"/>
      <c r="H72" s="16" t="s">
        <v>0</v>
      </c>
      <c r="I72" s="16" t="s">
        <v>2</v>
      </c>
      <c r="J72" s="17">
        <v>1596.02</v>
      </c>
      <c r="K72" s="17">
        <v>1695.9149</v>
      </c>
      <c r="L72" s="17">
        <v>1826.24</v>
      </c>
      <c r="M72" s="17">
        <f>AVERAGE(Table161271[[#This Row],[Teste 1]:[Teste 3]])</f>
        <v>1706.0582999999999</v>
      </c>
      <c r="N72" s="16"/>
      <c r="O72" s="16" t="s">
        <v>0</v>
      </c>
      <c r="P72" s="16" t="s">
        <v>2</v>
      </c>
      <c r="Q72" s="17">
        <v>3600.0489606658598</v>
      </c>
      <c r="R72" s="17">
        <v>3694</v>
      </c>
      <c r="S72" s="17">
        <v>3811.5566397316602</v>
      </c>
      <c r="T72" s="17">
        <f>AVERAGE(Table161283[[#This Row],[Teste 1]:[Teste 3]])</f>
        <v>3701.8685334658398</v>
      </c>
    </row>
    <row r="73" spans="1:20" x14ac:dyDescent="0.25">
      <c r="A73" s="16" t="s">
        <v>3</v>
      </c>
      <c r="B73" s="16" t="s">
        <v>4</v>
      </c>
      <c r="C73" s="17">
        <v>1</v>
      </c>
      <c r="D73" s="17">
        <v>1</v>
      </c>
      <c r="E73" s="17">
        <v>1</v>
      </c>
      <c r="F73" s="17">
        <f>AVERAGE(Table1612[[#This Row],[Teste 1]:[Teste 3]])</f>
        <v>1</v>
      </c>
      <c r="G73" s="16"/>
      <c r="H73" s="16" t="s">
        <v>3</v>
      </c>
      <c r="I73" s="16" t="s">
        <v>4</v>
      </c>
      <c r="J73" s="17">
        <v>1</v>
      </c>
      <c r="K73" s="17">
        <v>1</v>
      </c>
      <c r="L73" s="17">
        <v>1</v>
      </c>
      <c r="M73" s="17">
        <f>AVERAGE(Table161271[[#This Row],[Teste 1]:[Teste 3]])</f>
        <v>1</v>
      </c>
      <c r="N73" s="16"/>
      <c r="O73" s="16" t="s">
        <v>3</v>
      </c>
      <c r="P73" s="16" t="s">
        <v>4</v>
      </c>
      <c r="Q73" s="17">
        <v>1</v>
      </c>
      <c r="R73" s="17">
        <v>1</v>
      </c>
      <c r="S73" s="17">
        <v>1</v>
      </c>
      <c r="T73" s="17">
        <f>AVERAGE(Table161283[[#This Row],[Teste 1]:[Teste 3]])</f>
        <v>1</v>
      </c>
    </row>
    <row r="74" spans="1:20" x14ac:dyDescent="0.25">
      <c r="A74" s="16" t="s">
        <v>3</v>
      </c>
      <c r="B74" s="16" t="s">
        <v>5</v>
      </c>
      <c r="C74" s="17">
        <v>2</v>
      </c>
      <c r="D74" s="17">
        <v>2</v>
      </c>
      <c r="E74" s="17">
        <v>2</v>
      </c>
      <c r="F74" s="17">
        <f>AVERAGE(Table1612[[#This Row],[Teste 1]:[Teste 3]])</f>
        <v>2</v>
      </c>
      <c r="G74" s="16"/>
      <c r="H74" s="16" t="s">
        <v>3</v>
      </c>
      <c r="I74" s="16" t="s">
        <v>5</v>
      </c>
      <c r="J74" s="17">
        <v>1</v>
      </c>
      <c r="K74" s="17">
        <v>1</v>
      </c>
      <c r="L74" s="17">
        <v>1</v>
      </c>
      <c r="M74" s="17">
        <f>AVERAGE(Table161271[[#This Row],[Teste 1]:[Teste 3]])</f>
        <v>1</v>
      </c>
      <c r="N74" s="16"/>
      <c r="O74" s="16" t="s">
        <v>3</v>
      </c>
      <c r="P74" s="16" t="s">
        <v>5</v>
      </c>
      <c r="Q74" s="17">
        <v>2703</v>
      </c>
      <c r="R74" s="17">
        <v>2713</v>
      </c>
      <c r="S74" s="17">
        <v>5450</v>
      </c>
      <c r="T74" s="17">
        <f>AVERAGE(Table161283[[#This Row],[Teste 1]:[Teste 3]])</f>
        <v>3622</v>
      </c>
    </row>
    <row r="75" spans="1:20" x14ac:dyDescent="0.25">
      <c r="A75" s="16" t="s">
        <v>3</v>
      </c>
      <c r="B75" s="16" t="s">
        <v>6</v>
      </c>
      <c r="C75" s="17">
        <v>2</v>
      </c>
      <c r="D75" s="17">
        <v>2</v>
      </c>
      <c r="E75" s="17">
        <v>2</v>
      </c>
      <c r="F75" s="17">
        <f>AVERAGE(Table1612[[#This Row],[Teste 1]:[Teste 3]])</f>
        <v>2</v>
      </c>
      <c r="G75" s="16"/>
      <c r="H75" s="16" t="s">
        <v>3</v>
      </c>
      <c r="I75" s="16" t="s">
        <v>6</v>
      </c>
      <c r="J75" s="17">
        <v>1</v>
      </c>
      <c r="K75" s="17">
        <v>1</v>
      </c>
      <c r="L75" s="17">
        <v>1</v>
      </c>
      <c r="M75" s="17">
        <f>AVERAGE(Table161271[[#This Row],[Teste 1]:[Teste 3]])</f>
        <v>1</v>
      </c>
      <c r="N75" s="16"/>
      <c r="O75" s="16" t="s">
        <v>3</v>
      </c>
      <c r="P75" s="16" t="s">
        <v>6</v>
      </c>
      <c r="Q75" s="17">
        <v>2703</v>
      </c>
      <c r="R75" s="17">
        <v>2713</v>
      </c>
      <c r="S75" s="17">
        <v>5450</v>
      </c>
      <c r="T75" s="17">
        <f>AVERAGE(Table161283[[#This Row],[Teste 1]:[Teste 3]])</f>
        <v>3622</v>
      </c>
    </row>
    <row r="76" spans="1:20" x14ac:dyDescent="0.25">
      <c r="A76" s="16" t="s">
        <v>3</v>
      </c>
      <c r="B76" s="16" t="s">
        <v>7</v>
      </c>
      <c r="C76" s="17">
        <v>2</v>
      </c>
      <c r="D76" s="17">
        <v>2</v>
      </c>
      <c r="E76" s="17">
        <v>2</v>
      </c>
      <c r="F76" s="17">
        <f>AVERAGE(Table1612[[#This Row],[Teste 1]:[Teste 3]])</f>
        <v>2</v>
      </c>
      <c r="G76" s="16"/>
      <c r="H76" s="16" t="s">
        <v>3</v>
      </c>
      <c r="I76" s="16" t="s">
        <v>7</v>
      </c>
      <c r="J76" s="17">
        <v>1</v>
      </c>
      <c r="K76" s="17">
        <v>1</v>
      </c>
      <c r="L76" s="17">
        <v>1</v>
      </c>
      <c r="M76" s="17">
        <f>AVERAGE(Table161271[[#This Row],[Teste 1]:[Teste 3]])</f>
        <v>1</v>
      </c>
      <c r="N76" s="16"/>
      <c r="O76" s="16" t="s">
        <v>3</v>
      </c>
      <c r="P76" s="16" t="s">
        <v>7</v>
      </c>
      <c r="Q76" s="17">
        <v>2703</v>
      </c>
      <c r="R76" s="17">
        <v>2713</v>
      </c>
      <c r="S76" s="17">
        <v>5450</v>
      </c>
      <c r="T76" s="17">
        <f>AVERAGE(Table161283[[#This Row],[Teste 1]:[Teste 3]])</f>
        <v>3622</v>
      </c>
    </row>
    <row r="77" spans="1:20" x14ac:dyDescent="0.25">
      <c r="A77" s="16" t="s">
        <v>3</v>
      </c>
      <c r="B77" s="16" t="s">
        <v>8</v>
      </c>
      <c r="C77" s="17">
        <v>2</v>
      </c>
      <c r="D77" s="17">
        <v>2</v>
      </c>
      <c r="E77" s="17">
        <v>2</v>
      </c>
      <c r="F77" s="17">
        <f>AVERAGE(Table1612[[#This Row],[Teste 1]:[Teste 3]])</f>
        <v>2</v>
      </c>
      <c r="G77" s="16"/>
      <c r="H77" s="16" t="s">
        <v>3</v>
      </c>
      <c r="I77" s="16" t="s">
        <v>8</v>
      </c>
      <c r="J77" s="17">
        <v>1</v>
      </c>
      <c r="K77" s="17">
        <v>1</v>
      </c>
      <c r="L77" s="17">
        <v>1</v>
      </c>
      <c r="M77" s="17">
        <f>AVERAGE(Table161271[[#This Row],[Teste 1]:[Teste 3]])</f>
        <v>1</v>
      </c>
      <c r="N77" s="16"/>
      <c r="O77" s="16" t="s">
        <v>3</v>
      </c>
      <c r="P77" s="16" t="s">
        <v>8</v>
      </c>
      <c r="Q77" s="17">
        <v>2703</v>
      </c>
      <c r="R77" s="17">
        <v>2713</v>
      </c>
      <c r="S77" s="17">
        <v>5450</v>
      </c>
      <c r="T77" s="17">
        <f>AVERAGE(Table161283[[#This Row],[Teste 1]:[Teste 3]])</f>
        <v>3622</v>
      </c>
    </row>
    <row r="78" spans="1:20" x14ac:dyDescent="0.25">
      <c r="A78" s="16" t="s">
        <v>3</v>
      </c>
      <c r="B78" s="16" t="s">
        <v>9</v>
      </c>
      <c r="C78" s="17">
        <v>2</v>
      </c>
      <c r="D78" s="17">
        <v>2</v>
      </c>
      <c r="E78" s="17">
        <v>2</v>
      </c>
      <c r="F78" s="17">
        <f>AVERAGE(Table1612[[#This Row],[Teste 1]:[Teste 3]])</f>
        <v>2</v>
      </c>
      <c r="G78" s="16"/>
      <c r="H78" s="16" t="s">
        <v>3</v>
      </c>
      <c r="I78" s="16" t="s">
        <v>9</v>
      </c>
      <c r="J78" s="17">
        <v>1</v>
      </c>
      <c r="K78" s="17">
        <v>1</v>
      </c>
      <c r="L78" s="17">
        <v>1</v>
      </c>
      <c r="M78" s="17">
        <f>AVERAGE(Table161271[[#This Row],[Teste 1]:[Teste 3]])</f>
        <v>1</v>
      </c>
      <c r="N78" s="16"/>
      <c r="O78" s="16" t="s">
        <v>3</v>
      </c>
      <c r="P78" s="16" t="s">
        <v>9</v>
      </c>
      <c r="Q78" s="17">
        <v>2703</v>
      </c>
      <c r="R78" s="17">
        <v>2713</v>
      </c>
      <c r="S78" s="17">
        <v>5450</v>
      </c>
      <c r="T78" s="17">
        <f>AVERAGE(Table161283[[#This Row],[Teste 1]:[Teste 3]])</f>
        <v>3622</v>
      </c>
    </row>
    <row r="79" spans="1:20" x14ac:dyDescent="0.25">
      <c r="A79" s="16" t="s">
        <v>10</v>
      </c>
      <c r="B79" s="16" t="s">
        <v>4</v>
      </c>
      <c r="C79" s="17">
        <v>1000000</v>
      </c>
      <c r="D79" s="17">
        <v>1000000</v>
      </c>
      <c r="E79" s="17">
        <v>1000000</v>
      </c>
      <c r="F79" s="17">
        <f>AVERAGE(Table1612[[#This Row],[Teste 1]:[Teste 3]])</f>
        <v>1000000</v>
      </c>
      <c r="G79" s="16"/>
      <c r="H79" s="16" t="s">
        <v>10</v>
      </c>
      <c r="I79" s="16" t="s">
        <v>4</v>
      </c>
      <c r="J79" s="17">
        <v>1000000</v>
      </c>
      <c r="K79" s="17">
        <v>1000000</v>
      </c>
      <c r="L79" s="17">
        <v>1000000</v>
      </c>
      <c r="M79" s="17">
        <f>AVERAGE(Table161271[[#This Row],[Teste 1]:[Teste 3]])</f>
        <v>1000000</v>
      </c>
      <c r="N79" s="16"/>
      <c r="O79" s="16" t="s">
        <v>10</v>
      </c>
      <c r="P79" s="16" t="s">
        <v>4</v>
      </c>
      <c r="Q79" s="17">
        <v>1000000</v>
      </c>
      <c r="R79" s="17">
        <v>1000000</v>
      </c>
      <c r="S79" s="17">
        <v>1000000</v>
      </c>
      <c r="T79" s="17">
        <f>AVERAGE(Table161283[[#This Row],[Teste 1]:[Teste 3]])</f>
        <v>1000000</v>
      </c>
    </row>
    <row r="80" spans="1:20" x14ac:dyDescent="0.25">
      <c r="A80" s="16" t="s">
        <v>10</v>
      </c>
      <c r="B80" s="16" t="s">
        <v>5</v>
      </c>
      <c r="C80" s="17">
        <v>420.14120000000003</v>
      </c>
      <c r="D80" s="17">
        <v>429.01757900000001</v>
      </c>
      <c r="E80" s="17">
        <v>422.90718900000002</v>
      </c>
      <c r="F80" s="17">
        <f>AVERAGE(Table1612[[#This Row],[Teste 1]:[Teste 3]])</f>
        <v>424.02198933333335</v>
      </c>
      <c r="G80" s="16"/>
      <c r="H80" s="16" t="s">
        <v>10</v>
      </c>
      <c r="I80" s="16" t="s">
        <v>5</v>
      </c>
      <c r="J80" s="17">
        <v>552.45000000000005</v>
      </c>
      <c r="K80" s="17">
        <v>523.07000000000005</v>
      </c>
      <c r="L80" s="17">
        <v>501.56</v>
      </c>
      <c r="M80" s="17">
        <f>AVERAGE(Table161271[[#This Row],[Teste 1]:[Teste 3]])</f>
        <v>525.69333333333327</v>
      </c>
      <c r="N80" s="16"/>
      <c r="O80" s="16" t="s">
        <v>10</v>
      </c>
      <c r="P80" s="16" t="s">
        <v>5</v>
      </c>
      <c r="Q80" s="17">
        <v>273.99618600000002</v>
      </c>
      <c r="R80" s="17">
        <v>262.084743</v>
      </c>
      <c r="S80" s="17">
        <v>258.75405999999998</v>
      </c>
      <c r="T80" s="17">
        <f>AVERAGE(Table161283[[#This Row],[Teste 1]:[Teste 3]])</f>
        <v>264.94499633333334</v>
      </c>
    </row>
    <row r="81" spans="1:20" x14ac:dyDescent="0.25">
      <c r="A81" s="16" t="s">
        <v>10</v>
      </c>
      <c r="B81" s="16" t="s">
        <v>6</v>
      </c>
      <c r="C81" s="17">
        <v>230</v>
      </c>
      <c r="D81" s="17">
        <v>223</v>
      </c>
      <c r="E81" s="17">
        <v>228</v>
      </c>
      <c r="F81" s="17">
        <f>AVERAGE(Table1612[[#This Row],[Teste 1]:[Teste 3]])</f>
        <v>227</v>
      </c>
      <c r="G81" s="16"/>
      <c r="H81" s="16" t="s">
        <v>10</v>
      </c>
      <c r="I81" s="16" t="s">
        <v>6</v>
      </c>
      <c r="J81" s="17">
        <v>282</v>
      </c>
      <c r="K81" s="17">
        <v>281</v>
      </c>
      <c r="L81" s="17">
        <v>279</v>
      </c>
      <c r="M81" s="17">
        <f>AVERAGE(Table161271[[#This Row],[Teste 1]:[Teste 3]])</f>
        <v>280.66666666666669</v>
      </c>
      <c r="N81" s="16"/>
      <c r="O81" s="16" t="s">
        <v>10</v>
      </c>
      <c r="P81" s="16" t="s">
        <v>6</v>
      </c>
      <c r="Q81" s="17">
        <v>177</v>
      </c>
      <c r="R81" s="17">
        <v>181</v>
      </c>
      <c r="S81" s="17">
        <v>177</v>
      </c>
      <c r="T81" s="17">
        <f>AVERAGE(Table161283[[#This Row],[Teste 1]:[Teste 3]])</f>
        <v>178.33333333333334</v>
      </c>
    </row>
    <row r="82" spans="1:20" x14ac:dyDescent="0.25">
      <c r="A82" s="16" t="s">
        <v>10</v>
      </c>
      <c r="B82" s="16" t="s">
        <v>7</v>
      </c>
      <c r="C82" s="17">
        <v>24687</v>
      </c>
      <c r="D82" s="17">
        <v>24271</v>
      </c>
      <c r="E82" s="17">
        <v>42719</v>
      </c>
      <c r="F82" s="17">
        <f>AVERAGE(Table1612[[#This Row],[Teste 1]:[Teste 3]])</f>
        <v>30559</v>
      </c>
      <c r="G82" s="16"/>
      <c r="H82" s="16" t="s">
        <v>10</v>
      </c>
      <c r="I82" s="16" t="s">
        <v>7</v>
      </c>
      <c r="J82" s="17">
        <v>36912</v>
      </c>
      <c r="K82" s="17">
        <v>37696</v>
      </c>
      <c r="L82" s="17">
        <v>38615</v>
      </c>
      <c r="M82" s="17">
        <f>AVERAGE(Table161271[[#This Row],[Teste 1]:[Teste 3]])</f>
        <v>37741</v>
      </c>
      <c r="N82" s="16"/>
      <c r="O82" s="16" t="s">
        <v>10</v>
      </c>
      <c r="P82" s="16" t="s">
        <v>7</v>
      </c>
      <c r="Q82" s="17">
        <v>158719</v>
      </c>
      <c r="R82" s="17">
        <v>74495</v>
      </c>
      <c r="S82" s="17">
        <v>360191</v>
      </c>
      <c r="T82" s="17">
        <f>AVERAGE(Table161283[[#This Row],[Teste 1]:[Teste 3]])</f>
        <v>197801.66666666666</v>
      </c>
    </row>
    <row r="83" spans="1:20" x14ac:dyDescent="0.25">
      <c r="A83" s="16" t="s">
        <v>10</v>
      </c>
      <c r="B83" s="16" t="s">
        <v>8</v>
      </c>
      <c r="C83" s="17">
        <v>604</v>
      </c>
      <c r="D83" s="17">
        <v>608</v>
      </c>
      <c r="E83" s="17">
        <v>611</v>
      </c>
      <c r="F83" s="17">
        <f>AVERAGE(Table1612[[#This Row],[Teste 1]:[Teste 3]])</f>
        <v>607.66666666666663</v>
      </c>
      <c r="G83" s="16"/>
      <c r="H83" s="16" t="s">
        <v>10</v>
      </c>
      <c r="I83" s="16" t="s">
        <v>8</v>
      </c>
      <c r="J83" s="17">
        <v>724</v>
      </c>
      <c r="K83" s="17">
        <v>749</v>
      </c>
      <c r="L83" s="17">
        <v>769</v>
      </c>
      <c r="M83" s="17">
        <f>AVERAGE(Table161271[[#This Row],[Teste 1]:[Teste 3]])</f>
        <v>747.33333333333337</v>
      </c>
      <c r="N83" s="16"/>
      <c r="O83" s="16" t="s">
        <v>10</v>
      </c>
      <c r="P83" s="16" t="s">
        <v>8</v>
      </c>
      <c r="Q83" s="17">
        <v>383</v>
      </c>
      <c r="R83" s="17">
        <v>379</v>
      </c>
      <c r="S83" s="17">
        <v>371</v>
      </c>
      <c r="T83" s="17">
        <f>AVERAGE(Table161283[[#This Row],[Teste 1]:[Teste 3]])</f>
        <v>377.66666666666669</v>
      </c>
    </row>
    <row r="84" spans="1:20" x14ac:dyDescent="0.25">
      <c r="A84" s="16" t="s">
        <v>10</v>
      </c>
      <c r="B84" s="16" t="s">
        <v>9</v>
      </c>
      <c r="C84" s="17">
        <v>1042</v>
      </c>
      <c r="D84" s="17">
        <v>1039</v>
      </c>
      <c r="E84" s="17">
        <v>1071</v>
      </c>
      <c r="F84" s="17">
        <f>AVERAGE(Table1612[[#This Row],[Teste 1]:[Teste 3]])</f>
        <v>1050.6666666666667</v>
      </c>
      <c r="G84" s="16"/>
      <c r="H84" s="16" t="s">
        <v>10</v>
      </c>
      <c r="I84" s="16" t="s">
        <v>9</v>
      </c>
      <c r="J84" s="17">
        <v>1523</v>
      </c>
      <c r="K84" s="17">
        <v>1296</v>
      </c>
      <c r="L84" s="17">
        <v>1299</v>
      </c>
      <c r="M84" s="17">
        <f>AVERAGE(Table161271[[#This Row],[Teste 1]:[Teste 3]])</f>
        <v>1372.6666666666667</v>
      </c>
      <c r="N84" s="16"/>
      <c r="O84" s="16" t="s">
        <v>10</v>
      </c>
      <c r="P84" s="16" t="s">
        <v>9</v>
      </c>
      <c r="Q84" s="17">
        <v>581</v>
      </c>
      <c r="R84" s="17">
        <v>573</v>
      </c>
      <c r="S84" s="17">
        <v>567</v>
      </c>
      <c r="T84" s="17">
        <f>AVERAGE(Table161283[[#This Row],[Teste 1]:[Teste 3]])</f>
        <v>573.66666666666663</v>
      </c>
    </row>
    <row r="85" spans="1:20" x14ac:dyDescent="0.25">
      <c r="A85" s="16" t="s">
        <v>10</v>
      </c>
      <c r="B85" s="16" t="s">
        <v>11</v>
      </c>
      <c r="C85" s="17">
        <v>1000000</v>
      </c>
      <c r="D85" s="17">
        <v>1000000</v>
      </c>
      <c r="E85" s="17">
        <v>1000000</v>
      </c>
      <c r="F85" s="17">
        <f>AVERAGE(Table1612[[#This Row],[Teste 1]:[Teste 3]])</f>
        <v>1000000</v>
      </c>
      <c r="G85" s="16"/>
      <c r="H85" s="16" t="s">
        <v>10</v>
      </c>
      <c r="I85" s="16" t="s">
        <v>11</v>
      </c>
      <c r="J85" s="17">
        <v>1000000</v>
      </c>
      <c r="K85" s="17">
        <v>1000000</v>
      </c>
      <c r="L85" s="17">
        <v>1000000</v>
      </c>
      <c r="M85" s="17">
        <f>AVERAGE(Table161271[[#This Row],[Teste 1]:[Teste 3]])</f>
        <v>1000000</v>
      </c>
      <c r="N85" s="16"/>
      <c r="O85" s="16" t="s">
        <v>10</v>
      </c>
      <c r="P85" s="16" t="s">
        <v>11</v>
      </c>
      <c r="Q85" s="17">
        <v>1000000</v>
      </c>
      <c r="R85" s="17">
        <v>1000000</v>
      </c>
      <c r="S85" s="17">
        <v>1000000</v>
      </c>
      <c r="T85" s="17">
        <f>AVERAGE(Table161283[[#This Row],[Teste 1]:[Teste 3]])</f>
        <v>1000000</v>
      </c>
    </row>
    <row r="86" spans="1:20" x14ac:dyDescent="0.25">
      <c r="A86" s="16"/>
      <c r="B86" s="16"/>
      <c r="C86" s="17"/>
      <c r="D86" s="17"/>
      <c r="E86" s="17"/>
      <c r="F86" s="17"/>
      <c r="G86" s="16"/>
      <c r="H86" s="16"/>
      <c r="I86" s="16"/>
      <c r="J86" s="17"/>
      <c r="K86" s="17"/>
      <c r="L86" s="17"/>
      <c r="M86" s="17"/>
      <c r="N86" s="16"/>
      <c r="O86" s="16"/>
      <c r="P86" s="16"/>
      <c r="Q86" s="17"/>
      <c r="R86" s="17"/>
      <c r="S86" s="17"/>
      <c r="T86" s="17"/>
    </row>
    <row r="87" spans="1:20" x14ac:dyDescent="0.25">
      <c r="A87" s="16"/>
      <c r="B87" s="16"/>
      <c r="C87" s="17"/>
      <c r="D87" s="17"/>
      <c r="E87" s="17"/>
      <c r="F87" s="17"/>
      <c r="G87" s="16"/>
      <c r="H87" s="16"/>
      <c r="I87" s="16"/>
      <c r="J87" s="17"/>
      <c r="K87" s="17"/>
      <c r="L87" s="17"/>
      <c r="M87" s="17"/>
      <c r="N87" s="16"/>
      <c r="O87" s="16"/>
      <c r="P87" s="16"/>
      <c r="Q87" s="17"/>
      <c r="R87" s="17"/>
      <c r="S87" s="17"/>
      <c r="T87" s="17"/>
    </row>
    <row r="88" spans="1:20" x14ac:dyDescent="0.25">
      <c r="A88" s="16"/>
      <c r="B88" s="16"/>
      <c r="C88" s="17"/>
      <c r="D88" s="17"/>
      <c r="E88" s="17"/>
      <c r="F88" s="17"/>
      <c r="G88" s="16"/>
      <c r="H88" s="16"/>
      <c r="I88" s="16"/>
      <c r="J88" s="17"/>
      <c r="K88" s="17"/>
      <c r="L88" s="17"/>
      <c r="M88" s="17"/>
      <c r="N88" s="16"/>
      <c r="O88" s="16"/>
      <c r="P88" s="16"/>
      <c r="Q88" s="17"/>
      <c r="R88" s="17"/>
      <c r="S88" s="17"/>
      <c r="T88" s="17"/>
    </row>
    <row r="89" spans="1:20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 x14ac:dyDescent="0.25">
      <c r="A90" s="16" t="s">
        <v>76</v>
      </c>
      <c r="B90" s="16"/>
      <c r="C90" s="16"/>
      <c r="D90" s="16"/>
      <c r="E90" s="16"/>
      <c r="F90" s="16"/>
      <c r="G90" s="16"/>
      <c r="H90" s="16" t="s">
        <v>76</v>
      </c>
      <c r="I90" s="16"/>
      <c r="J90" s="16"/>
      <c r="K90" s="16"/>
      <c r="L90" s="16"/>
      <c r="M90" s="16"/>
      <c r="N90" s="16"/>
      <c r="O90" s="16" t="s">
        <v>76</v>
      </c>
      <c r="P90" s="16"/>
      <c r="Q90" s="16"/>
      <c r="R90" s="16"/>
      <c r="S90" s="16"/>
      <c r="T90" s="16"/>
    </row>
    <row r="91" spans="1:20" x14ac:dyDescent="0.25">
      <c r="A91" s="16" t="s">
        <v>59</v>
      </c>
      <c r="B91" s="16" t="s">
        <v>60</v>
      </c>
      <c r="C91" s="16" t="s">
        <v>82</v>
      </c>
      <c r="D91" s="16" t="s">
        <v>64</v>
      </c>
      <c r="E91" s="16" t="s">
        <v>63</v>
      </c>
      <c r="F91" s="16" t="s">
        <v>18</v>
      </c>
      <c r="G91" s="16"/>
      <c r="H91" s="16" t="s">
        <v>12</v>
      </c>
      <c r="I91" s="16" t="s">
        <v>60</v>
      </c>
      <c r="J91" s="16" t="s">
        <v>82</v>
      </c>
      <c r="K91" s="16" t="s">
        <v>64</v>
      </c>
      <c r="L91" s="16" t="s">
        <v>63</v>
      </c>
      <c r="M91" s="16" t="s">
        <v>18</v>
      </c>
      <c r="N91" s="16"/>
      <c r="O91" s="16" t="s">
        <v>13</v>
      </c>
      <c r="P91" s="16" t="s">
        <v>60</v>
      </c>
      <c r="Q91" s="16" t="s">
        <v>82</v>
      </c>
      <c r="R91" s="16" t="s">
        <v>64</v>
      </c>
      <c r="S91" s="16" t="s">
        <v>63</v>
      </c>
      <c r="T91" s="16" t="s">
        <v>18</v>
      </c>
    </row>
    <row r="92" spans="1:20" x14ac:dyDescent="0.25">
      <c r="A92" s="16" t="s">
        <v>0</v>
      </c>
      <c r="B92" s="16" t="s">
        <v>1</v>
      </c>
      <c r="C92" s="17">
        <v>154722</v>
      </c>
      <c r="D92" s="17">
        <v>173093</v>
      </c>
      <c r="E92" s="17">
        <v>157438</v>
      </c>
      <c r="F92" s="17">
        <f>AVERAGE(Table16713[[#This Row],[Teste 1]:[Teste 3]])</f>
        <v>161751</v>
      </c>
      <c r="G92" s="16"/>
      <c r="H92" s="16" t="s">
        <v>0</v>
      </c>
      <c r="I92" s="16" t="s">
        <v>1</v>
      </c>
      <c r="J92" s="17">
        <v>210356</v>
      </c>
      <c r="K92" s="17">
        <v>210276</v>
      </c>
      <c r="L92" s="17">
        <v>210178</v>
      </c>
      <c r="M92" s="17">
        <f>AVERAGE(Table1671372[[#This Row],[Teste 1]:[Teste 3]])</f>
        <v>210270</v>
      </c>
      <c r="N92" s="16"/>
      <c r="O92" s="16" t="s">
        <v>0</v>
      </c>
      <c r="P92" s="16" t="s">
        <v>1</v>
      </c>
      <c r="Q92" s="17">
        <v>122172</v>
      </c>
      <c r="R92" s="17">
        <v>123917</v>
      </c>
      <c r="S92" s="17">
        <v>112558</v>
      </c>
      <c r="T92" s="17">
        <f>AVERAGE(Table1671384[[#This Row],[Teste 1]:[Teste 3]])</f>
        <v>119549</v>
      </c>
    </row>
    <row r="93" spans="1:20" x14ac:dyDescent="0.25">
      <c r="A93" s="16" t="s">
        <v>0</v>
      </c>
      <c r="B93" s="16" t="s">
        <v>2</v>
      </c>
      <c r="C93" s="17">
        <v>6463.2049740825396</v>
      </c>
      <c r="D93" s="17">
        <v>5777.2411362677803</v>
      </c>
      <c r="E93" s="17">
        <v>6351.7067035912496</v>
      </c>
      <c r="F93" s="17">
        <f>AVERAGE(Table16713[[#This Row],[Teste 1]:[Teste 3]])</f>
        <v>6197.3842713138556</v>
      </c>
      <c r="G93" s="16"/>
      <c r="H93" s="16" t="s">
        <v>0</v>
      </c>
      <c r="I93" s="16" t="s">
        <v>2</v>
      </c>
      <c r="J93" s="17">
        <v>4662.9849999999997</v>
      </c>
      <c r="K93" s="17">
        <v>4767.2187000000004</v>
      </c>
      <c r="L93" s="17">
        <v>4865.3249999999998</v>
      </c>
      <c r="M93" s="17">
        <f>AVERAGE(Table1671372[[#This Row],[Teste 1]:[Teste 3]])</f>
        <v>4765.1762333333327</v>
      </c>
      <c r="N93" s="16"/>
      <c r="O93" s="16" t="s">
        <v>0</v>
      </c>
      <c r="P93" s="16" t="s">
        <v>2</v>
      </c>
      <c r="Q93" s="17">
        <v>8185.1815473267197</v>
      </c>
      <c r="R93" s="17">
        <v>8069.9177675379397</v>
      </c>
      <c r="S93" s="17">
        <v>8304.5982743533496</v>
      </c>
      <c r="T93" s="17">
        <f>AVERAGE(Table1671384[[#This Row],[Teste 1]:[Teste 3]])</f>
        <v>8186.5658630726693</v>
      </c>
    </row>
    <row r="94" spans="1:20" x14ac:dyDescent="0.25">
      <c r="A94" s="16" t="s">
        <v>3</v>
      </c>
      <c r="B94" s="16" t="s">
        <v>4</v>
      </c>
      <c r="C94" s="17">
        <v>3</v>
      </c>
      <c r="D94" s="17">
        <v>3</v>
      </c>
      <c r="E94" s="17">
        <v>3</v>
      </c>
      <c r="F94" s="17">
        <f>AVERAGE(Table16713[[#This Row],[Teste 1]:[Teste 3]])</f>
        <v>3</v>
      </c>
      <c r="G94" s="16"/>
      <c r="H94" s="16" t="s">
        <v>3</v>
      </c>
      <c r="I94" s="16" t="s">
        <v>4</v>
      </c>
      <c r="J94" s="17">
        <v>3</v>
      </c>
      <c r="K94" s="17">
        <v>3</v>
      </c>
      <c r="L94" s="17">
        <v>3</v>
      </c>
      <c r="M94" s="17">
        <f>AVERAGE(Table1671372[[#This Row],[Teste 1]:[Teste 3]])</f>
        <v>3</v>
      </c>
      <c r="N94" s="16"/>
      <c r="O94" s="16" t="s">
        <v>3</v>
      </c>
      <c r="P94" s="16" t="s">
        <v>4</v>
      </c>
      <c r="Q94" s="17">
        <v>3</v>
      </c>
      <c r="R94" s="17">
        <v>3</v>
      </c>
      <c r="S94" s="17">
        <v>3</v>
      </c>
      <c r="T94" s="17">
        <f>AVERAGE(Table1671384[[#This Row],[Teste 1]:[Teste 3]])</f>
        <v>3</v>
      </c>
    </row>
    <row r="95" spans="1:20" x14ac:dyDescent="0.25">
      <c r="A95" s="16" t="s">
        <v>3</v>
      </c>
      <c r="B95" s="16" t="s">
        <v>5</v>
      </c>
      <c r="C95" s="17">
        <v>3.3333333333333299</v>
      </c>
      <c r="D95" s="17">
        <v>0.66666666666666596</v>
      </c>
      <c r="E95" s="17">
        <v>0.66666666666666596</v>
      </c>
      <c r="F95" s="17">
        <f>AVERAGE(Table16713[[#This Row],[Teste 1]:[Teste 3]])</f>
        <v>1.5555555555555538</v>
      </c>
      <c r="G95" s="16"/>
      <c r="H95" s="16" t="s">
        <v>3</v>
      </c>
      <c r="I95" s="16" t="s">
        <v>5</v>
      </c>
      <c r="J95" s="17">
        <v>2.3332999999999999</v>
      </c>
      <c r="K95" s="17">
        <v>2.3332999999999999</v>
      </c>
      <c r="L95" s="17">
        <v>1.333</v>
      </c>
      <c r="M95" s="17">
        <f>AVERAGE(Table1671372[[#This Row],[Teste 1]:[Teste 3]])</f>
        <v>1.9998666666666667</v>
      </c>
      <c r="N95" s="16"/>
      <c r="O95" s="16" t="s">
        <v>3</v>
      </c>
      <c r="P95" s="16" t="s">
        <v>5</v>
      </c>
      <c r="Q95" s="17">
        <v>676</v>
      </c>
      <c r="R95" s="17">
        <v>716.66666666666595</v>
      </c>
      <c r="S95" s="17">
        <v>1178.3333333333301</v>
      </c>
      <c r="T95" s="17">
        <f>AVERAGE(Table1671384[[#This Row],[Teste 1]:[Teste 3]])</f>
        <v>856.99999999999875</v>
      </c>
    </row>
    <row r="96" spans="1:20" x14ac:dyDescent="0.25">
      <c r="A96" s="16" t="s">
        <v>3</v>
      </c>
      <c r="B96" s="16" t="s">
        <v>6</v>
      </c>
      <c r="C96" s="17">
        <v>0</v>
      </c>
      <c r="D96" s="17">
        <v>0</v>
      </c>
      <c r="E96" s="17">
        <v>0</v>
      </c>
      <c r="F96" s="17">
        <f>AVERAGE(Table16713[[#This Row],[Teste 1]:[Teste 3]])</f>
        <v>0</v>
      </c>
      <c r="G96" s="16"/>
      <c r="H96" s="16" t="s">
        <v>3</v>
      </c>
      <c r="I96" s="16" t="s">
        <v>6</v>
      </c>
      <c r="J96" s="17">
        <v>0</v>
      </c>
      <c r="K96" s="17">
        <v>0</v>
      </c>
      <c r="L96" s="17">
        <v>0</v>
      </c>
      <c r="M96" s="17">
        <f>AVERAGE(Table1671372[[#This Row],[Teste 1]:[Teste 3]])</f>
        <v>0</v>
      </c>
      <c r="N96" s="16"/>
      <c r="O96" s="16" t="s">
        <v>3</v>
      </c>
      <c r="P96" s="16" t="s">
        <v>6</v>
      </c>
      <c r="Q96" s="17">
        <v>1</v>
      </c>
      <c r="R96" s="17">
        <v>1</v>
      </c>
      <c r="S96" s="17">
        <v>2</v>
      </c>
      <c r="T96" s="17">
        <f>AVERAGE(Table1671384[[#This Row],[Teste 1]:[Teste 3]])</f>
        <v>1.3333333333333333</v>
      </c>
    </row>
    <row r="97" spans="1:20" x14ac:dyDescent="0.25">
      <c r="A97" s="16" t="s">
        <v>3</v>
      </c>
      <c r="B97" s="16" t="s">
        <v>7</v>
      </c>
      <c r="C97" s="17">
        <v>9</v>
      </c>
      <c r="D97" s="17">
        <v>2</v>
      </c>
      <c r="E97" s="17">
        <v>2</v>
      </c>
      <c r="F97" s="17">
        <f>AVERAGE(Table16713[[#This Row],[Teste 1]:[Teste 3]])</f>
        <v>4.333333333333333</v>
      </c>
      <c r="G97" s="16"/>
      <c r="H97" s="16" t="s">
        <v>3</v>
      </c>
      <c r="I97" s="16" t="s">
        <v>7</v>
      </c>
      <c r="J97" s="17">
        <v>5</v>
      </c>
      <c r="K97" s="17">
        <v>5</v>
      </c>
      <c r="L97" s="17">
        <v>6</v>
      </c>
      <c r="M97" s="17">
        <f>AVERAGE(Table1671372[[#This Row],[Teste 1]:[Teste 3]])</f>
        <v>5.333333333333333</v>
      </c>
      <c r="N97" s="16"/>
      <c r="O97" s="16" t="s">
        <v>3</v>
      </c>
      <c r="P97" s="16" t="s">
        <v>7</v>
      </c>
      <c r="Q97" s="17">
        <v>2019</v>
      </c>
      <c r="R97" s="17">
        <v>2143</v>
      </c>
      <c r="S97" s="17">
        <v>3521</v>
      </c>
      <c r="T97" s="17">
        <f>AVERAGE(Table1671384[[#This Row],[Teste 1]:[Teste 3]])</f>
        <v>2561</v>
      </c>
    </row>
    <row r="98" spans="1:20" x14ac:dyDescent="0.25">
      <c r="A98" s="16" t="s">
        <v>3</v>
      </c>
      <c r="B98" s="16" t="s">
        <v>8</v>
      </c>
      <c r="C98" s="17">
        <v>9</v>
      </c>
      <c r="D98" s="17">
        <v>2</v>
      </c>
      <c r="E98" s="17">
        <v>2</v>
      </c>
      <c r="F98" s="17">
        <f>AVERAGE(Table16713[[#This Row],[Teste 1]:[Teste 3]])</f>
        <v>4.333333333333333</v>
      </c>
      <c r="G98" s="16"/>
      <c r="H98" s="16" t="s">
        <v>3</v>
      </c>
      <c r="I98" s="16" t="s">
        <v>8</v>
      </c>
      <c r="J98" s="17">
        <v>5</v>
      </c>
      <c r="K98" s="17">
        <v>5</v>
      </c>
      <c r="L98" s="17">
        <v>6</v>
      </c>
      <c r="M98" s="17">
        <f>AVERAGE(Table1671372[[#This Row],[Teste 1]:[Teste 3]])</f>
        <v>5.333333333333333</v>
      </c>
      <c r="N98" s="16"/>
      <c r="O98" s="16" t="s">
        <v>3</v>
      </c>
      <c r="P98" s="16" t="s">
        <v>8</v>
      </c>
      <c r="Q98" s="17">
        <v>2019</v>
      </c>
      <c r="R98" s="17">
        <v>2143</v>
      </c>
      <c r="S98" s="17">
        <v>3521</v>
      </c>
      <c r="T98" s="17">
        <f>AVERAGE(Table1671384[[#This Row],[Teste 1]:[Teste 3]])</f>
        <v>2561</v>
      </c>
    </row>
    <row r="99" spans="1:20" x14ac:dyDescent="0.25">
      <c r="A99" s="16" t="s">
        <v>3</v>
      </c>
      <c r="B99" s="16" t="s">
        <v>9</v>
      </c>
      <c r="C99" s="17">
        <v>9</v>
      </c>
      <c r="D99" s="17">
        <v>2</v>
      </c>
      <c r="E99" s="17">
        <v>2</v>
      </c>
      <c r="F99" s="17">
        <f>AVERAGE(Table16713[[#This Row],[Teste 1]:[Teste 3]])</f>
        <v>4.333333333333333</v>
      </c>
      <c r="G99" s="16"/>
      <c r="H99" s="16" t="s">
        <v>3</v>
      </c>
      <c r="I99" s="16" t="s">
        <v>9</v>
      </c>
      <c r="J99" s="17">
        <v>5</v>
      </c>
      <c r="K99" s="17">
        <v>5</v>
      </c>
      <c r="L99" s="17">
        <v>6</v>
      </c>
      <c r="M99" s="17">
        <f>AVERAGE(Table1671372[[#This Row],[Teste 1]:[Teste 3]])</f>
        <v>5.333333333333333</v>
      </c>
      <c r="N99" s="16"/>
      <c r="O99" s="16" t="s">
        <v>3</v>
      </c>
      <c r="P99" s="16" t="s">
        <v>9</v>
      </c>
      <c r="Q99" s="17">
        <v>2019</v>
      </c>
      <c r="R99" s="17">
        <v>2143</v>
      </c>
      <c r="S99" s="17">
        <v>3521</v>
      </c>
      <c r="T99" s="17">
        <f>AVERAGE(Table1671384[[#This Row],[Teste 1]:[Teste 3]])</f>
        <v>2561</v>
      </c>
    </row>
    <row r="100" spans="1:20" x14ac:dyDescent="0.25">
      <c r="A100" s="16" t="s">
        <v>10</v>
      </c>
      <c r="B100" s="16" t="s">
        <v>4</v>
      </c>
      <c r="C100" s="17">
        <v>1000000</v>
      </c>
      <c r="D100" s="17">
        <v>1000000</v>
      </c>
      <c r="E100" s="17">
        <v>1000000</v>
      </c>
      <c r="F100" s="17">
        <f>AVERAGE(Table16713[[#This Row],[Teste 1]:[Teste 3]])</f>
        <v>1000000</v>
      </c>
      <c r="G100" s="16"/>
      <c r="H100" s="16" t="s">
        <v>10</v>
      </c>
      <c r="I100" s="16" t="s">
        <v>4</v>
      </c>
      <c r="J100" s="17">
        <v>1000000</v>
      </c>
      <c r="K100" s="17">
        <v>1000000</v>
      </c>
      <c r="L100" s="17">
        <v>1000000</v>
      </c>
      <c r="M100" s="17">
        <f>AVERAGE(Table1671372[[#This Row],[Teste 1]:[Teste 3]])</f>
        <v>1000000</v>
      </c>
      <c r="N100" s="16"/>
      <c r="O100" s="16" t="s">
        <v>10</v>
      </c>
      <c r="P100" s="16" t="s">
        <v>4</v>
      </c>
      <c r="Q100" s="17">
        <v>1000000</v>
      </c>
      <c r="R100" s="17">
        <v>1000000</v>
      </c>
      <c r="S100" s="17">
        <v>1000000</v>
      </c>
      <c r="T100" s="17">
        <f>AVERAGE(Table1671384[[#This Row],[Teste 1]:[Teste 3]])</f>
        <v>1000000</v>
      </c>
    </row>
    <row r="101" spans="1:20" x14ac:dyDescent="0.25">
      <c r="A101" s="16" t="s">
        <v>10</v>
      </c>
      <c r="B101" s="16" t="s">
        <v>5</v>
      </c>
      <c r="C101" s="17">
        <v>456.37323500000002</v>
      </c>
      <c r="D101" s="17">
        <v>511.20529099999999</v>
      </c>
      <c r="E101" s="17">
        <v>465.28142100000002</v>
      </c>
      <c r="F101" s="17">
        <f>AVERAGE(Table16713[[#This Row],[Teste 1]:[Teste 3]])</f>
        <v>477.61998233333333</v>
      </c>
      <c r="G101" s="16"/>
      <c r="H101" s="16" t="s">
        <v>10</v>
      </c>
      <c r="I101" s="16" t="s">
        <v>5</v>
      </c>
      <c r="J101" s="17">
        <v>611.08000000000004</v>
      </c>
      <c r="K101" s="17">
        <v>620.90499999999997</v>
      </c>
      <c r="L101" s="17">
        <v>635.44000000000005</v>
      </c>
      <c r="M101" s="17">
        <f>AVERAGE(Table1671372[[#This Row],[Teste 1]:[Teste 3]])</f>
        <v>622.47500000000002</v>
      </c>
      <c r="N101" s="16"/>
      <c r="O101" s="16" t="s">
        <v>10</v>
      </c>
      <c r="P101" s="16" t="s">
        <v>5</v>
      </c>
      <c r="Q101" s="17">
        <v>359.91807499999999</v>
      </c>
      <c r="R101" s="17">
        <v>365.02053899999999</v>
      </c>
      <c r="S101" s="17">
        <v>625.06329800000003</v>
      </c>
      <c r="T101" s="17">
        <f>AVERAGE(Table1671384[[#This Row],[Teste 1]:[Teste 3]])</f>
        <v>450.00063733333332</v>
      </c>
    </row>
    <row r="102" spans="1:20" x14ac:dyDescent="0.25">
      <c r="A102" s="16" t="s">
        <v>10</v>
      </c>
      <c r="B102" s="16" t="s">
        <v>6</v>
      </c>
      <c r="C102" s="17">
        <v>219</v>
      </c>
      <c r="D102" s="17">
        <v>228</v>
      </c>
      <c r="E102" s="17">
        <v>215</v>
      </c>
      <c r="F102" s="17">
        <f>AVERAGE(Table16713[[#This Row],[Teste 1]:[Teste 3]])</f>
        <v>220.66666666666666</v>
      </c>
      <c r="G102" s="16"/>
      <c r="H102" s="16" t="s">
        <v>10</v>
      </c>
      <c r="I102" s="16" t="s">
        <v>6</v>
      </c>
      <c r="J102" s="17">
        <v>285</v>
      </c>
      <c r="K102" s="17">
        <v>287</v>
      </c>
      <c r="L102" s="17">
        <v>289</v>
      </c>
      <c r="M102" s="17">
        <f>AVERAGE(Table1671372[[#This Row],[Teste 1]:[Teste 3]])</f>
        <v>287</v>
      </c>
      <c r="N102" s="16"/>
      <c r="O102" s="16" t="s">
        <v>10</v>
      </c>
      <c r="P102" s="16" t="s">
        <v>6</v>
      </c>
      <c r="Q102" s="17">
        <v>159</v>
      </c>
      <c r="R102" s="17">
        <v>161</v>
      </c>
      <c r="S102" s="17">
        <v>195</v>
      </c>
      <c r="T102" s="17">
        <f>AVERAGE(Table1671384[[#This Row],[Teste 1]:[Teste 3]])</f>
        <v>171.66666666666666</v>
      </c>
    </row>
    <row r="103" spans="1:20" x14ac:dyDescent="0.25">
      <c r="A103" s="16" t="s">
        <v>10</v>
      </c>
      <c r="B103" s="16" t="s">
        <v>7</v>
      </c>
      <c r="C103" s="17">
        <v>145791</v>
      </c>
      <c r="D103" s="17">
        <v>107711</v>
      </c>
      <c r="E103" s="17">
        <v>70335</v>
      </c>
      <c r="F103" s="17">
        <f>AVERAGE(Table16713[[#This Row],[Teste 1]:[Teste 3]])</f>
        <v>107945.66666666667</v>
      </c>
      <c r="G103" s="16"/>
      <c r="H103" s="16" t="s">
        <v>10</v>
      </c>
      <c r="I103" s="16" t="s">
        <v>7</v>
      </c>
      <c r="J103" s="17">
        <v>140001</v>
      </c>
      <c r="K103" s="17">
        <v>140329</v>
      </c>
      <c r="L103" s="17">
        <v>140428</v>
      </c>
      <c r="M103" s="17">
        <f>AVERAGE(Table1671372[[#This Row],[Teste 1]:[Teste 3]])</f>
        <v>140252.66666666666</v>
      </c>
      <c r="N103" s="16"/>
      <c r="O103" s="16" t="s">
        <v>10</v>
      </c>
      <c r="P103" s="16" t="s">
        <v>7</v>
      </c>
      <c r="Q103" s="17">
        <v>293375</v>
      </c>
      <c r="R103" s="17">
        <v>307967</v>
      </c>
      <c r="S103" s="17">
        <v>154495</v>
      </c>
      <c r="T103" s="17">
        <f>AVERAGE(Table1671384[[#This Row],[Teste 1]:[Teste 3]])</f>
        <v>251945.66666666666</v>
      </c>
    </row>
    <row r="104" spans="1:20" x14ac:dyDescent="0.25">
      <c r="A104" s="16" t="s">
        <v>10</v>
      </c>
      <c r="B104" s="16" t="s">
        <v>8</v>
      </c>
      <c r="C104" s="17">
        <v>836</v>
      </c>
      <c r="D104" s="17">
        <v>1001</v>
      </c>
      <c r="E104" s="17">
        <v>840</v>
      </c>
      <c r="F104" s="17">
        <f>AVERAGE(Table16713[[#This Row],[Teste 1]:[Teste 3]])</f>
        <v>892.33333333333337</v>
      </c>
      <c r="G104" s="16"/>
      <c r="H104" s="16" t="s">
        <v>10</v>
      </c>
      <c r="I104" s="16" t="s">
        <v>8</v>
      </c>
      <c r="J104" s="17">
        <v>1103</v>
      </c>
      <c r="K104" s="17">
        <v>1160</v>
      </c>
      <c r="L104" s="17">
        <v>1265</v>
      </c>
      <c r="M104" s="17">
        <f>AVERAGE(Table1671372[[#This Row],[Teste 1]:[Teste 3]])</f>
        <v>1176</v>
      </c>
      <c r="N104" s="16"/>
      <c r="O104" s="16" t="s">
        <v>10</v>
      </c>
      <c r="P104" s="16" t="s">
        <v>8</v>
      </c>
      <c r="Q104" s="17">
        <v>465</v>
      </c>
      <c r="R104" s="17">
        <v>457</v>
      </c>
      <c r="S104" s="17">
        <v>765</v>
      </c>
      <c r="T104" s="17">
        <f>AVERAGE(Table1671384[[#This Row],[Teste 1]:[Teste 3]])</f>
        <v>562.33333333333337</v>
      </c>
    </row>
    <row r="105" spans="1:20" x14ac:dyDescent="0.25">
      <c r="A105" s="16" t="s">
        <v>10</v>
      </c>
      <c r="B105" s="16" t="s">
        <v>9</v>
      </c>
      <c r="C105" s="17">
        <v>1518</v>
      </c>
      <c r="D105" s="17">
        <v>2075</v>
      </c>
      <c r="E105" s="17">
        <v>1412</v>
      </c>
      <c r="F105" s="17">
        <f>AVERAGE(Table16713[[#This Row],[Teste 1]:[Teste 3]])</f>
        <v>1668.3333333333333</v>
      </c>
      <c r="G105" s="16"/>
      <c r="H105" s="16" t="s">
        <v>10</v>
      </c>
      <c r="I105" s="16" t="s">
        <v>9</v>
      </c>
      <c r="J105" s="17">
        <v>2256</v>
      </c>
      <c r="K105" s="17">
        <v>2168</v>
      </c>
      <c r="L105" s="17">
        <v>2151</v>
      </c>
      <c r="M105" s="17">
        <f>AVERAGE(Table1671372[[#This Row],[Teste 1]:[Teste 3]])</f>
        <v>2191.6666666666665</v>
      </c>
      <c r="N105" s="16"/>
      <c r="O105" s="16" t="s">
        <v>10</v>
      </c>
      <c r="P105" s="16" t="s">
        <v>9</v>
      </c>
      <c r="Q105" s="17">
        <v>976</v>
      </c>
      <c r="R105" s="17">
        <v>895</v>
      </c>
      <c r="S105" s="17">
        <v>1436</v>
      </c>
      <c r="T105" s="17">
        <f>AVERAGE(Table1671384[[#This Row],[Teste 1]:[Teste 3]])</f>
        <v>1102.3333333333333</v>
      </c>
    </row>
    <row r="106" spans="1:20" x14ac:dyDescent="0.25">
      <c r="A106" s="16" t="s">
        <v>10</v>
      </c>
      <c r="B106" s="16" t="s">
        <v>11</v>
      </c>
      <c r="C106" s="17">
        <v>1000000</v>
      </c>
      <c r="D106" s="17">
        <v>1000000</v>
      </c>
      <c r="E106" s="17">
        <v>1000000</v>
      </c>
      <c r="F106" s="17">
        <f>AVERAGE(Table16713[[#This Row],[Teste 1]:[Teste 3]])</f>
        <v>1000000</v>
      </c>
      <c r="G106" s="16"/>
      <c r="H106" s="16" t="s">
        <v>10</v>
      </c>
      <c r="I106" s="16" t="s">
        <v>11</v>
      </c>
      <c r="J106" s="17">
        <v>1000000</v>
      </c>
      <c r="K106" s="17">
        <v>1000000</v>
      </c>
      <c r="L106" s="17">
        <v>1000000</v>
      </c>
      <c r="M106" s="17">
        <f>AVERAGE(Table1671372[[#This Row],[Teste 1]:[Teste 3]])</f>
        <v>1000000</v>
      </c>
      <c r="N106" s="16"/>
      <c r="O106" s="16" t="s">
        <v>10</v>
      </c>
      <c r="P106" s="16" t="s">
        <v>11</v>
      </c>
      <c r="Q106" s="17">
        <v>1000000</v>
      </c>
      <c r="R106" s="17">
        <v>1000000</v>
      </c>
      <c r="S106" s="17">
        <v>1000000</v>
      </c>
      <c r="T106" s="17">
        <f>AVERAGE(Table1671384[[#This Row],[Teste 1]:[Teste 3]])</f>
        <v>1000000</v>
      </c>
    </row>
    <row r="107" spans="1:20" x14ac:dyDescent="0.25">
      <c r="A107" s="16"/>
      <c r="B107" s="16"/>
      <c r="C107" s="17"/>
      <c r="D107" s="17"/>
      <c r="E107" s="17"/>
      <c r="F107" s="17"/>
      <c r="G107" s="16"/>
      <c r="H107" s="16"/>
      <c r="I107" s="16"/>
      <c r="J107" s="17"/>
      <c r="K107" s="17"/>
      <c r="L107" s="17"/>
      <c r="M107" s="17"/>
      <c r="N107" s="16"/>
      <c r="O107" s="16"/>
      <c r="P107" s="16"/>
      <c r="Q107" s="17"/>
      <c r="R107" s="17"/>
      <c r="S107" s="17"/>
      <c r="T107" s="17"/>
    </row>
    <row r="108" spans="1:20" x14ac:dyDescent="0.25">
      <c r="A108" s="16"/>
      <c r="B108" s="16"/>
      <c r="C108" s="17"/>
      <c r="D108" s="17"/>
      <c r="E108" s="17"/>
      <c r="F108" s="17"/>
      <c r="G108" s="16"/>
      <c r="H108" s="16"/>
      <c r="I108" s="16"/>
      <c r="J108" s="17"/>
      <c r="K108" s="17"/>
      <c r="L108" s="17"/>
      <c r="M108" s="17"/>
      <c r="N108" s="16"/>
      <c r="O108" s="16"/>
      <c r="P108" s="16"/>
      <c r="Q108" s="17"/>
      <c r="R108" s="17"/>
      <c r="S108" s="17"/>
      <c r="T108" s="17"/>
    </row>
    <row r="109" spans="1:20" x14ac:dyDescent="0.25">
      <c r="A109" s="16"/>
      <c r="B109" s="16"/>
      <c r="C109" s="17"/>
      <c r="D109" s="17"/>
      <c r="E109" s="17"/>
      <c r="F109" s="17"/>
      <c r="G109" s="16"/>
      <c r="H109" s="16"/>
      <c r="I109" s="16"/>
      <c r="J109" s="17"/>
      <c r="K109" s="17"/>
      <c r="L109" s="17"/>
      <c r="M109" s="17"/>
      <c r="N109" s="16"/>
      <c r="O109" s="16"/>
      <c r="P109" s="16"/>
      <c r="Q109" s="17"/>
      <c r="R109" s="17"/>
      <c r="S109" s="17"/>
      <c r="T109" s="17"/>
    </row>
    <row r="110" spans="1:20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 x14ac:dyDescent="0.25">
      <c r="A111" s="16" t="s">
        <v>77</v>
      </c>
      <c r="B111" s="16"/>
      <c r="C111" s="16"/>
      <c r="D111" s="16"/>
      <c r="E111" s="16"/>
      <c r="F111" s="16"/>
      <c r="G111" s="16"/>
      <c r="H111" s="16" t="s">
        <v>77</v>
      </c>
      <c r="I111" s="16"/>
      <c r="J111" s="16"/>
      <c r="K111" s="16"/>
      <c r="L111" s="16"/>
      <c r="M111" s="16"/>
      <c r="N111" s="16"/>
      <c r="O111" s="16" t="s">
        <v>77</v>
      </c>
      <c r="P111" s="16"/>
      <c r="Q111" s="16"/>
      <c r="R111" s="16"/>
      <c r="S111" s="16"/>
      <c r="T111" s="16"/>
    </row>
    <row r="112" spans="1:20" x14ac:dyDescent="0.25">
      <c r="A112" s="16" t="s">
        <v>59</v>
      </c>
      <c r="B112" s="22" t="s">
        <v>60</v>
      </c>
      <c r="C112" s="16" t="s">
        <v>82</v>
      </c>
      <c r="D112" s="16" t="s">
        <v>64</v>
      </c>
      <c r="E112" s="16" t="s">
        <v>63</v>
      </c>
      <c r="F112" s="16" t="s">
        <v>18</v>
      </c>
      <c r="G112" s="16"/>
      <c r="H112" s="16" t="s">
        <v>12</v>
      </c>
      <c r="I112" s="22" t="s">
        <v>60</v>
      </c>
      <c r="J112" s="16" t="s">
        <v>82</v>
      </c>
      <c r="K112" s="16" t="s">
        <v>64</v>
      </c>
      <c r="L112" s="16" t="s">
        <v>63</v>
      </c>
      <c r="M112" s="16" t="s">
        <v>18</v>
      </c>
      <c r="N112" s="16"/>
      <c r="O112" s="16" t="s">
        <v>13</v>
      </c>
      <c r="P112" s="22" t="s">
        <v>60</v>
      </c>
      <c r="Q112" s="16" t="s">
        <v>82</v>
      </c>
      <c r="R112" s="16" t="s">
        <v>64</v>
      </c>
      <c r="S112" s="16" t="s">
        <v>63</v>
      </c>
      <c r="T112" s="16" t="s">
        <v>18</v>
      </c>
    </row>
    <row r="113" spans="1:20" x14ac:dyDescent="0.25">
      <c r="A113" s="16" t="s">
        <v>0</v>
      </c>
      <c r="B113" s="16" t="s">
        <v>1</v>
      </c>
      <c r="C113" s="17">
        <v>124193</v>
      </c>
      <c r="D113" s="17">
        <v>131563</v>
      </c>
      <c r="E113" s="17">
        <v>123363</v>
      </c>
      <c r="F113" s="17">
        <f>AVERAGE(Table1671114[[#This Row],[Teste 1]:[Teste 3]])</f>
        <v>126373</v>
      </c>
      <c r="G113" s="16"/>
      <c r="H113" s="16" t="s">
        <v>0</v>
      </c>
      <c r="I113" s="16" t="s">
        <v>1</v>
      </c>
      <c r="J113" s="17">
        <v>161888</v>
      </c>
      <c r="K113" s="17">
        <v>161757</v>
      </c>
      <c r="L113" s="17">
        <v>161627</v>
      </c>
      <c r="M113" s="17">
        <f>AVERAGE(Table167111473[[#This Row],[Teste 1]:[Teste 3]])</f>
        <v>161757.33333333334</v>
      </c>
      <c r="N113" s="16"/>
      <c r="O113" s="16" t="s">
        <v>0</v>
      </c>
      <c r="P113" s="16" t="s">
        <v>1</v>
      </c>
      <c r="Q113" s="17">
        <v>93141</v>
      </c>
      <c r="R113" s="17">
        <v>89913</v>
      </c>
      <c r="S113" s="17">
        <v>89769</v>
      </c>
      <c r="T113" s="17">
        <f>AVERAGE(Table167111485[[#This Row],[Teste 1]:[Teste 3]])</f>
        <v>90941</v>
      </c>
    </row>
    <row r="114" spans="1:20" x14ac:dyDescent="0.25">
      <c r="A114" s="16" t="s">
        <v>0</v>
      </c>
      <c r="B114" s="16" t="s">
        <v>2</v>
      </c>
      <c r="C114" s="17">
        <v>8051.9836061613696</v>
      </c>
      <c r="D114" s="17">
        <v>6189.5359704882903</v>
      </c>
      <c r="E114" s="17">
        <v>8190.3136644919996</v>
      </c>
      <c r="F114" s="17">
        <f>AVERAGE(Table1671114[[#This Row],[Teste 1]:[Teste 3]])</f>
        <v>7477.2777470472201</v>
      </c>
      <c r="G114" s="16"/>
      <c r="H114" s="16" t="s">
        <v>0</v>
      </c>
      <c r="I114" s="16" t="s">
        <v>2</v>
      </c>
      <c r="J114" s="17"/>
      <c r="K114" s="17">
        <v>5841.63</v>
      </c>
      <c r="L114" s="17"/>
      <c r="M114" s="17">
        <f>AVERAGE(Table167111473[[#This Row],[Teste 1]:[Teste 3]])</f>
        <v>5841.63</v>
      </c>
      <c r="N114" s="16"/>
      <c r="O114" s="16" t="s">
        <v>0</v>
      </c>
      <c r="P114" s="16" t="s">
        <v>2</v>
      </c>
      <c r="Q114" s="17">
        <v>10736.410388550599</v>
      </c>
      <c r="R114" s="17">
        <v>11121.8622446142</v>
      </c>
      <c r="S114" s="17">
        <v>11139.7030155176</v>
      </c>
      <c r="T114" s="17">
        <f>AVERAGE(Table167111485[[#This Row],[Teste 1]:[Teste 3]])</f>
        <v>10999.325216227468</v>
      </c>
    </row>
    <row r="115" spans="1:20" x14ac:dyDescent="0.25">
      <c r="A115" s="16" t="s">
        <v>3</v>
      </c>
      <c r="B115" s="16" t="s">
        <v>4</v>
      </c>
      <c r="C115" s="17">
        <v>6</v>
      </c>
      <c r="D115" s="17">
        <v>6</v>
      </c>
      <c r="E115" s="17">
        <v>6</v>
      </c>
      <c r="F115" s="17">
        <f>AVERAGE(Table1671114[[#This Row],[Teste 1]:[Teste 3]])</f>
        <v>6</v>
      </c>
      <c r="G115" s="16"/>
      <c r="H115" s="16" t="s">
        <v>3</v>
      </c>
      <c r="I115" s="16" t="s">
        <v>4</v>
      </c>
      <c r="J115" s="17">
        <v>6</v>
      </c>
      <c r="K115" s="17">
        <v>6</v>
      </c>
      <c r="L115" s="17">
        <v>6</v>
      </c>
      <c r="M115" s="17">
        <f>AVERAGE(Table167111473[[#This Row],[Teste 1]:[Teste 3]])</f>
        <v>6</v>
      </c>
      <c r="N115" s="16"/>
      <c r="O115" s="16" t="s">
        <v>3</v>
      </c>
      <c r="P115" s="16" t="s">
        <v>4</v>
      </c>
      <c r="Q115" s="17">
        <v>6</v>
      </c>
      <c r="R115" s="17">
        <v>6</v>
      </c>
      <c r="S115" s="17">
        <v>6</v>
      </c>
      <c r="T115" s="17">
        <f>AVERAGE(Table167111485[[#This Row],[Teste 1]:[Teste 3]])</f>
        <v>6</v>
      </c>
    </row>
    <row r="116" spans="1:20" x14ac:dyDescent="0.25">
      <c r="A116" s="16" t="s">
        <v>3</v>
      </c>
      <c r="B116" s="16" t="s">
        <v>5</v>
      </c>
      <c r="C116" s="17">
        <v>6.5</v>
      </c>
      <c r="D116" s="17">
        <v>1.5</v>
      </c>
      <c r="E116" s="17">
        <v>1.1666666666666601</v>
      </c>
      <c r="F116" s="17">
        <f>AVERAGE(Table1671114[[#This Row],[Teste 1]:[Teste 3]])</f>
        <v>3.0555555555555536</v>
      </c>
      <c r="G116" s="16"/>
      <c r="H116" s="16" t="s">
        <v>3</v>
      </c>
      <c r="I116" s="16" t="s">
        <v>5</v>
      </c>
      <c r="J116" s="17">
        <v>1.3</v>
      </c>
      <c r="K116" s="17">
        <v>1.3333333000000001</v>
      </c>
      <c r="L116" s="17">
        <v>1.5</v>
      </c>
      <c r="M116" s="17">
        <f>AVERAGE(Table167111473[[#This Row],[Teste 1]:[Teste 3]])</f>
        <v>1.3777777666666668</v>
      </c>
      <c r="N116" s="16"/>
      <c r="O116" s="16" t="s">
        <v>3</v>
      </c>
      <c r="P116" s="16" t="s">
        <v>5</v>
      </c>
      <c r="Q116" s="17">
        <v>1653.5</v>
      </c>
      <c r="R116" s="17">
        <v>459.666666666666</v>
      </c>
      <c r="S116" s="17">
        <v>400</v>
      </c>
      <c r="T116" s="17">
        <f>AVERAGE(Table167111485[[#This Row],[Teste 1]:[Teste 3]])</f>
        <v>837.72222222222206</v>
      </c>
    </row>
    <row r="117" spans="1:20" x14ac:dyDescent="0.25">
      <c r="A117" s="16" t="s">
        <v>3</v>
      </c>
      <c r="B117" s="16" t="s">
        <v>6</v>
      </c>
      <c r="C117" s="17">
        <v>0</v>
      </c>
      <c r="D117" s="17">
        <v>1</v>
      </c>
      <c r="E117" s="17">
        <v>1</v>
      </c>
      <c r="F117" s="17">
        <f>AVERAGE(Table1671114[[#This Row],[Teste 1]:[Teste 3]])</f>
        <v>0.66666666666666663</v>
      </c>
      <c r="G117" s="16"/>
      <c r="H117" s="16" t="s">
        <v>3</v>
      </c>
      <c r="I117" s="16" t="s">
        <v>6</v>
      </c>
      <c r="J117" s="17">
        <v>1</v>
      </c>
      <c r="K117" s="17">
        <v>1</v>
      </c>
      <c r="L117" s="17">
        <v>1</v>
      </c>
      <c r="M117" s="17">
        <f>AVERAGE(Table167111473[[#This Row],[Teste 1]:[Teste 3]])</f>
        <v>1</v>
      </c>
      <c r="N117" s="16"/>
      <c r="O117" s="16" t="s">
        <v>3</v>
      </c>
      <c r="P117" s="16" t="s">
        <v>6</v>
      </c>
      <c r="Q117" s="17">
        <v>1</v>
      </c>
      <c r="R117" s="17">
        <v>1</v>
      </c>
      <c r="S117" s="17">
        <v>1</v>
      </c>
      <c r="T117" s="17">
        <f>AVERAGE(Table167111485[[#This Row],[Teste 1]:[Teste 3]])</f>
        <v>1</v>
      </c>
    </row>
    <row r="118" spans="1:20" x14ac:dyDescent="0.25">
      <c r="A118" s="16" t="s">
        <v>3</v>
      </c>
      <c r="B118" s="16" t="s">
        <v>7</v>
      </c>
      <c r="C118" s="17">
        <v>37</v>
      </c>
      <c r="D118" s="17">
        <v>4</v>
      </c>
      <c r="E118" s="17">
        <v>2</v>
      </c>
      <c r="F118" s="17">
        <f>AVERAGE(Table1671114[[#This Row],[Teste 1]:[Teste 3]])</f>
        <v>14.333333333333334</v>
      </c>
      <c r="G118" s="16"/>
      <c r="H118" s="16" t="s">
        <v>3</v>
      </c>
      <c r="I118" s="16" t="s">
        <v>7</v>
      </c>
      <c r="J118" s="17">
        <v>8</v>
      </c>
      <c r="K118" s="17">
        <v>7</v>
      </c>
      <c r="L118" s="17">
        <v>7</v>
      </c>
      <c r="M118" s="17">
        <f>AVERAGE(Table167111473[[#This Row],[Teste 1]:[Teste 3]])</f>
        <v>7.333333333333333</v>
      </c>
      <c r="N118" s="16"/>
      <c r="O118" s="16" t="s">
        <v>3</v>
      </c>
      <c r="P118" s="16" t="s">
        <v>7</v>
      </c>
      <c r="Q118" s="17">
        <v>9911</v>
      </c>
      <c r="R118" s="17">
        <v>2745</v>
      </c>
      <c r="S118" s="17">
        <v>2387</v>
      </c>
      <c r="T118" s="17">
        <f>AVERAGE(Table167111485[[#This Row],[Teste 1]:[Teste 3]])</f>
        <v>5014.333333333333</v>
      </c>
    </row>
    <row r="119" spans="1:20" x14ac:dyDescent="0.25">
      <c r="A119" s="16" t="s">
        <v>3</v>
      </c>
      <c r="B119" s="16" t="s">
        <v>8</v>
      </c>
      <c r="C119" s="17">
        <v>37</v>
      </c>
      <c r="D119" s="17">
        <v>4</v>
      </c>
      <c r="E119" s="17">
        <v>2</v>
      </c>
      <c r="F119" s="17">
        <f>AVERAGE(Table1671114[[#This Row],[Teste 1]:[Teste 3]])</f>
        <v>14.333333333333334</v>
      </c>
      <c r="G119" s="16"/>
      <c r="H119" s="16" t="s">
        <v>3</v>
      </c>
      <c r="I119" s="16" t="s">
        <v>8</v>
      </c>
      <c r="J119" s="17">
        <v>8</v>
      </c>
      <c r="K119" s="17">
        <v>7</v>
      </c>
      <c r="L119" s="17">
        <v>7</v>
      </c>
      <c r="M119" s="17">
        <f>AVERAGE(Table167111473[[#This Row],[Teste 1]:[Teste 3]])</f>
        <v>7.333333333333333</v>
      </c>
      <c r="N119" s="16"/>
      <c r="O119" s="16" t="s">
        <v>3</v>
      </c>
      <c r="P119" s="16" t="s">
        <v>8</v>
      </c>
      <c r="Q119" s="17">
        <v>9911</v>
      </c>
      <c r="R119" s="17">
        <v>2745</v>
      </c>
      <c r="S119" s="17">
        <v>2387</v>
      </c>
      <c r="T119" s="17">
        <f>AVERAGE(Table167111485[[#This Row],[Teste 1]:[Teste 3]])</f>
        <v>5014.333333333333</v>
      </c>
    </row>
    <row r="120" spans="1:20" x14ac:dyDescent="0.25">
      <c r="A120" s="16" t="s">
        <v>3</v>
      </c>
      <c r="B120" s="16" t="s">
        <v>9</v>
      </c>
      <c r="C120" s="17">
        <v>37</v>
      </c>
      <c r="D120" s="17">
        <v>4</v>
      </c>
      <c r="E120" s="17">
        <v>2</v>
      </c>
      <c r="F120" s="17">
        <f>AVERAGE(Table1671114[[#This Row],[Teste 1]:[Teste 3]])</f>
        <v>14.333333333333334</v>
      </c>
      <c r="G120" s="16"/>
      <c r="H120" s="16" t="s">
        <v>3</v>
      </c>
      <c r="I120" s="16" t="s">
        <v>9</v>
      </c>
      <c r="J120" s="17">
        <v>8</v>
      </c>
      <c r="K120" s="17">
        <v>7</v>
      </c>
      <c r="L120" s="17">
        <v>7</v>
      </c>
      <c r="M120" s="17">
        <f>AVERAGE(Table167111473[[#This Row],[Teste 1]:[Teste 3]])</f>
        <v>7.333333333333333</v>
      </c>
      <c r="N120" s="16"/>
      <c r="O120" s="16" t="s">
        <v>3</v>
      </c>
      <c r="P120" s="16" t="s">
        <v>9</v>
      </c>
      <c r="Q120" s="17">
        <v>9911</v>
      </c>
      <c r="R120" s="17">
        <v>2745</v>
      </c>
      <c r="S120" s="17">
        <v>2387</v>
      </c>
      <c r="T120" s="17">
        <f>AVERAGE(Table167111485[[#This Row],[Teste 1]:[Teste 3]])</f>
        <v>5014.333333333333</v>
      </c>
    </row>
    <row r="121" spans="1:20" x14ac:dyDescent="0.25">
      <c r="A121" s="16" t="s">
        <v>10</v>
      </c>
      <c r="B121" s="16" t="s">
        <v>4</v>
      </c>
      <c r="C121" s="17">
        <v>1000000</v>
      </c>
      <c r="D121" s="17">
        <v>1000000</v>
      </c>
      <c r="E121" s="17">
        <v>1000000</v>
      </c>
      <c r="F121" s="17">
        <f>AVERAGE(Table1671114[[#This Row],[Teste 1]:[Teste 3]])</f>
        <v>1000000</v>
      </c>
      <c r="G121" s="16"/>
      <c r="H121" s="16" t="s">
        <v>10</v>
      </c>
      <c r="I121" s="16" t="s">
        <v>4</v>
      </c>
      <c r="J121" s="17">
        <v>1000000</v>
      </c>
      <c r="K121" s="17">
        <v>1000000</v>
      </c>
      <c r="L121" s="17">
        <v>1000000</v>
      </c>
      <c r="M121" s="17">
        <f>AVERAGE(Table167111473[[#This Row],[Teste 1]:[Teste 3]])</f>
        <v>1000000</v>
      </c>
      <c r="N121" s="16"/>
      <c r="O121" s="16" t="s">
        <v>10</v>
      </c>
      <c r="P121" s="16" t="s">
        <v>4</v>
      </c>
      <c r="Q121" s="17">
        <v>1000000</v>
      </c>
      <c r="R121" s="17">
        <v>1000000</v>
      </c>
      <c r="S121" s="17">
        <v>1000000</v>
      </c>
      <c r="T121" s="17">
        <f>AVERAGE(Table167111485[[#This Row],[Teste 1]:[Teste 3]])</f>
        <v>1000000</v>
      </c>
    </row>
    <row r="122" spans="1:20" x14ac:dyDescent="0.25">
      <c r="A122" s="16" t="s">
        <v>10</v>
      </c>
      <c r="B122" s="16" t="s">
        <v>5</v>
      </c>
      <c r="C122" s="17">
        <v>723.06806300000005</v>
      </c>
      <c r="D122" s="17">
        <v>937.87555599999996</v>
      </c>
      <c r="E122" s="17">
        <v>519.66760999999997</v>
      </c>
      <c r="F122" s="17">
        <f>AVERAGE(Table1671114[[#This Row],[Teste 1]:[Teste 3]])</f>
        <v>726.87040966666666</v>
      </c>
      <c r="G122" s="16"/>
      <c r="H122" s="16" t="s">
        <v>10</v>
      </c>
      <c r="I122" s="16" t="s">
        <v>5</v>
      </c>
      <c r="J122" s="17">
        <v>823.07</v>
      </c>
      <c r="K122" s="17">
        <v>930.39400000000001</v>
      </c>
      <c r="L122" s="17">
        <v>10165.549999999999</v>
      </c>
      <c r="M122" s="17">
        <f>AVERAGE(Table167111473[[#This Row],[Teste 1]:[Teste 3]])</f>
        <v>3973.0046666666663</v>
      </c>
      <c r="N122" s="16"/>
      <c r="O122" s="16" t="s">
        <v>10</v>
      </c>
      <c r="P122" s="16" t="s">
        <v>5</v>
      </c>
      <c r="Q122" s="17">
        <v>547.04895699999997</v>
      </c>
      <c r="R122" s="17">
        <v>530.01109299999996</v>
      </c>
      <c r="S122" s="17">
        <v>530.16179399999999</v>
      </c>
      <c r="T122" s="17">
        <f>AVERAGE(Table167111485[[#This Row],[Teste 1]:[Teste 3]])</f>
        <v>535.74061466666672</v>
      </c>
    </row>
    <row r="123" spans="1:20" x14ac:dyDescent="0.25">
      <c r="A123" s="16" t="s">
        <v>10</v>
      </c>
      <c r="B123" s="16" t="s">
        <v>6</v>
      </c>
      <c r="C123" s="17">
        <v>234</v>
      </c>
      <c r="D123" s="17">
        <v>426</v>
      </c>
      <c r="E123" s="17">
        <v>217</v>
      </c>
      <c r="F123" s="17">
        <f>AVERAGE(Table1671114[[#This Row],[Teste 1]:[Teste 3]])</f>
        <v>292.33333333333331</v>
      </c>
      <c r="G123" s="16"/>
      <c r="H123" s="16" t="s">
        <v>10</v>
      </c>
      <c r="I123" s="16" t="s">
        <v>6</v>
      </c>
      <c r="J123" s="17">
        <v>373</v>
      </c>
      <c r="K123" s="17">
        <v>374</v>
      </c>
      <c r="L123" s="17">
        <v>377</v>
      </c>
      <c r="M123" s="17">
        <f>AVERAGE(Table167111473[[#This Row],[Teste 1]:[Teste 3]])</f>
        <v>374.66666666666669</v>
      </c>
      <c r="N123" s="16"/>
      <c r="O123" s="16" t="s">
        <v>10</v>
      </c>
      <c r="P123" s="16" t="s">
        <v>6</v>
      </c>
      <c r="Q123" s="17">
        <v>171</v>
      </c>
      <c r="R123" s="17">
        <v>148</v>
      </c>
      <c r="S123" s="17">
        <v>144</v>
      </c>
      <c r="T123" s="17">
        <f>AVERAGE(Table167111485[[#This Row],[Teste 1]:[Teste 3]])</f>
        <v>154.33333333333334</v>
      </c>
    </row>
    <row r="124" spans="1:20" x14ac:dyDescent="0.25">
      <c r="A124" s="16" t="s">
        <v>10</v>
      </c>
      <c r="B124" s="16" t="s">
        <v>7</v>
      </c>
      <c r="C124" s="17">
        <v>192639</v>
      </c>
      <c r="D124" s="17">
        <v>162943</v>
      </c>
      <c r="E124" s="17">
        <v>212223</v>
      </c>
      <c r="F124" s="17">
        <f>AVERAGE(Table1671114[[#This Row],[Teste 1]:[Teste 3]])</f>
        <v>189268.33333333334</v>
      </c>
      <c r="G124" s="16"/>
      <c r="H124" s="16" t="s">
        <v>10</v>
      </c>
      <c r="I124" s="16" t="s">
        <v>7</v>
      </c>
      <c r="J124" s="17">
        <v>242125</v>
      </c>
      <c r="K124" s="17">
        <v>242263</v>
      </c>
      <c r="L124" s="17">
        <v>242365</v>
      </c>
      <c r="M124" s="17">
        <f>AVERAGE(Table167111473[[#This Row],[Teste 1]:[Teste 3]])</f>
        <v>242251</v>
      </c>
      <c r="N124" s="16"/>
      <c r="O124" s="16" t="s">
        <v>10</v>
      </c>
      <c r="P124" s="16" t="s">
        <v>7</v>
      </c>
      <c r="Q124" s="17">
        <v>212607</v>
      </c>
      <c r="R124" s="17">
        <v>204799</v>
      </c>
      <c r="S124" s="17">
        <v>139519</v>
      </c>
      <c r="T124" s="17">
        <f>AVERAGE(Table167111485[[#This Row],[Teste 1]:[Teste 3]])</f>
        <v>185641.66666666666</v>
      </c>
    </row>
    <row r="125" spans="1:20" x14ac:dyDescent="0.25">
      <c r="A125" s="16" t="s">
        <v>10</v>
      </c>
      <c r="B125" s="16" t="s">
        <v>8</v>
      </c>
      <c r="C125" s="17">
        <v>1234</v>
      </c>
      <c r="D125" s="17">
        <v>1743</v>
      </c>
      <c r="E125" s="17">
        <v>989</v>
      </c>
      <c r="F125" s="17">
        <f>AVERAGE(Table1671114[[#This Row],[Teste 1]:[Teste 3]])</f>
        <v>1322</v>
      </c>
      <c r="G125" s="16"/>
      <c r="H125" s="16" t="s">
        <v>10</v>
      </c>
      <c r="I125" s="16" t="s">
        <v>8</v>
      </c>
      <c r="J125" s="17">
        <v>15426</v>
      </c>
      <c r="K125" s="17">
        <v>1692</v>
      </c>
      <c r="L125" s="17">
        <v>1862</v>
      </c>
      <c r="M125" s="17">
        <f>AVERAGE(Table167111473[[#This Row],[Teste 1]:[Teste 3]])</f>
        <v>6326.666666666667</v>
      </c>
      <c r="N125" s="16"/>
      <c r="O125" s="16" t="s">
        <v>10</v>
      </c>
      <c r="P125" s="16" t="s">
        <v>8</v>
      </c>
      <c r="Q125" s="17">
        <v>994</v>
      </c>
      <c r="R125" s="17">
        <v>917</v>
      </c>
      <c r="S125" s="17">
        <v>909</v>
      </c>
      <c r="T125" s="17">
        <f>AVERAGE(Table167111485[[#This Row],[Teste 1]:[Teste 3]])</f>
        <v>940</v>
      </c>
    </row>
    <row r="126" spans="1:20" x14ac:dyDescent="0.25">
      <c r="A126" s="16" t="s">
        <v>10</v>
      </c>
      <c r="B126" s="16" t="s">
        <v>9</v>
      </c>
      <c r="C126" s="17">
        <v>1993</v>
      </c>
      <c r="D126" s="17">
        <v>4131</v>
      </c>
      <c r="E126" s="17">
        <v>2205</v>
      </c>
      <c r="F126" s="17">
        <f>AVERAGE(Table1671114[[#This Row],[Teste 1]:[Teste 3]])</f>
        <v>2776.3333333333335</v>
      </c>
      <c r="G126" s="16"/>
      <c r="H126" s="16" t="s">
        <v>10</v>
      </c>
      <c r="I126" s="16" t="s">
        <v>9</v>
      </c>
      <c r="J126" s="17">
        <v>3985</v>
      </c>
      <c r="K126" s="17">
        <v>3553.71</v>
      </c>
      <c r="L126" s="17">
        <v>3125</v>
      </c>
      <c r="M126" s="17">
        <f>AVERAGE(Table167111473[[#This Row],[Teste 1]:[Teste 3]])</f>
        <v>3554.5699999999997</v>
      </c>
      <c r="N126" s="16"/>
      <c r="O126" s="16" t="s">
        <v>10</v>
      </c>
      <c r="P126" s="16" t="s">
        <v>9</v>
      </c>
      <c r="Q126" s="17">
        <v>2325</v>
      </c>
      <c r="R126" s="17">
        <v>2239</v>
      </c>
      <c r="S126" s="17">
        <v>2215</v>
      </c>
      <c r="T126" s="17">
        <f>AVERAGE(Table167111485[[#This Row],[Teste 1]:[Teste 3]])</f>
        <v>2259.6666666666665</v>
      </c>
    </row>
    <row r="127" spans="1:20" x14ac:dyDescent="0.25">
      <c r="A127" s="16" t="s">
        <v>10</v>
      </c>
      <c r="B127" s="16" t="s">
        <v>11</v>
      </c>
      <c r="C127" s="17">
        <v>1000000</v>
      </c>
      <c r="D127" s="17">
        <v>1000000</v>
      </c>
      <c r="E127" s="17">
        <v>1000000</v>
      </c>
      <c r="F127" s="17">
        <f>AVERAGE(Table1671114[[#This Row],[Teste 1]:[Teste 3]])</f>
        <v>1000000</v>
      </c>
      <c r="G127" s="16"/>
      <c r="H127" s="16" t="s">
        <v>10</v>
      </c>
      <c r="I127" s="16" t="s">
        <v>11</v>
      </c>
      <c r="J127" s="17">
        <v>1000000</v>
      </c>
      <c r="K127" s="17">
        <v>1000000</v>
      </c>
      <c r="L127" s="17">
        <v>1000000</v>
      </c>
      <c r="M127" s="17">
        <f>AVERAGE(Table167111473[[#This Row],[Teste 1]:[Teste 3]])</f>
        <v>1000000</v>
      </c>
      <c r="N127" s="16"/>
      <c r="O127" s="16" t="s">
        <v>10</v>
      </c>
      <c r="P127" s="16" t="s">
        <v>11</v>
      </c>
      <c r="Q127" s="17">
        <v>1000000</v>
      </c>
      <c r="R127" s="17">
        <v>1000000</v>
      </c>
      <c r="S127" s="17">
        <v>1000000</v>
      </c>
      <c r="T127" s="17">
        <f>AVERAGE(Table167111485[[#This Row],[Teste 1]:[Teste 3]])</f>
        <v>1000000</v>
      </c>
    </row>
    <row r="128" spans="1:20" x14ac:dyDescent="0.25">
      <c r="A128" s="16"/>
      <c r="B128" s="16"/>
      <c r="C128" s="17"/>
      <c r="D128" s="17"/>
      <c r="E128" s="17"/>
      <c r="F128" s="17"/>
      <c r="G128" s="16"/>
      <c r="H128" s="16"/>
      <c r="I128" s="16"/>
      <c r="J128" s="17"/>
      <c r="K128" s="17"/>
      <c r="L128" s="17"/>
      <c r="M128" s="17"/>
      <c r="N128" s="16"/>
      <c r="O128" s="16"/>
      <c r="P128" s="16"/>
      <c r="Q128" s="17"/>
      <c r="R128" s="17"/>
      <c r="S128" s="17"/>
      <c r="T128" s="17"/>
    </row>
    <row r="129" spans="1:20" x14ac:dyDescent="0.25">
      <c r="A129" s="16"/>
      <c r="B129" s="16"/>
      <c r="C129" s="17"/>
      <c r="D129" s="17"/>
      <c r="E129" s="17"/>
      <c r="F129" s="17"/>
      <c r="G129" s="16"/>
      <c r="H129" s="16"/>
      <c r="I129" s="16"/>
      <c r="J129" s="17"/>
      <c r="K129" s="17"/>
      <c r="L129" s="17"/>
      <c r="M129" s="17"/>
      <c r="N129" s="16"/>
      <c r="O129" s="16"/>
      <c r="P129" s="16"/>
      <c r="Q129" s="17"/>
      <c r="R129" s="17"/>
      <c r="S129" s="17"/>
      <c r="T129" s="17"/>
    </row>
    <row r="130" spans="1:20" x14ac:dyDescent="0.25">
      <c r="A130" s="16"/>
      <c r="B130" s="16"/>
      <c r="C130" s="17"/>
      <c r="D130" s="17"/>
      <c r="E130" s="17"/>
      <c r="F130" s="17"/>
      <c r="G130" s="16"/>
      <c r="H130" s="16"/>
      <c r="I130" s="16"/>
      <c r="J130" s="17"/>
      <c r="K130" s="17"/>
      <c r="L130" s="17"/>
      <c r="M130" s="17"/>
      <c r="N130" s="16"/>
      <c r="O130" s="16"/>
      <c r="P130" s="16"/>
      <c r="Q130" s="17"/>
      <c r="R130" s="17"/>
      <c r="S130" s="17"/>
      <c r="T130" s="17"/>
    </row>
    <row r="131" spans="1:20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 ht="15.75" x14ac:dyDescent="0.25">
      <c r="A133" s="21" t="s">
        <v>80</v>
      </c>
      <c r="B133" s="16"/>
      <c r="C133" s="16"/>
      <c r="D133" s="16"/>
      <c r="E133" s="16"/>
      <c r="F133" s="16"/>
      <c r="G133" s="16"/>
      <c r="H133" s="21" t="s">
        <v>80</v>
      </c>
      <c r="I133" s="16"/>
      <c r="J133" s="16"/>
      <c r="K133" s="16"/>
      <c r="L133" s="16"/>
      <c r="M133" s="16"/>
      <c r="N133" s="16"/>
      <c r="O133" s="21" t="s">
        <v>80</v>
      </c>
      <c r="P133" s="16"/>
      <c r="Q133" s="16"/>
      <c r="R133" s="16"/>
      <c r="S133" s="16"/>
      <c r="T133" s="16"/>
    </row>
    <row r="134" spans="1:20" x14ac:dyDescent="0.25">
      <c r="A134" s="16" t="s">
        <v>75</v>
      </c>
      <c r="B134" s="16"/>
      <c r="C134" s="16"/>
      <c r="D134" s="16"/>
      <c r="E134" s="16"/>
      <c r="F134" s="16"/>
      <c r="G134" s="16"/>
      <c r="H134" s="16" t="s">
        <v>75</v>
      </c>
      <c r="I134" s="16"/>
      <c r="J134" s="16"/>
      <c r="K134" s="16"/>
      <c r="L134" s="16"/>
      <c r="M134" s="16"/>
      <c r="N134" s="16"/>
      <c r="O134" s="16" t="s">
        <v>75</v>
      </c>
      <c r="P134" s="16"/>
      <c r="Q134" s="16"/>
      <c r="R134" s="16"/>
      <c r="S134" s="16"/>
      <c r="T134" s="16"/>
    </row>
    <row r="135" spans="1:20" x14ac:dyDescent="0.25">
      <c r="A135" s="16" t="s">
        <v>59</v>
      </c>
      <c r="B135" s="20" t="s">
        <v>80</v>
      </c>
      <c r="C135" s="16" t="s">
        <v>82</v>
      </c>
      <c r="D135" s="16" t="s">
        <v>64</v>
      </c>
      <c r="E135" s="16" t="s">
        <v>63</v>
      </c>
      <c r="F135" s="16" t="s">
        <v>18</v>
      </c>
      <c r="G135" s="16"/>
      <c r="H135" s="16" t="s">
        <v>12</v>
      </c>
      <c r="I135" s="20" t="s">
        <v>80</v>
      </c>
      <c r="J135" s="16" t="s">
        <v>82</v>
      </c>
      <c r="K135" s="16" t="s">
        <v>64</v>
      </c>
      <c r="L135" s="16" t="s">
        <v>63</v>
      </c>
      <c r="M135" s="16" t="s">
        <v>18</v>
      </c>
      <c r="N135" s="16"/>
      <c r="O135" s="16" t="s">
        <v>13</v>
      </c>
      <c r="P135" s="20" t="s">
        <v>80</v>
      </c>
      <c r="Q135" s="16" t="s">
        <v>82</v>
      </c>
      <c r="R135" s="16" t="s">
        <v>64</v>
      </c>
      <c r="S135" s="16" t="s">
        <v>63</v>
      </c>
      <c r="T135" s="16" t="s">
        <v>18</v>
      </c>
    </row>
    <row r="136" spans="1:20" x14ac:dyDescent="0.25">
      <c r="A136" s="16" t="s">
        <v>0</v>
      </c>
      <c r="B136" s="16" t="s">
        <v>1</v>
      </c>
      <c r="C136" s="17">
        <v>4226868</v>
      </c>
      <c r="D136" s="17">
        <v>4729596</v>
      </c>
      <c r="E136" s="17">
        <v>4842503</v>
      </c>
      <c r="F136" s="17">
        <f>AVERAGE(Table161215[[#This Row],[Teste 1]:[Teste 3]])</f>
        <v>4599655.666666667</v>
      </c>
      <c r="G136" s="16"/>
      <c r="H136" s="16" t="s">
        <v>0</v>
      </c>
      <c r="I136" s="16" t="s">
        <v>1</v>
      </c>
      <c r="J136" s="17">
        <v>5621734</v>
      </c>
      <c r="K136" s="17">
        <v>6290363</v>
      </c>
      <c r="L136" s="17">
        <v>6440529</v>
      </c>
      <c r="M136" s="17">
        <f>AVERAGE(Table16121574[[#This Row],[Teste 1]:[Teste 3]])</f>
        <v>6117542</v>
      </c>
      <c r="N136" s="16"/>
      <c r="O136" s="16" t="s">
        <v>0</v>
      </c>
      <c r="P136" s="16" t="s">
        <v>1</v>
      </c>
      <c r="Q136" s="17">
        <v>2624173</v>
      </c>
      <c r="R136" s="17">
        <v>3652668</v>
      </c>
      <c r="S136" s="17">
        <v>2749388</v>
      </c>
      <c r="T136" s="17">
        <f>AVERAGE(Table16121586[[#This Row],[Teste 1]:[Teste 3]])</f>
        <v>3008743</v>
      </c>
    </row>
    <row r="137" spans="1:20" x14ac:dyDescent="0.25">
      <c r="A137" s="16" t="s">
        <v>0</v>
      </c>
      <c r="B137" s="16" t="s">
        <v>2</v>
      </c>
      <c r="C137" s="17">
        <v>2365.81790583476</v>
      </c>
      <c r="D137" s="17">
        <v>2114.3454958943598</v>
      </c>
      <c r="E137" s="17">
        <v>2065.0477655873401</v>
      </c>
      <c r="F137" s="17">
        <f>AVERAGE(Table161215[[#This Row],[Teste 1]:[Teste 3]])</f>
        <v>2181.7370557721533</v>
      </c>
      <c r="G137" s="16"/>
      <c r="H137" s="16" t="s">
        <v>0</v>
      </c>
      <c r="I137" s="16" t="s">
        <v>2</v>
      </c>
      <c r="J137" s="17">
        <v>1778.81</v>
      </c>
      <c r="K137" s="17">
        <v>1589.73</v>
      </c>
      <c r="L137" s="17">
        <v>1552.67</v>
      </c>
      <c r="M137" s="17">
        <f>AVERAGE(Table16121574[[#This Row],[Teste 1]:[Teste 3]])</f>
        <v>1640.4033333333334</v>
      </c>
      <c r="N137" s="16"/>
      <c r="O137" s="16" t="s">
        <v>0</v>
      </c>
      <c r="P137" s="16" t="s">
        <v>2</v>
      </c>
      <c r="Q137" s="17">
        <v>3810.7243691631602</v>
      </c>
      <c r="R137" s="17">
        <v>2737.7248630316199</v>
      </c>
      <c r="S137" s="17">
        <v>3637.1730726983601</v>
      </c>
      <c r="T137" s="17">
        <f>AVERAGE(Table16121586[[#This Row],[Teste 1]:[Teste 3]])</f>
        <v>3395.2074349643804</v>
      </c>
    </row>
    <row r="138" spans="1:20" x14ac:dyDescent="0.25">
      <c r="A138" s="16" t="s">
        <v>3</v>
      </c>
      <c r="B138" s="16" t="s">
        <v>4</v>
      </c>
      <c r="C138" s="17">
        <v>1</v>
      </c>
      <c r="D138" s="17">
        <v>1</v>
      </c>
      <c r="E138" s="17">
        <v>1</v>
      </c>
      <c r="F138" s="17">
        <f>AVERAGE(Table161215[[#This Row],[Teste 1]:[Teste 3]])</f>
        <v>1</v>
      </c>
      <c r="G138" s="16"/>
      <c r="H138" s="16" t="s">
        <v>3</v>
      </c>
      <c r="I138" s="16" t="s">
        <v>4</v>
      </c>
      <c r="J138" s="17">
        <v>1</v>
      </c>
      <c r="K138" s="17">
        <v>1</v>
      </c>
      <c r="L138" s="17">
        <v>1</v>
      </c>
      <c r="M138" s="17">
        <f>AVERAGE(Table16121574[[#This Row],[Teste 1]:[Teste 3]])</f>
        <v>1</v>
      </c>
      <c r="N138" s="16"/>
      <c r="O138" s="16" t="s">
        <v>3</v>
      </c>
      <c r="P138" s="16" t="s">
        <v>4</v>
      </c>
      <c r="Q138" s="17">
        <v>1</v>
      </c>
      <c r="R138" s="17">
        <v>1</v>
      </c>
      <c r="S138" s="17">
        <v>1</v>
      </c>
      <c r="T138" s="17">
        <f>AVERAGE(Table16121586[[#This Row],[Teste 1]:[Teste 3]])</f>
        <v>1</v>
      </c>
    </row>
    <row r="139" spans="1:20" x14ac:dyDescent="0.25">
      <c r="A139" s="16" t="s">
        <v>3</v>
      </c>
      <c r="B139" s="16" t="s">
        <v>5</v>
      </c>
      <c r="C139" s="17">
        <v>2</v>
      </c>
      <c r="D139" s="17">
        <v>2</v>
      </c>
      <c r="E139" s="17">
        <v>6</v>
      </c>
      <c r="F139" s="17">
        <f>AVERAGE(Table161215[[#This Row],[Teste 1]:[Teste 3]])</f>
        <v>3.3333333333333335</v>
      </c>
      <c r="G139" s="16"/>
      <c r="H139" s="16" t="s">
        <v>3</v>
      </c>
      <c r="I139" s="16" t="s">
        <v>5</v>
      </c>
      <c r="J139" s="17">
        <v>2</v>
      </c>
      <c r="K139" s="17">
        <v>2</v>
      </c>
      <c r="L139" s="17">
        <v>2</v>
      </c>
      <c r="M139" s="17">
        <f>AVERAGE(Table16121574[[#This Row],[Teste 1]:[Teste 3]])</f>
        <v>2</v>
      </c>
      <c r="N139" s="16"/>
      <c r="O139" s="16" t="s">
        <v>3</v>
      </c>
      <c r="P139" s="16" t="s">
        <v>5</v>
      </c>
      <c r="Q139" s="17">
        <v>15852</v>
      </c>
      <c r="R139" s="17">
        <v>14604</v>
      </c>
      <c r="S139" s="17">
        <v>2167</v>
      </c>
      <c r="T139" s="17">
        <f>AVERAGE(Table16121586[[#This Row],[Teste 1]:[Teste 3]])</f>
        <v>10874.333333333334</v>
      </c>
    </row>
    <row r="140" spans="1:20" x14ac:dyDescent="0.25">
      <c r="A140" s="16" t="s">
        <v>3</v>
      </c>
      <c r="B140" s="16" t="s">
        <v>6</v>
      </c>
      <c r="C140" s="17">
        <v>2</v>
      </c>
      <c r="D140" s="17">
        <v>2</v>
      </c>
      <c r="E140" s="17">
        <v>6</v>
      </c>
      <c r="F140" s="17">
        <f>AVERAGE(Table161215[[#This Row],[Teste 1]:[Teste 3]])</f>
        <v>3.3333333333333335</v>
      </c>
      <c r="G140" s="16"/>
      <c r="H140" s="16" t="s">
        <v>3</v>
      </c>
      <c r="I140" s="16" t="s">
        <v>6</v>
      </c>
      <c r="J140" s="17">
        <v>2</v>
      </c>
      <c r="K140" s="17">
        <v>2</v>
      </c>
      <c r="L140" s="17">
        <v>2</v>
      </c>
      <c r="M140" s="17">
        <f>AVERAGE(Table16121574[[#This Row],[Teste 1]:[Teste 3]])</f>
        <v>2</v>
      </c>
      <c r="N140" s="16"/>
      <c r="O140" s="16" t="s">
        <v>3</v>
      </c>
      <c r="P140" s="16" t="s">
        <v>6</v>
      </c>
      <c r="Q140" s="17">
        <v>15852</v>
      </c>
      <c r="R140" s="17">
        <v>14600</v>
      </c>
      <c r="S140" s="17">
        <v>2167</v>
      </c>
      <c r="T140" s="17">
        <f>AVERAGE(Table16121586[[#This Row],[Teste 1]:[Teste 3]])</f>
        <v>10873</v>
      </c>
    </row>
    <row r="141" spans="1:20" x14ac:dyDescent="0.25">
      <c r="A141" s="16" t="s">
        <v>3</v>
      </c>
      <c r="B141" s="16" t="s">
        <v>7</v>
      </c>
      <c r="C141" s="17">
        <v>2</v>
      </c>
      <c r="D141" s="17">
        <v>2</v>
      </c>
      <c r="E141" s="17">
        <v>6</v>
      </c>
      <c r="F141" s="17">
        <f>AVERAGE(Table161215[[#This Row],[Teste 1]:[Teste 3]])</f>
        <v>3.3333333333333335</v>
      </c>
      <c r="G141" s="16"/>
      <c r="H141" s="16" t="s">
        <v>3</v>
      </c>
      <c r="I141" s="16" t="s">
        <v>7</v>
      </c>
      <c r="J141" s="17">
        <v>2</v>
      </c>
      <c r="K141" s="17">
        <v>2</v>
      </c>
      <c r="L141" s="17">
        <v>2</v>
      </c>
      <c r="M141" s="17">
        <f>AVERAGE(Table16121574[[#This Row],[Teste 1]:[Teste 3]])</f>
        <v>2</v>
      </c>
      <c r="N141" s="16"/>
      <c r="O141" s="16" t="s">
        <v>3</v>
      </c>
      <c r="P141" s="16" t="s">
        <v>7</v>
      </c>
      <c r="Q141" s="17">
        <v>15852</v>
      </c>
      <c r="R141" s="17">
        <v>14607</v>
      </c>
      <c r="S141" s="17">
        <v>2167</v>
      </c>
      <c r="T141" s="17">
        <f>AVERAGE(Table16121586[[#This Row],[Teste 1]:[Teste 3]])</f>
        <v>10875.333333333334</v>
      </c>
    </row>
    <row r="142" spans="1:20" x14ac:dyDescent="0.25">
      <c r="A142" s="16" t="s">
        <v>3</v>
      </c>
      <c r="B142" s="16" t="s">
        <v>8</v>
      </c>
      <c r="C142" s="17">
        <v>2</v>
      </c>
      <c r="D142" s="17">
        <v>2</v>
      </c>
      <c r="E142" s="17">
        <v>6</v>
      </c>
      <c r="F142" s="17">
        <f>AVERAGE(Table161215[[#This Row],[Teste 1]:[Teste 3]])</f>
        <v>3.3333333333333335</v>
      </c>
      <c r="G142" s="16"/>
      <c r="H142" s="16" t="s">
        <v>3</v>
      </c>
      <c r="I142" s="16" t="s">
        <v>8</v>
      </c>
      <c r="J142" s="17">
        <v>2</v>
      </c>
      <c r="K142" s="17">
        <v>2</v>
      </c>
      <c r="L142" s="17">
        <v>2</v>
      </c>
      <c r="M142" s="17">
        <f>AVERAGE(Table16121574[[#This Row],[Teste 1]:[Teste 3]])</f>
        <v>2</v>
      </c>
      <c r="N142" s="16"/>
      <c r="O142" s="16" t="s">
        <v>3</v>
      </c>
      <c r="P142" s="16" t="s">
        <v>8</v>
      </c>
      <c r="Q142" s="17">
        <v>15852</v>
      </c>
      <c r="R142" s="17">
        <v>14607</v>
      </c>
      <c r="S142" s="17">
        <v>2167</v>
      </c>
      <c r="T142" s="17">
        <f>AVERAGE(Table16121586[[#This Row],[Teste 1]:[Teste 3]])</f>
        <v>10875.333333333334</v>
      </c>
    </row>
    <row r="143" spans="1:20" x14ac:dyDescent="0.25">
      <c r="A143" s="16" t="s">
        <v>3</v>
      </c>
      <c r="B143" s="16" t="s">
        <v>9</v>
      </c>
      <c r="C143" s="17">
        <v>2</v>
      </c>
      <c r="D143" s="17">
        <v>2</v>
      </c>
      <c r="E143" s="17">
        <v>6</v>
      </c>
      <c r="F143" s="17">
        <f>AVERAGE(Table161215[[#This Row],[Teste 1]:[Teste 3]])</f>
        <v>3.3333333333333335</v>
      </c>
      <c r="G143" s="16"/>
      <c r="H143" s="16" t="s">
        <v>3</v>
      </c>
      <c r="I143" s="16" t="s">
        <v>9</v>
      </c>
      <c r="J143" s="17">
        <v>2</v>
      </c>
      <c r="K143" s="17">
        <v>2</v>
      </c>
      <c r="L143" s="17">
        <v>2</v>
      </c>
      <c r="M143" s="17">
        <f>AVERAGE(Table16121574[[#This Row],[Teste 1]:[Teste 3]])</f>
        <v>2</v>
      </c>
      <c r="N143" s="16"/>
      <c r="O143" s="16" t="s">
        <v>3</v>
      </c>
      <c r="P143" s="16" t="s">
        <v>9</v>
      </c>
      <c r="Q143" s="17">
        <v>15852</v>
      </c>
      <c r="R143" s="17">
        <v>14607</v>
      </c>
      <c r="S143" s="17">
        <v>2167</v>
      </c>
      <c r="T143" s="17">
        <f>AVERAGE(Table16121586[[#This Row],[Teste 1]:[Teste 3]])</f>
        <v>10875.333333333334</v>
      </c>
    </row>
    <row r="144" spans="1:20" x14ac:dyDescent="0.25">
      <c r="A144" s="16" t="s">
        <v>10</v>
      </c>
      <c r="B144" s="16" t="s">
        <v>4</v>
      </c>
      <c r="C144" s="17">
        <v>10000000</v>
      </c>
      <c r="D144" s="17">
        <v>10000000</v>
      </c>
      <c r="E144" s="17">
        <v>10000000</v>
      </c>
      <c r="F144" s="17">
        <f>AVERAGE(Table161215[[#This Row],[Teste 1]:[Teste 3]])</f>
        <v>10000000</v>
      </c>
      <c r="G144" s="16"/>
      <c r="H144" s="16" t="s">
        <v>10</v>
      </c>
      <c r="I144" s="16" t="s">
        <v>4</v>
      </c>
      <c r="J144" s="17">
        <v>10000000</v>
      </c>
      <c r="K144" s="17">
        <v>10000000</v>
      </c>
      <c r="L144" s="17">
        <v>10000000</v>
      </c>
      <c r="M144" s="17">
        <f>AVERAGE(Table16121574[[#This Row],[Teste 1]:[Teste 3]])</f>
        <v>10000000</v>
      </c>
      <c r="N144" s="16"/>
      <c r="O144" s="16" t="s">
        <v>10</v>
      </c>
      <c r="P144" s="16" t="s">
        <v>4</v>
      </c>
      <c r="Q144" s="17">
        <v>10000000</v>
      </c>
      <c r="R144" s="17">
        <v>10000000</v>
      </c>
      <c r="S144" s="17">
        <v>10000000</v>
      </c>
      <c r="T144" s="17">
        <f>AVERAGE(Table16121586[[#This Row],[Teste 1]:[Teste 3]])</f>
        <v>10000000</v>
      </c>
    </row>
    <row r="145" spans="1:20" x14ac:dyDescent="0.25">
      <c r="A145" s="16" t="s">
        <v>10</v>
      </c>
      <c r="B145" s="16" t="s">
        <v>5</v>
      </c>
      <c r="C145" s="17">
        <v>417.51569360000002</v>
      </c>
      <c r="D145" s="17">
        <v>465.2556563</v>
      </c>
      <c r="E145" s="17">
        <v>477.65943659999999</v>
      </c>
      <c r="F145" s="17">
        <f>AVERAGE(Table161215[[#This Row],[Teste 1]:[Teste 3]])</f>
        <v>453.47692883333337</v>
      </c>
      <c r="G145" s="16"/>
      <c r="H145" s="16" t="s">
        <v>10</v>
      </c>
      <c r="I145" s="16" t="s">
        <v>5</v>
      </c>
      <c r="J145" s="17">
        <v>555329</v>
      </c>
      <c r="K145" s="17">
        <v>618.79</v>
      </c>
      <c r="L145" s="17">
        <v>635.29</v>
      </c>
      <c r="M145" s="17">
        <f>AVERAGE(Table16121574[[#This Row],[Teste 1]:[Teste 3]])</f>
        <v>185527.69333333336</v>
      </c>
      <c r="N145" s="16"/>
      <c r="O145" s="16" t="s">
        <v>10</v>
      </c>
      <c r="P145" s="16" t="s">
        <v>5</v>
      </c>
      <c r="Q145" s="17">
        <v>260.10312670000002</v>
      </c>
      <c r="R145" s="17">
        <v>361.68215129999999</v>
      </c>
      <c r="S145" s="17">
        <v>272.2047809</v>
      </c>
      <c r="T145" s="17">
        <f>AVERAGE(Table16121586[[#This Row],[Teste 1]:[Teste 3]])</f>
        <v>297.99668630000002</v>
      </c>
    </row>
    <row r="146" spans="1:20" x14ac:dyDescent="0.25">
      <c r="A146" s="16" t="s">
        <v>10</v>
      </c>
      <c r="B146" s="16" t="s">
        <v>6</v>
      </c>
      <c r="C146" s="17">
        <v>223</v>
      </c>
      <c r="D146" s="17">
        <v>213</v>
      </c>
      <c r="E146" s="17">
        <v>212</v>
      </c>
      <c r="F146" s="17">
        <f>AVERAGE(Table161215[[#This Row],[Teste 1]:[Teste 3]])</f>
        <v>216</v>
      </c>
      <c r="G146" s="16"/>
      <c r="H146" s="16" t="s">
        <v>10</v>
      </c>
      <c r="I146" s="16" t="s">
        <v>6</v>
      </c>
      <c r="J146" s="17">
        <v>297</v>
      </c>
      <c r="K146" s="17">
        <v>283</v>
      </c>
      <c r="L146" s="17">
        <v>282</v>
      </c>
      <c r="M146" s="17">
        <f>AVERAGE(Table16121574[[#This Row],[Teste 1]:[Teste 3]])</f>
        <v>287.33333333333331</v>
      </c>
      <c r="N146" s="16"/>
      <c r="O146" s="16" t="s">
        <v>10</v>
      </c>
      <c r="P146" s="16" t="s">
        <v>6</v>
      </c>
      <c r="Q146" s="17">
        <v>169</v>
      </c>
      <c r="R146" s="17">
        <v>151</v>
      </c>
      <c r="S146" s="17">
        <v>155</v>
      </c>
      <c r="T146" s="17">
        <f>AVERAGE(Table16121586[[#This Row],[Teste 1]:[Teste 3]])</f>
        <v>158.33333333333334</v>
      </c>
    </row>
    <row r="147" spans="1:20" x14ac:dyDescent="0.25">
      <c r="A147" s="16" t="s">
        <v>10</v>
      </c>
      <c r="B147" s="16" t="s">
        <v>7</v>
      </c>
      <c r="C147" s="17">
        <v>68415</v>
      </c>
      <c r="D147" s="17">
        <v>53439</v>
      </c>
      <c r="E147" s="17">
        <v>41599</v>
      </c>
      <c r="F147" s="17">
        <f>AVERAGE(Table161215[[#This Row],[Teste 1]:[Teste 3]])</f>
        <v>54484.333333333336</v>
      </c>
      <c r="G147" s="16"/>
      <c r="H147" s="16" t="s">
        <v>10</v>
      </c>
      <c r="I147" s="16" t="s">
        <v>7</v>
      </c>
      <c r="J147" s="17">
        <v>90992</v>
      </c>
      <c r="K147" s="17">
        <v>71074</v>
      </c>
      <c r="L147" s="17">
        <v>55327</v>
      </c>
      <c r="M147" s="17">
        <f>AVERAGE(Table16121574[[#This Row],[Teste 1]:[Teste 3]])</f>
        <v>72464.333333333328</v>
      </c>
      <c r="N147" s="16"/>
      <c r="O147" s="16" t="s">
        <v>10</v>
      </c>
      <c r="P147" s="16" t="s">
        <v>7</v>
      </c>
      <c r="Q147" s="17">
        <v>1996799</v>
      </c>
      <c r="R147" s="17">
        <v>2082815</v>
      </c>
      <c r="S147" s="17">
        <v>1821695</v>
      </c>
      <c r="T147" s="17">
        <f>AVERAGE(Table16121586[[#This Row],[Teste 1]:[Teste 3]])</f>
        <v>1967103</v>
      </c>
    </row>
    <row r="148" spans="1:20" x14ac:dyDescent="0.25">
      <c r="A148" s="16" t="s">
        <v>10</v>
      </c>
      <c r="B148" s="16" t="s">
        <v>8</v>
      </c>
      <c r="C148" s="17">
        <v>580</v>
      </c>
      <c r="D148" s="17">
        <v>717</v>
      </c>
      <c r="E148" s="17">
        <v>827</v>
      </c>
      <c r="F148" s="17">
        <f>AVERAGE(Table161215[[#This Row],[Teste 1]:[Teste 3]])</f>
        <v>708</v>
      </c>
      <c r="G148" s="16"/>
      <c r="H148" s="16" t="s">
        <v>10</v>
      </c>
      <c r="I148" s="16" t="s">
        <v>8</v>
      </c>
      <c r="J148" s="17">
        <v>771</v>
      </c>
      <c r="K148" s="17">
        <v>954</v>
      </c>
      <c r="L148" s="17">
        <v>1010</v>
      </c>
      <c r="M148" s="17">
        <f>AVERAGE(Table16121574[[#This Row],[Teste 1]:[Teste 3]])</f>
        <v>911.66666666666663</v>
      </c>
      <c r="N148" s="16"/>
      <c r="O148" s="16" t="s">
        <v>10</v>
      </c>
      <c r="P148" s="16" t="s">
        <v>8</v>
      </c>
      <c r="Q148" s="17">
        <v>317</v>
      </c>
      <c r="R148" s="17">
        <v>670</v>
      </c>
      <c r="S148" s="17">
        <v>363</v>
      </c>
      <c r="T148" s="17">
        <f>AVERAGE(Table16121586[[#This Row],[Teste 1]:[Teste 3]])</f>
        <v>450</v>
      </c>
    </row>
    <row r="149" spans="1:20" x14ac:dyDescent="0.25">
      <c r="A149" s="16" t="s">
        <v>10</v>
      </c>
      <c r="B149" s="16" t="s">
        <v>9</v>
      </c>
      <c r="C149" s="17">
        <v>777</v>
      </c>
      <c r="D149" s="17">
        <v>1296</v>
      </c>
      <c r="E149" s="17">
        <v>1504</v>
      </c>
      <c r="F149" s="17">
        <f>AVERAGE(Table161215[[#This Row],[Teste 1]:[Teste 3]])</f>
        <v>1192.3333333333333</v>
      </c>
      <c r="G149" s="16"/>
      <c r="H149" s="16" t="s">
        <v>10</v>
      </c>
      <c r="I149" s="16" t="s">
        <v>9</v>
      </c>
      <c r="J149" s="17">
        <v>1033</v>
      </c>
      <c r="K149" s="17">
        <v>1724</v>
      </c>
      <c r="L149" s="17">
        <v>2000</v>
      </c>
      <c r="M149" s="17">
        <f>AVERAGE(Table16121574[[#This Row],[Teste 1]:[Teste 3]])</f>
        <v>1585.6666666666667</v>
      </c>
      <c r="N149" s="16"/>
      <c r="O149" s="16" t="s">
        <v>10</v>
      </c>
      <c r="P149" s="16" t="s">
        <v>9</v>
      </c>
      <c r="Q149" s="17">
        <v>470</v>
      </c>
      <c r="R149" s="17">
        <v>805</v>
      </c>
      <c r="S149" s="17">
        <v>572</v>
      </c>
      <c r="T149" s="17">
        <f>AVERAGE(Table16121586[[#This Row],[Teste 1]:[Teste 3]])</f>
        <v>615.66666666666663</v>
      </c>
    </row>
    <row r="150" spans="1:20" x14ac:dyDescent="0.25">
      <c r="A150" s="16" t="s">
        <v>10</v>
      </c>
      <c r="B150" s="16" t="s">
        <v>11</v>
      </c>
      <c r="C150" s="17">
        <v>10000000</v>
      </c>
      <c r="D150" s="17">
        <v>10000000</v>
      </c>
      <c r="E150" s="17">
        <v>10000000</v>
      </c>
      <c r="F150" s="17">
        <f>AVERAGE(Table161215[[#This Row],[Teste 1]:[Teste 3]])</f>
        <v>10000000</v>
      </c>
      <c r="G150" s="16"/>
      <c r="H150" s="16" t="s">
        <v>10</v>
      </c>
      <c r="I150" s="16" t="s">
        <v>11</v>
      </c>
      <c r="J150" s="17">
        <v>10000000</v>
      </c>
      <c r="K150" s="17">
        <v>10000000</v>
      </c>
      <c r="L150" s="17">
        <v>10000000</v>
      </c>
      <c r="M150" s="17">
        <f>AVERAGE(Table16121574[[#This Row],[Teste 1]:[Teste 3]])</f>
        <v>10000000</v>
      </c>
      <c r="N150" s="16"/>
      <c r="O150" s="16" t="s">
        <v>10</v>
      </c>
      <c r="P150" s="16" t="s">
        <v>11</v>
      </c>
      <c r="Q150" s="17">
        <v>10000000</v>
      </c>
      <c r="R150" s="17">
        <v>10000000</v>
      </c>
      <c r="S150" s="17">
        <v>10000000</v>
      </c>
      <c r="T150" s="17">
        <f>AVERAGE(Table16121586[[#This Row],[Teste 1]:[Teste 3]])</f>
        <v>10000000</v>
      </c>
    </row>
    <row r="151" spans="1:20" x14ac:dyDescent="0.25">
      <c r="A151" s="16"/>
      <c r="B151" s="16"/>
      <c r="C151" s="17"/>
      <c r="D151" s="17"/>
      <c r="E151" s="17"/>
      <c r="F151" s="17"/>
      <c r="G151" s="16"/>
      <c r="H151" s="16"/>
      <c r="I151" s="16"/>
      <c r="J151" s="17"/>
      <c r="K151" s="17"/>
      <c r="L151" s="17"/>
      <c r="M151" s="17"/>
      <c r="N151" s="16"/>
      <c r="O151" s="16"/>
      <c r="P151" s="16"/>
      <c r="Q151" s="17"/>
      <c r="R151" s="17"/>
      <c r="S151" s="17"/>
      <c r="T151" s="17"/>
    </row>
    <row r="152" spans="1:20" x14ac:dyDescent="0.25">
      <c r="A152" s="16"/>
      <c r="B152" s="16"/>
      <c r="C152" s="17"/>
      <c r="D152" s="17"/>
      <c r="E152" s="17"/>
      <c r="F152" s="17"/>
      <c r="G152" s="16"/>
      <c r="H152" s="16"/>
      <c r="I152" s="16"/>
      <c r="J152" s="17"/>
      <c r="K152" s="17"/>
      <c r="L152" s="17"/>
      <c r="M152" s="17"/>
      <c r="N152" s="16"/>
      <c r="O152" s="16"/>
      <c r="P152" s="16"/>
      <c r="Q152" s="17"/>
      <c r="R152" s="17"/>
      <c r="S152" s="17"/>
      <c r="T152" s="17"/>
    </row>
    <row r="153" spans="1:20" x14ac:dyDescent="0.25">
      <c r="A153" s="16"/>
      <c r="B153" s="16"/>
      <c r="C153" s="17"/>
      <c r="D153" s="17"/>
      <c r="E153" s="17"/>
      <c r="F153" s="17"/>
      <c r="G153" s="16"/>
      <c r="H153" s="16"/>
      <c r="I153" s="16"/>
      <c r="J153" s="17"/>
      <c r="K153" s="17"/>
      <c r="L153" s="17"/>
      <c r="M153" s="17"/>
      <c r="N153" s="16"/>
      <c r="O153" s="16"/>
      <c r="P153" s="16"/>
      <c r="Q153" s="17"/>
      <c r="R153" s="17"/>
      <c r="S153" s="17"/>
      <c r="T153" s="17"/>
    </row>
    <row r="154" spans="1:20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 x14ac:dyDescent="0.25">
      <c r="A155" s="16" t="s">
        <v>76</v>
      </c>
      <c r="B155" s="16"/>
      <c r="C155" s="16"/>
      <c r="D155" s="16"/>
      <c r="E155" s="16"/>
      <c r="F155" s="16"/>
      <c r="G155" s="16"/>
      <c r="H155" s="16" t="s">
        <v>76</v>
      </c>
      <c r="I155" s="16"/>
      <c r="J155" s="16"/>
      <c r="K155" s="16"/>
      <c r="L155" s="16"/>
      <c r="M155" s="16"/>
      <c r="N155" s="16"/>
      <c r="O155" s="16" t="s">
        <v>76</v>
      </c>
      <c r="P155" s="16"/>
      <c r="Q155" s="16"/>
      <c r="R155" s="16"/>
      <c r="S155" s="16"/>
      <c r="T155" s="16"/>
    </row>
    <row r="156" spans="1:20" x14ac:dyDescent="0.25">
      <c r="A156" s="16" t="s">
        <v>59</v>
      </c>
      <c r="B156" s="20" t="s">
        <v>80</v>
      </c>
      <c r="C156" s="16" t="s">
        <v>82</v>
      </c>
      <c r="D156" s="16" t="s">
        <v>64</v>
      </c>
      <c r="E156" s="16" t="s">
        <v>63</v>
      </c>
      <c r="F156" s="16" t="s">
        <v>18</v>
      </c>
      <c r="G156" s="16"/>
      <c r="H156" s="16" t="s">
        <v>12</v>
      </c>
      <c r="I156" s="20" t="s">
        <v>80</v>
      </c>
      <c r="J156" s="16" t="s">
        <v>82</v>
      </c>
      <c r="K156" s="16" t="s">
        <v>64</v>
      </c>
      <c r="L156" s="16" t="s">
        <v>63</v>
      </c>
      <c r="M156" s="16" t="s">
        <v>18</v>
      </c>
      <c r="N156" s="16"/>
      <c r="O156" s="16" t="s">
        <v>13</v>
      </c>
      <c r="P156" s="20" t="s">
        <v>80</v>
      </c>
      <c r="Q156" s="16" t="s">
        <v>82</v>
      </c>
      <c r="R156" s="16" t="s">
        <v>64</v>
      </c>
      <c r="S156" s="16" t="s">
        <v>63</v>
      </c>
      <c r="T156" s="16" t="s">
        <v>18</v>
      </c>
    </row>
    <row r="157" spans="1:20" x14ac:dyDescent="0.25">
      <c r="A157" s="16" t="s">
        <v>0</v>
      </c>
      <c r="B157" s="16" t="s">
        <v>1</v>
      </c>
      <c r="C157" s="17">
        <v>1500778</v>
      </c>
      <c r="D157" s="17">
        <v>1351166</v>
      </c>
      <c r="E157" s="17">
        <v>1428095</v>
      </c>
      <c r="F157" s="17">
        <f>AVERAGE(Table1671316[[#This Row],[Teste 1]:[Teste 3]])</f>
        <v>1426679.6666666667</v>
      </c>
      <c r="G157" s="16"/>
      <c r="H157" s="16" t="s">
        <v>0</v>
      </c>
      <c r="I157" s="16" t="s">
        <v>1</v>
      </c>
      <c r="J157" s="17">
        <v>2656377</v>
      </c>
      <c r="K157" s="17">
        <v>2391564</v>
      </c>
      <c r="L157" s="17">
        <v>2527728</v>
      </c>
      <c r="M157" s="17">
        <f>AVERAGE(Table167131675[[#This Row],[Teste 1]:[Teste 3]])</f>
        <v>2525223</v>
      </c>
      <c r="N157" s="16"/>
      <c r="O157" s="16" t="s">
        <v>0</v>
      </c>
      <c r="P157" s="16" t="s">
        <v>1</v>
      </c>
      <c r="Q157" s="17">
        <v>1359024</v>
      </c>
      <c r="R157" s="17">
        <v>1294396</v>
      </c>
      <c r="S157" s="17">
        <v>1319123</v>
      </c>
      <c r="T157" s="17">
        <f>AVERAGE(Table167131687[[#This Row],[Teste 1]:[Teste 3]])</f>
        <v>1324181</v>
      </c>
    </row>
    <row r="158" spans="1:20" x14ac:dyDescent="0.25">
      <c r="A158" s="16" t="s">
        <v>0</v>
      </c>
      <c r="B158" s="16" t="s">
        <v>2</v>
      </c>
      <c r="C158" s="17">
        <v>6998.7555872612402</v>
      </c>
      <c r="D158" s="17">
        <v>7401.0151232342996</v>
      </c>
      <c r="E158" s="17">
        <v>7002.3352788154798</v>
      </c>
      <c r="F158" s="17">
        <f>AVERAGE(Table1671316[[#This Row],[Teste 1]:[Teste 3]])</f>
        <v>7134.0353297703405</v>
      </c>
      <c r="G158" s="16"/>
      <c r="H158" s="16" t="s">
        <v>0</v>
      </c>
      <c r="I158" s="16" t="s">
        <v>2</v>
      </c>
      <c r="J158" s="17">
        <v>3954.09</v>
      </c>
      <c r="K158" s="17">
        <v>4181.37</v>
      </c>
      <c r="L158" s="17">
        <v>3956.12</v>
      </c>
      <c r="M158" s="17">
        <f>AVERAGE(Table167131675[[#This Row],[Teste 1]:[Teste 3]])</f>
        <v>4030.5266666666666</v>
      </c>
      <c r="N158" s="16"/>
      <c r="O158" s="16" t="s">
        <v>0</v>
      </c>
      <c r="P158" s="16" t="s">
        <v>2</v>
      </c>
      <c r="Q158" s="17">
        <v>7358.2217826911001</v>
      </c>
      <c r="R158" s="17">
        <v>7725.6110185754496</v>
      </c>
      <c r="S158" s="17">
        <v>7580.7942094861501</v>
      </c>
      <c r="T158" s="17">
        <f>AVERAGE(Table167131687[[#This Row],[Teste 1]:[Teste 3]])</f>
        <v>7554.8756702509008</v>
      </c>
    </row>
    <row r="159" spans="1:20" x14ac:dyDescent="0.25">
      <c r="A159" s="16" t="s">
        <v>3</v>
      </c>
      <c r="B159" s="16" t="s">
        <v>4</v>
      </c>
      <c r="C159" s="17">
        <v>3</v>
      </c>
      <c r="D159" s="17">
        <v>3</v>
      </c>
      <c r="E159" s="17">
        <v>3</v>
      </c>
      <c r="F159" s="17">
        <f>AVERAGE(Table1671316[[#This Row],[Teste 1]:[Teste 3]])</f>
        <v>3</v>
      </c>
      <c r="G159" s="16"/>
      <c r="H159" s="16" t="s">
        <v>3</v>
      </c>
      <c r="I159" s="16" t="s">
        <v>4</v>
      </c>
      <c r="J159" s="17">
        <v>3</v>
      </c>
      <c r="K159" s="17">
        <v>3</v>
      </c>
      <c r="L159" s="17">
        <v>3</v>
      </c>
      <c r="M159" s="17">
        <f>AVERAGE(Table167131675[[#This Row],[Teste 1]:[Teste 3]])</f>
        <v>3</v>
      </c>
      <c r="N159" s="16"/>
      <c r="O159" s="16" t="s">
        <v>3</v>
      </c>
      <c r="P159" s="16" t="s">
        <v>4</v>
      </c>
      <c r="Q159" s="17">
        <v>3</v>
      </c>
      <c r="R159" s="17">
        <v>3</v>
      </c>
      <c r="S159" s="17">
        <v>3</v>
      </c>
      <c r="T159" s="17">
        <f>AVERAGE(Table167131687[[#This Row],[Teste 1]:[Teste 3]])</f>
        <v>3</v>
      </c>
    </row>
    <row r="160" spans="1:20" x14ac:dyDescent="0.25">
      <c r="A160" s="16" t="s">
        <v>3</v>
      </c>
      <c r="B160" s="16" t="s">
        <v>5</v>
      </c>
      <c r="C160" s="17">
        <v>2</v>
      </c>
      <c r="D160" s="17">
        <v>1.3333333333333299</v>
      </c>
      <c r="E160" s="17">
        <v>0.66666666666666596</v>
      </c>
      <c r="F160" s="17">
        <f>AVERAGE(Table1671316[[#This Row],[Teste 1]:[Teste 3]])</f>
        <v>1.3333333333333319</v>
      </c>
      <c r="G160" s="16"/>
      <c r="H160" s="16" t="s">
        <v>3</v>
      </c>
      <c r="I160" s="16" t="s">
        <v>5</v>
      </c>
      <c r="J160" s="17">
        <v>3.3333333333333299</v>
      </c>
      <c r="K160" s="17">
        <v>0.66666666666666596</v>
      </c>
      <c r="L160" s="17">
        <v>0.66666666666666596</v>
      </c>
      <c r="M160" s="17">
        <f>AVERAGE(Table167131675[[#This Row],[Teste 1]:[Teste 3]])</f>
        <v>1.5555555555555538</v>
      </c>
      <c r="N160" s="16"/>
      <c r="O160" s="16" t="s">
        <v>3</v>
      </c>
      <c r="P160" s="16" t="s">
        <v>5</v>
      </c>
      <c r="Q160" s="17">
        <v>953.66666666666595</v>
      </c>
      <c r="R160" s="17">
        <v>2248.3333333333298</v>
      </c>
      <c r="S160" s="17">
        <v>1797</v>
      </c>
      <c r="T160" s="17">
        <f>AVERAGE(Table167131687[[#This Row],[Teste 1]:[Teste 3]])</f>
        <v>1666.3333333333321</v>
      </c>
    </row>
    <row r="161" spans="1:20" x14ac:dyDescent="0.25">
      <c r="A161" s="16" t="s">
        <v>3</v>
      </c>
      <c r="B161" s="16" t="s">
        <v>6</v>
      </c>
      <c r="C161" s="17">
        <v>1</v>
      </c>
      <c r="D161" s="17">
        <v>0</v>
      </c>
      <c r="E161" s="17">
        <v>0</v>
      </c>
      <c r="F161" s="17">
        <f>AVERAGE(Table1671316[[#This Row],[Teste 1]:[Teste 3]])</f>
        <v>0.33333333333333331</v>
      </c>
      <c r="G161" s="16"/>
      <c r="H161" s="16" t="s">
        <v>3</v>
      </c>
      <c r="I161" s="16" t="s">
        <v>6</v>
      </c>
      <c r="J161" s="17">
        <v>0</v>
      </c>
      <c r="K161" s="17">
        <v>0</v>
      </c>
      <c r="L161" s="17">
        <v>0</v>
      </c>
      <c r="M161" s="17">
        <f>AVERAGE(Table167131675[[#This Row],[Teste 1]:[Teste 3]])</f>
        <v>0</v>
      </c>
      <c r="N161" s="16"/>
      <c r="O161" s="16" t="s">
        <v>3</v>
      </c>
      <c r="P161" s="16" t="s">
        <v>6</v>
      </c>
      <c r="Q161" s="17">
        <v>2</v>
      </c>
      <c r="R161" s="17">
        <v>2</v>
      </c>
      <c r="S161" s="17">
        <v>1</v>
      </c>
      <c r="T161" s="17">
        <f>AVERAGE(Table167131687[[#This Row],[Teste 1]:[Teste 3]])</f>
        <v>1.6666666666666667</v>
      </c>
    </row>
    <row r="162" spans="1:20" x14ac:dyDescent="0.25">
      <c r="A162" s="16" t="s">
        <v>3</v>
      </c>
      <c r="B162" s="16" t="s">
        <v>7</v>
      </c>
      <c r="C162" s="17">
        <v>4</v>
      </c>
      <c r="D162" s="17">
        <v>3</v>
      </c>
      <c r="E162" s="17">
        <v>2</v>
      </c>
      <c r="F162" s="17">
        <f>AVERAGE(Table1671316[[#This Row],[Teste 1]:[Teste 3]])</f>
        <v>3</v>
      </c>
      <c r="G162" s="16"/>
      <c r="H162" s="16" t="s">
        <v>3</v>
      </c>
      <c r="I162" s="16" t="s">
        <v>7</v>
      </c>
      <c r="J162" s="17">
        <v>7</v>
      </c>
      <c r="K162" s="17">
        <v>2</v>
      </c>
      <c r="L162" s="17">
        <v>2</v>
      </c>
      <c r="M162" s="17">
        <f>AVERAGE(Table167131675[[#This Row],[Teste 1]:[Teste 3]])</f>
        <v>3.6666666666666665</v>
      </c>
      <c r="N162" s="16"/>
      <c r="O162" s="16" t="s">
        <v>3</v>
      </c>
      <c r="P162" s="16" t="s">
        <v>7</v>
      </c>
      <c r="Q162" s="17">
        <v>2853</v>
      </c>
      <c r="R162" s="17">
        <v>6739</v>
      </c>
      <c r="S162" s="17">
        <v>5383</v>
      </c>
      <c r="T162" s="17">
        <f>AVERAGE(Table167131687[[#This Row],[Teste 1]:[Teste 3]])</f>
        <v>4991.666666666667</v>
      </c>
    </row>
    <row r="163" spans="1:20" x14ac:dyDescent="0.25">
      <c r="A163" s="16" t="s">
        <v>3</v>
      </c>
      <c r="B163" s="16" t="s">
        <v>8</v>
      </c>
      <c r="C163" s="17">
        <v>4</v>
      </c>
      <c r="D163" s="17">
        <v>3</v>
      </c>
      <c r="E163" s="17">
        <v>2</v>
      </c>
      <c r="F163" s="17">
        <f>AVERAGE(Table1671316[[#This Row],[Teste 1]:[Teste 3]])</f>
        <v>3</v>
      </c>
      <c r="G163" s="16"/>
      <c r="H163" s="16" t="s">
        <v>3</v>
      </c>
      <c r="I163" s="16" t="s">
        <v>8</v>
      </c>
      <c r="J163" s="17">
        <v>7</v>
      </c>
      <c r="K163" s="17">
        <v>2</v>
      </c>
      <c r="L163" s="17">
        <v>2</v>
      </c>
      <c r="M163" s="17">
        <f>AVERAGE(Table167131675[[#This Row],[Teste 1]:[Teste 3]])</f>
        <v>3.6666666666666665</v>
      </c>
      <c r="N163" s="16"/>
      <c r="O163" s="16" t="s">
        <v>3</v>
      </c>
      <c r="P163" s="16" t="s">
        <v>8</v>
      </c>
      <c r="Q163" s="17">
        <v>2853</v>
      </c>
      <c r="R163" s="17">
        <v>6739</v>
      </c>
      <c r="S163" s="17">
        <v>5383</v>
      </c>
      <c r="T163" s="17">
        <f>AVERAGE(Table167131687[[#This Row],[Teste 1]:[Teste 3]])</f>
        <v>4991.666666666667</v>
      </c>
    </row>
    <row r="164" spans="1:20" x14ac:dyDescent="0.25">
      <c r="A164" s="16" t="s">
        <v>3</v>
      </c>
      <c r="B164" s="16" t="s">
        <v>9</v>
      </c>
      <c r="C164" s="17">
        <v>4</v>
      </c>
      <c r="D164" s="17">
        <v>3</v>
      </c>
      <c r="E164" s="17">
        <v>2</v>
      </c>
      <c r="F164" s="17">
        <f>AVERAGE(Table1671316[[#This Row],[Teste 1]:[Teste 3]])</f>
        <v>3</v>
      </c>
      <c r="G164" s="16"/>
      <c r="H164" s="16" t="s">
        <v>3</v>
      </c>
      <c r="I164" s="16" t="s">
        <v>9</v>
      </c>
      <c r="J164" s="17">
        <v>7</v>
      </c>
      <c r="K164" s="17">
        <v>2</v>
      </c>
      <c r="L164" s="17">
        <v>2</v>
      </c>
      <c r="M164" s="17">
        <f>AVERAGE(Table167131675[[#This Row],[Teste 1]:[Teste 3]])</f>
        <v>3.6666666666666665</v>
      </c>
      <c r="N164" s="16"/>
      <c r="O164" s="16" t="s">
        <v>3</v>
      </c>
      <c r="P164" s="16" t="s">
        <v>9</v>
      </c>
      <c r="Q164" s="17">
        <v>2853</v>
      </c>
      <c r="R164" s="17">
        <v>6739</v>
      </c>
      <c r="S164" s="17">
        <v>5383</v>
      </c>
      <c r="T164" s="17">
        <f>AVERAGE(Table167131687[[#This Row],[Teste 1]:[Teste 3]])</f>
        <v>4991.666666666667</v>
      </c>
    </row>
    <row r="165" spans="1:20" x14ac:dyDescent="0.25">
      <c r="A165" s="16" t="s">
        <v>10</v>
      </c>
      <c r="B165" s="16" t="s">
        <v>4</v>
      </c>
      <c r="C165" s="17">
        <v>10000000</v>
      </c>
      <c r="D165" s="17">
        <v>10000000</v>
      </c>
      <c r="E165" s="17">
        <v>10000000</v>
      </c>
      <c r="F165" s="17">
        <f>AVERAGE(Table1671316[[#This Row],[Teste 1]:[Teste 3]])</f>
        <v>10000000</v>
      </c>
      <c r="G165" s="16"/>
      <c r="H165" s="16" t="s">
        <v>10</v>
      </c>
      <c r="I165" s="16" t="s">
        <v>4</v>
      </c>
      <c r="J165" s="17">
        <v>10000000</v>
      </c>
      <c r="K165" s="17">
        <v>10000000</v>
      </c>
      <c r="L165" s="17">
        <v>10000000</v>
      </c>
      <c r="M165" s="17">
        <f>AVERAGE(Table167131675[[#This Row],[Teste 1]:[Teste 3]])</f>
        <v>10000000</v>
      </c>
      <c r="N165" s="16"/>
      <c r="O165" s="16" t="s">
        <v>10</v>
      </c>
      <c r="P165" s="16" t="s">
        <v>4</v>
      </c>
      <c r="Q165" s="17">
        <v>10000000</v>
      </c>
      <c r="R165" s="17">
        <v>10000000</v>
      </c>
      <c r="S165" s="17">
        <v>10000000</v>
      </c>
      <c r="T165" s="17">
        <f>AVERAGE(Table167131687[[#This Row],[Teste 1]:[Teste 3]])</f>
        <v>10000000</v>
      </c>
    </row>
    <row r="166" spans="1:20" x14ac:dyDescent="0.25">
      <c r="A166" s="16" t="s">
        <v>10</v>
      </c>
      <c r="B166" s="16" t="s">
        <v>5</v>
      </c>
      <c r="C166" s="17">
        <v>739.68117770000003</v>
      </c>
      <c r="D166" s="17">
        <v>400.73488329999998</v>
      </c>
      <c r="E166" s="17">
        <v>423.627411</v>
      </c>
      <c r="F166" s="17">
        <f>AVERAGE(Table1671316[[#This Row],[Teste 1]:[Teste 3]])</f>
        <v>521.34782399999995</v>
      </c>
      <c r="G166" s="16"/>
      <c r="H166" s="16" t="s">
        <v>10</v>
      </c>
      <c r="I166" s="16" t="s">
        <v>5</v>
      </c>
      <c r="J166" s="17">
        <v>1309.24</v>
      </c>
      <c r="K166" s="17">
        <v>709.3</v>
      </c>
      <c r="L166" s="17">
        <v>749.82</v>
      </c>
      <c r="M166" s="17">
        <f>AVERAGE(Table167131675[[#This Row],[Teste 1]:[Teste 3]])</f>
        <v>922.78666666666675</v>
      </c>
      <c r="N166" s="16"/>
      <c r="O166" s="16" t="s">
        <v>10</v>
      </c>
      <c r="P166" s="16" t="s">
        <v>5</v>
      </c>
      <c r="Q166" s="17">
        <v>403.21582840000002</v>
      </c>
      <c r="R166" s="17">
        <v>384.8394035</v>
      </c>
      <c r="S166" s="17">
        <v>392.03965950000003</v>
      </c>
      <c r="T166" s="17">
        <f>AVERAGE(Table167131687[[#This Row],[Teste 1]:[Teste 3]])</f>
        <v>393.3649638</v>
      </c>
    </row>
    <row r="167" spans="1:20" x14ac:dyDescent="0.25">
      <c r="A167" s="16" t="s">
        <v>10</v>
      </c>
      <c r="B167" s="16" t="s">
        <v>6</v>
      </c>
      <c r="C167" s="17">
        <v>303</v>
      </c>
      <c r="D167" s="17">
        <v>210</v>
      </c>
      <c r="E167" s="17">
        <v>214</v>
      </c>
      <c r="F167" s="17">
        <f>AVERAGE(Table1671316[[#This Row],[Teste 1]:[Teste 3]])</f>
        <v>242.33333333333334</v>
      </c>
      <c r="G167" s="16"/>
      <c r="H167" s="16" t="s">
        <v>10</v>
      </c>
      <c r="I167" s="16" t="s">
        <v>6</v>
      </c>
      <c r="J167" s="17">
        <v>536</v>
      </c>
      <c r="K167" s="17">
        <v>371</v>
      </c>
      <c r="L167" s="17">
        <v>379</v>
      </c>
      <c r="M167" s="17">
        <f>AVERAGE(Table167131675[[#This Row],[Teste 1]:[Teste 3]])</f>
        <v>428.66666666666669</v>
      </c>
      <c r="N167" s="16"/>
      <c r="O167" s="16" t="s">
        <v>10</v>
      </c>
      <c r="P167" s="16" t="s">
        <v>6</v>
      </c>
      <c r="Q167" s="17">
        <v>154</v>
      </c>
      <c r="R167" s="17">
        <v>158</v>
      </c>
      <c r="S167" s="17">
        <v>154</v>
      </c>
      <c r="T167" s="17">
        <f>AVERAGE(Table167131687[[#This Row],[Teste 1]:[Teste 3]])</f>
        <v>155.33333333333334</v>
      </c>
    </row>
    <row r="168" spans="1:20" x14ac:dyDescent="0.25">
      <c r="A168" s="16" t="s">
        <v>10</v>
      </c>
      <c r="B168" s="16" t="s">
        <v>7</v>
      </c>
      <c r="C168" s="17">
        <v>104511</v>
      </c>
      <c r="D168" s="17">
        <v>46783</v>
      </c>
      <c r="E168" s="17">
        <v>59007</v>
      </c>
      <c r="F168" s="17">
        <f>AVERAGE(Table1671316[[#This Row],[Teste 1]:[Teste 3]])</f>
        <v>70100.333333333328</v>
      </c>
      <c r="G168" s="16"/>
      <c r="H168" s="16" t="s">
        <v>10</v>
      </c>
      <c r="I168" s="16" t="s">
        <v>7</v>
      </c>
      <c r="J168" s="17">
        <v>184985</v>
      </c>
      <c r="K168" s="17">
        <v>182806</v>
      </c>
      <c r="L168" s="17">
        <v>104442</v>
      </c>
      <c r="M168" s="17">
        <f>AVERAGE(Table167131675[[#This Row],[Teste 1]:[Teste 3]])</f>
        <v>157411</v>
      </c>
      <c r="N168" s="16"/>
      <c r="O168" s="16" t="s">
        <v>10</v>
      </c>
      <c r="P168" s="16" t="s">
        <v>7</v>
      </c>
      <c r="Q168" s="17">
        <v>2607103</v>
      </c>
      <c r="R168" s="17">
        <v>2051071</v>
      </c>
      <c r="S168" s="17">
        <v>1935359</v>
      </c>
      <c r="T168" s="17">
        <f>AVERAGE(Table167131687[[#This Row],[Teste 1]:[Teste 3]])</f>
        <v>2197844.3333333335</v>
      </c>
    </row>
    <row r="169" spans="1:20" x14ac:dyDescent="0.25">
      <c r="A169" s="16" t="s">
        <v>10</v>
      </c>
      <c r="B169" s="16" t="s">
        <v>8</v>
      </c>
      <c r="C169" s="17">
        <v>1176</v>
      </c>
      <c r="D169" s="17">
        <v>605</v>
      </c>
      <c r="E169" s="17">
        <v>660</v>
      </c>
      <c r="F169" s="17">
        <f>AVERAGE(Table1671316[[#This Row],[Teste 1]:[Teste 3]])</f>
        <v>813.66666666666663</v>
      </c>
      <c r="G169" s="16"/>
      <c r="H169" s="16" t="s">
        <v>10</v>
      </c>
      <c r="I169" s="16" t="s">
        <v>8</v>
      </c>
      <c r="J169" s="17">
        <v>2082</v>
      </c>
      <c r="K169" s="17">
        <v>1071</v>
      </c>
      <c r="L169" s="17">
        <v>1168</v>
      </c>
      <c r="M169" s="17">
        <f>AVERAGE(Table167131675[[#This Row],[Teste 1]:[Teste 3]])</f>
        <v>1440.3333333333333</v>
      </c>
      <c r="N169" s="16"/>
      <c r="O169" s="16" t="s">
        <v>10</v>
      </c>
      <c r="P169" s="16" t="s">
        <v>8</v>
      </c>
      <c r="Q169" s="17">
        <v>455</v>
      </c>
      <c r="R169" s="17">
        <v>417</v>
      </c>
      <c r="S169" s="17">
        <v>417</v>
      </c>
      <c r="T169" s="17">
        <f>AVERAGE(Table167131687[[#This Row],[Teste 1]:[Teste 3]])</f>
        <v>429.66666666666669</v>
      </c>
    </row>
    <row r="170" spans="1:20" x14ac:dyDescent="0.25">
      <c r="A170" s="16" t="s">
        <v>10</v>
      </c>
      <c r="B170" s="16" t="s">
        <v>9</v>
      </c>
      <c r="C170" s="17">
        <v>1907</v>
      </c>
      <c r="D170" s="17">
        <v>996</v>
      </c>
      <c r="E170" s="17">
        <v>1072</v>
      </c>
      <c r="F170" s="17">
        <f>AVERAGE(Table1671316[[#This Row],[Teste 1]:[Teste 3]])</f>
        <v>1325</v>
      </c>
      <c r="G170" s="16"/>
      <c r="H170" s="16" t="s">
        <v>10</v>
      </c>
      <c r="I170" s="16" t="s">
        <v>9</v>
      </c>
      <c r="J170" s="17">
        <v>3376</v>
      </c>
      <c r="K170" s="17">
        <v>1763</v>
      </c>
      <c r="L170" s="17">
        <v>1897</v>
      </c>
      <c r="M170" s="17">
        <f>AVERAGE(Table167131675[[#This Row],[Teste 1]:[Teste 3]])</f>
        <v>2345.3333333333335</v>
      </c>
      <c r="N170" s="16"/>
      <c r="O170" s="16" t="s">
        <v>10</v>
      </c>
      <c r="P170" s="16" t="s">
        <v>9</v>
      </c>
      <c r="Q170" s="17">
        <v>984</v>
      </c>
      <c r="R170" s="17">
        <v>649</v>
      </c>
      <c r="S170" s="17">
        <v>725</v>
      </c>
      <c r="T170" s="17">
        <f>AVERAGE(Table167131687[[#This Row],[Teste 1]:[Teste 3]])</f>
        <v>786</v>
      </c>
    </row>
    <row r="171" spans="1:20" x14ac:dyDescent="0.25">
      <c r="A171" s="16" t="s">
        <v>10</v>
      </c>
      <c r="B171" s="16" t="s">
        <v>11</v>
      </c>
      <c r="C171" s="17">
        <v>10000000</v>
      </c>
      <c r="D171" s="17">
        <v>10000000</v>
      </c>
      <c r="E171" s="17">
        <v>10000000</v>
      </c>
      <c r="F171" s="17">
        <f>AVERAGE(Table1671316[[#This Row],[Teste 1]:[Teste 3]])</f>
        <v>10000000</v>
      </c>
      <c r="G171" s="16"/>
      <c r="H171" s="16" t="s">
        <v>10</v>
      </c>
      <c r="I171" s="16" t="s">
        <v>11</v>
      </c>
      <c r="J171" s="17">
        <v>10000000</v>
      </c>
      <c r="K171" s="17">
        <v>10000000</v>
      </c>
      <c r="L171" s="17">
        <v>10000000</v>
      </c>
      <c r="M171" s="17">
        <f>AVERAGE(Table167131675[[#This Row],[Teste 1]:[Teste 3]])</f>
        <v>10000000</v>
      </c>
      <c r="N171" s="16"/>
      <c r="O171" s="16" t="s">
        <v>10</v>
      </c>
      <c r="P171" s="16" t="s">
        <v>11</v>
      </c>
      <c r="Q171" s="17">
        <v>10000000</v>
      </c>
      <c r="R171" s="17">
        <v>10000000</v>
      </c>
      <c r="S171" s="17">
        <v>10000000</v>
      </c>
      <c r="T171" s="17">
        <f>AVERAGE(Table167131687[[#This Row],[Teste 1]:[Teste 3]])</f>
        <v>10000000</v>
      </c>
    </row>
    <row r="172" spans="1:20" x14ac:dyDescent="0.25">
      <c r="A172" s="16"/>
      <c r="B172" s="16"/>
      <c r="C172" s="17"/>
      <c r="D172" s="17"/>
      <c r="E172" s="17"/>
      <c r="F172" s="17"/>
      <c r="G172" s="16"/>
      <c r="H172" s="16"/>
      <c r="I172" s="16"/>
      <c r="J172" s="17"/>
      <c r="K172" s="17"/>
      <c r="L172" s="17"/>
      <c r="M172" s="17"/>
      <c r="N172" s="16"/>
      <c r="O172" s="16"/>
      <c r="P172" s="16"/>
      <c r="Q172" s="17"/>
      <c r="R172" s="17"/>
      <c r="S172" s="17"/>
      <c r="T172" s="17"/>
    </row>
    <row r="173" spans="1:20" x14ac:dyDescent="0.25">
      <c r="A173" s="16"/>
      <c r="B173" s="16"/>
      <c r="C173" s="17"/>
      <c r="D173" s="17"/>
      <c r="E173" s="17"/>
      <c r="F173" s="17"/>
      <c r="G173" s="16"/>
      <c r="H173" s="16"/>
      <c r="I173" s="16"/>
      <c r="J173" s="17"/>
      <c r="K173" s="17"/>
      <c r="L173" s="17"/>
      <c r="M173" s="17"/>
      <c r="N173" s="16"/>
      <c r="O173" s="16"/>
      <c r="P173" s="16"/>
      <c r="Q173" s="17"/>
      <c r="R173" s="17"/>
      <c r="S173" s="17"/>
      <c r="T173" s="17"/>
    </row>
    <row r="174" spans="1:20" x14ac:dyDescent="0.25">
      <c r="A174" s="16"/>
      <c r="B174" s="16"/>
      <c r="C174" s="17"/>
      <c r="D174" s="17"/>
      <c r="E174" s="17"/>
      <c r="F174" s="17"/>
      <c r="G174" s="16"/>
      <c r="H174" s="16"/>
      <c r="I174" s="16"/>
      <c r="J174" s="17"/>
      <c r="K174" s="17"/>
      <c r="L174" s="17"/>
      <c r="M174" s="17"/>
      <c r="N174" s="16"/>
      <c r="O174" s="16"/>
      <c r="P174" s="16"/>
      <c r="Q174" s="17"/>
      <c r="R174" s="17"/>
      <c r="S174" s="17"/>
      <c r="T174" s="17"/>
    </row>
    <row r="175" spans="1:20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spans="1:20" x14ac:dyDescent="0.25">
      <c r="A176" s="16" t="s">
        <v>77</v>
      </c>
      <c r="B176" s="16"/>
      <c r="C176" s="16"/>
      <c r="D176" s="16"/>
      <c r="E176" s="16"/>
      <c r="F176" s="16"/>
      <c r="G176" s="16"/>
      <c r="H176" s="16" t="s">
        <v>77</v>
      </c>
      <c r="I176" s="16"/>
      <c r="J176" s="16"/>
      <c r="K176" s="16"/>
      <c r="L176" s="16"/>
      <c r="M176" s="16"/>
      <c r="N176" s="16"/>
      <c r="O176" s="16" t="s">
        <v>77</v>
      </c>
      <c r="P176" s="16"/>
      <c r="Q176" s="16"/>
      <c r="R176" s="16"/>
      <c r="S176" s="16"/>
      <c r="T176" s="16"/>
    </row>
    <row r="177" spans="1:20" x14ac:dyDescent="0.25">
      <c r="A177" s="16" t="s">
        <v>59</v>
      </c>
      <c r="B177" s="20" t="s">
        <v>80</v>
      </c>
      <c r="C177" s="16" t="s">
        <v>82</v>
      </c>
      <c r="D177" s="16" t="s">
        <v>64</v>
      </c>
      <c r="E177" s="16" t="s">
        <v>63</v>
      </c>
      <c r="F177" s="16" t="s">
        <v>18</v>
      </c>
      <c r="G177" s="16"/>
      <c r="H177" s="16" t="s">
        <v>12</v>
      </c>
      <c r="I177" s="20" t="s">
        <v>80</v>
      </c>
      <c r="J177" s="16" t="s">
        <v>82</v>
      </c>
      <c r="K177" s="16" t="s">
        <v>64</v>
      </c>
      <c r="L177" s="16" t="s">
        <v>63</v>
      </c>
      <c r="M177" s="16" t="s">
        <v>18</v>
      </c>
      <c r="N177" s="16"/>
      <c r="O177" s="16" t="s">
        <v>13</v>
      </c>
      <c r="P177" s="20" t="s">
        <v>80</v>
      </c>
      <c r="Q177" s="16" t="s">
        <v>82</v>
      </c>
      <c r="R177" s="16" t="s">
        <v>64</v>
      </c>
      <c r="S177" s="16" t="s">
        <v>63</v>
      </c>
      <c r="T177" s="16" t="s">
        <v>18</v>
      </c>
    </row>
    <row r="178" spans="1:20" x14ac:dyDescent="0.25">
      <c r="A178" s="16" t="s">
        <v>0</v>
      </c>
      <c r="B178" s="16" t="s">
        <v>1</v>
      </c>
      <c r="C178" s="17">
        <v>1000119</v>
      </c>
      <c r="D178" s="17">
        <v>998883</v>
      </c>
      <c r="E178" s="17">
        <v>1044665</v>
      </c>
      <c r="F178" s="17">
        <f>AVERAGE(Table167111464[[#This Row],[Teste 1]:[Teste 3]])</f>
        <v>1014555.6666666666</v>
      </c>
      <c r="G178" s="16"/>
      <c r="H178" s="16" t="s">
        <v>0</v>
      </c>
      <c r="I178" s="16" t="s">
        <v>1</v>
      </c>
      <c r="J178" s="17">
        <v>1560186</v>
      </c>
      <c r="K178" s="17">
        <v>1558257</v>
      </c>
      <c r="L178" s="17">
        <v>1629677</v>
      </c>
      <c r="M178" s="17">
        <f>AVERAGE(Table16711146476[[#This Row],[Teste 1]:[Teste 3]])</f>
        <v>1582706.6666666667</v>
      </c>
      <c r="N178" s="16"/>
      <c r="O178" s="16" t="s">
        <v>0</v>
      </c>
      <c r="P178" s="16" t="s">
        <v>1</v>
      </c>
      <c r="Q178" s="17">
        <v>1058409</v>
      </c>
      <c r="R178" s="17">
        <v>1090070</v>
      </c>
      <c r="S178" s="17">
        <v>1077421</v>
      </c>
      <c r="T178" s="17">
        <f>AVERAGE(Table16711146488[[#This Row],[Teste 1]:[Teste 3]])</f>
        <v>1075300</v>
      </c>
    </row>
    <row r="179" spans="1:20" x14ac:dyDescent="0.25">
      <c r="A179" s="16" t="s">
        <v>0</v>
      </c>
      <c r="B179" s="16" t="s">
        <v>2</v>
      </c>
      <c r="C179" s="17">
        <v>9998.8101415931505</v>
      </c>
      <c r="D179" s="17">
        <v>10011.1824908422</v>
      </c>
      <c r="E179" s="17">
        <v>9572.4466695064893</v>
      </c>
      <c r="F179" s="17">
        <f>AVERAGE(Table167111464[[#This Row],[Teste 1]:[Teste 3]])</f>
        <v>9860.8131006472813</v>
      </c>
      <c r="G179" s="16"/>
      <c r="H179" s="16" t="s">
        <v>0</v>
      </c>
      <c r="I179" s="16" t="s">
        <v>2</v>
      </c>
      <c r="J179" s="17">
        <v>6409.49</v>
      </c>
      <c r="K179" s="17">
        <v>6417.43</v>
      </c>
      <c r="L179" s="17">
        <v>6136.18</v>
      </c>
      <c r="M179" s="17">
        <f>AVERAGE(Table16711146476[[#This Row],[Teste 1]:[Teste 3]])</f>
        <v>6321.0333333333328</v>
      </c>
      <c r="N179" s="16"/>
      <c r="O179" s="16" t="s">
        <v>0</v>
      </c>
      <c r="P179" s="16" t="s">
        <v>2</v>
      </c>
      <c r="Q179" s="17">
        <v>9448.1433925826404</v>
      </c>
      <c r="R179" s="17">
        <v>9173.7227884447693</v>
      </c>
      <c r="S179" s="17">
        <v>9281.4229535158502</v>
      </c>
      <c r="T179" s="17">
        <f>AVERAGE(Table16711146488[[#This Row],[Teste 1]:[Teste 3]])</f>
        <v>9301.096378181086</v>
      </c>
    </row>
    <row r="180" spans="1:20" x14ac:dyDescent="0.25">
      <c r="A180" s="16" t="s">
        <v>3</v>
      </c>
      <c r="B180" s="16" t="s">
        <v>4</v>
      </c>
      <c r="C180" s="17">
        <v>6</v>
      </c>
      <c r="D180" s="17">
        <v>6</v>
      </c>
      <c r="E180" s="17">
        <v>6</v>
      </c>
      <c r="F180" s="17">
        <f>AVERAGE(Table167111464[[#This Row],[Teste 1]:[Teste 3]])</f>
        <v>6</v>
      </c>
      <c r="G180" s="16"/>
      <c r="H180" s="16" t="s">
        <v>3</v>
      </c>
      <c r="I180" s="16" t="s">
        <v>4</v>
      </c>
      <c r="J180" s="17">
        <v>6</v>
      </c>
      <c r="K180" s="17">
        <v>6</v>
      </c>
      <c r="L180" s="17">
        <v>6</v>
      </c>
      <c r="M180" s="17">
        <f>AVERAGE(Table16711146476[[#This Row],[Teste 1]:[Teste 3]])</f>
        <v>6</v>
      </c>
      <c r="N180" s="16"/>
      <c r="O180" s="16" t="s">
        <v>3</v>
      </c>
      <c r="P180" s="16" t="s">
        <v>4</v>
      </c>
      <c r="Q180" s="17">
        <v>6</v>
      </c>
      <c r="R180" s="17">
        <v>6</v>
      </c>
      <c r="S180" s="17">
        <v>6</v>
      </c>
      <c r="T180" s="17">
        <f>AVERAGE(Table16711146488[[#This Row],[Teste 1]:[Teste 3]])</f>
        <v>6</v>
      </c>
    </row>
    <row r="181" spans="1:20" x14ac:dyDescent="0.25">
      <c r="A181" s="16" t="s">
        <v>3</v>
      </c>
      <c r="B181" s="16" t="s">
        <v>5</v>
      </c>
      <c r="C181" s="17">
        <v>2.3333333333333299</v>
      </c>
      <c r="D181" s="17">
        <v>1</v>
      </c>
      <c r="E181" s="17">
        <v>1</v>
      </c>
      <c r="F181" s="17">
        <f>AVERAGE(Table167111464[[#This Row],[Teste 1]:[Teste 3]])</f>
        <v>1.4444444444444435</v>
      </c>
      <c r="G181" s="16"/>
      <c r="H181" s="16" t="s">
        <v>3</v>
      </c>
      <c r="I181" s="16" t="s">
        <v>5</v>
      </c>
      <c r="J181" s="17">
        <v>6.5</v>
      </c>
      <c r="K181" s="17">
        <v>1.5</v>
      </c>
      <c r="L181" s="17">
        <v>1.1666666666666601</v>
      </c>
      <c r="M181" s="17">
        <f>AVERAGE(Table16711146476[[#This Row],[Teste 1]:[Teste 3]])</f>
        <v>3.0555555555555536</v>
      </c>
      <c r="N181" s="16"/>
      <c r="O181" s="16" t="s">
        <v>3</v>
      </c>
      <c r="P181" s="16" t="s">
        <v>5</v>
      </c>
      <c r="Q181" s="17">
        <v>2175</v>
      </c>
      <c r="R181" s="17">
        <v>2777.6666666666601</v>
      </c>
      <c r="S181" s="17">
        <v>2296.3333333333298</v>
      </c>
      <c r="T181" s="17">
        <f>AVERAGE(Table16711146488[[#This Row],[Teste 1]:[Teste 3]])</f>
        <v>2416.3333333333303</v>
      </c>
    </row>
    <row r="182" spans="1:20" x14ac:dyDescent="0.25">
      <c r="A182" s="16" t="s">
        <v>3</v>
      </c>
      <c r="B182" s="16" t="s">
        <v>6</v>
      </c>
      <c r="C182" s="17">
        <v>0</v>
      </c>
      <c r="D182" s="17">
        <v>0</v>
      </c>
      <c r="E182" s="17">
        <v>0</v>
      </c>
      <c r="F182" s="17">
        <f>AVERAGE(Table167111464[[#This Row],[Teste 1]:[Teste 3]])</f>
        <v>0</v>
      </c>
      <c r="G182" s="16"/>
      <c r="H182" s="16" t="s">
        <v>3</v>
      </c>
      <c r="I182" s="16" t="s">
        <v>6</v>
      </c>
      <c r="J182" s="17">
        <v>0</v>
      </c>
      <c r="K182" s="17">
        <v>1</v>
      </c>
      <c r="L182" s="17">
        <v>1</v>
      </c>
      <c r="M182" s="17">
        <f>AVERAGE(Table16711146476[[#This Row],[Teste 1]:[Teste 3]])</f>
        <v>0.66666666666666663</v>
      </c>
      <c r="N182" s="16"/>
      <c r="O182" s="16" t="s">
        <v>3</v>
      </c>
      <c r="P182" s="16" t="s">
        <v>6</v>
      </c>
      <c r="Q182" s="17">
        <v>1</v>
      </c>
      <c r="R182" s="17">
        <v>1</v>
      </c>
      <c r="S182" s="17"/>
      <c r="T182" s="17">
        <f>AVERAGE(Table16711146488[[#This Row],[Teste 1]:[Teste 3]])</f>
        <v>1</v>
      </c>
    </row>
    <row r="183" spans="1:20" x14ac:dyDescent="0.25">
      <c r="A183" s="16" t="s">
        <v>3</v>
      </c>
      <c r="B183" s="16" t="s">
        <v>7</v>
      </c>
      <c r="C183" s="17">
        <v>9</v>
      </c>
      <c r="D183" s="17">
        <v>4</v>
      </c>
      <c r="E183" s="17">
        <v>2</v>
      </c>
      <c r="F183" s="17">
        <f>AVERAGE(Table167111464[[#This Row],[Teste 1]:[Teste 3]])</f>
        <v>5</v>
      </c>
      <c r="G183" s="16"/>
      <c r="H183" s="16" t="s">
        <v>3</v>
      </c>
      <c r="I183" s="16" t="s">
        <v>7</v>
      </c>
      <c r="J183" s="17">
        <v>7</v>
      </c>
      <c r="K183" s="17">
        <v>4</v>
      </c>
      <c r="L183" s="17">
        <v>2</v>
      </c>
      <c r="M183" s="17">
        <f>AVERAGE(Table16711146476[[#This Row],[Teste 1]:[Teste 3]])</f>
        <v>4.333333333333333</v>
      </c>
      <c r="N183" s="16"/>
      <c r="O183" s="16" t="s">
        <v>3</v>
      </c>
      <c r="P183" s="16" t="s">
        <v>7</v>
      </c>
      <c r="Q183" s="17">
        <v>13039</v>
      </c>
      <c r="R183" s="17">
        <v>16639</v>
      </c>
      <c r="S183" s="17">
        <v>13767</v>
      </c>
      <c r="T183" s="17">
        <f>AVERAGE(Table16711146488[[#This Row],[Teste 1]:[Teste 3]])</f>
        <v>14481.666666666666</v>
      </c>
    </row>
    <row r="184" spans="1:20" x14ac:dyDescent="0.25">
      <c r="A184" s="16" t="s">
        <v>3</v>
      </c>
      <c r="B184" s="16" t="s">
        <v>8</v>
      </c>
      <c r="C184" s="17">
        <v>9</v>
      </c>
      <c r="D184" s="17">
        <v>4</v>
      </c>
      <c r="E184" s="17">
        <v>2</v>
      </c>
      <c r="F184" s="17">
        <f>AVERAGE(Table167111464[[#This Row],[Teste 1]:[Teste 3]])</f>
        <v>5</v>
      </c>
      <c r="G184" s="16"/>
      <c r="H184" s="16" t="s">
        <v>3</v>
      </c>
      <c r="I184" s="16" t="s">
        <v>8</v>
      </c>
      <c r="J184" s="17">
        <v>7</v>
      </c>
      <c r="K184" s="17">
        <v>4</v>
      </c>
      <c r="L184" s="17">
        <v>2</v>
      </c>
      <c r="M184" s="17">
        <f>AVERAGE(Table16711146476[[#This Row],[Teste 1]:[Teste 3]])</f>
        <v>4.333333333333333</v>
      </c>
      <c r="N184" s="16"/>
      <c r="O184" s="16" t="s">
        <v>3</v>
      </c>
      <c r="P184" s="16" t="s">
        <v>8</v>
      </c>
      <c r="Q184" s="17">
        <v>13039</v>
      </c>
      <c r="R184" s="17">
        <v>16639</v>
      </c>
      <c r="S184" s="17">
        <v>13767</v>
      </c>
      <c r="T184" s="17">
        <f>AVERAGE(Table16711146488[[#This Row],[Teste 1]:[Teste 3]])</f>
        <v>14481.666666666666</v>
      </c>
    </row>
    <row r="185" spans="1:20" x14ac:dyDescent="0.25">
      <c r="A185" s="16" t="s">
        <v>3</v>
      </c>
      <c r="B185" s="16" t="s">
        <v>9</v>
      </c>
      <c r="C185" s="17">
        <v>9</v>
      </c>
      <c r="D185" s="17">
        <v>4</v>
      </c>
      <c r="E185" s="17">
        <v>2</v>
      </c>
      <c r="F185" s="17">
        <f>AVERAGE(Table167111464[[#This Row],[Teste 1]:[Teste 3]])</f>
        <v>5</v>
      </c>
      <c r="G185" s="16"/>
      <c r="H185" s="16" t="s">
        <v>3</v>
      </c>
      <c r="I185" s="16" t="s">
        <v>9</v>
      </c>
      <c r="J185" s="17">
        <v>7</v>
      </c>
      <c r="K185" s="17">
        <v>4</v>
      </c>
      <c r="L185" s="17">
        <v>2</v>
      </c>
      <c r="M185" s="17">
        <f>AVERAGE(Table16711146476[[#This Row],[Teste 1]:[Teste 3]])</f>
        <v>4.333333333333333</v>
      </c>
      <c r="N185" s="16"/>
      <c r="O185" s="16" t="s">
        <v>3</v>
      </c>
      <c r="P185" s="16" t="s">
        <v>9</v>
      </c>
      <c r="Q185" s="17">
        <v>13039</v>
      </c>
      <c r="R185" s="17">
        <v>16639</v>
      </c>
      <c r="S185" s="17">
        <v>13767</v>
      </c>
      <c r="T185" s="17">
        <f>AVERAGE(Table16711146488[[#This Row],[Teste 1]:[Teste 3]])</f>
        <v>14481.666666666666</v>
      </c>
    </row>
    <row r="186" spans="1:20" x14ac:dyDescent="0.25">
      <c r="A186" s="16" t="s">
        <v>10</v>
      </c>
      <c r="B186" s="16" t="s">
        <v>4</v>
      </c>
      <c r="C186" s="17">
        <v>10000000</v>
      </c>
      <c r="D186" s="17">
        <v>10000000</v>
      </c>
      <c r="E186" s="17">
        <v>10000000</v>
      </c>
      <c r="F186" s="17">
        <f>AVERAGE(Table167111464[[#This Row],[Teste 1]:[Teste 3]])</f>
        <v>10000000</v>
      </c>
      <c r="G186" s="16"/>
      <c r="H186" s="16" t="s">
        <v>10</v>
      </c>
      <c r="I186" s="16" t="s">
        <v>4</v>
      </c>
      <c r="J186" s="17">
        <v>10000000</v>
      </c>
      <c r="K186" s="17">
        <v>10000000</v>
      </c>
      <c r="L186" s="17">
        <v>10000000</v>
      </c>
      <c r="M186" s="17">
        <f>AVERAGE(Table16711146476[[#This Row],[Teste 1]:[Teste 3]])</f>
        <v>10000000</v>
      </c>
      <c r="N186" s="16"/>
      <c r="O186" s="16" t="s">
        <v>10</v>
      </c>
      <c r="P186" s="16" t="s">
        <v>4</v>
      </c>
      <c r="Q186" s="17">
        <v>10000000</v>
      </c>
      <c r="R186" s="17">
        <v>10000000</v>
      </c>
      <c r="S186" s="17">
        <v>10000000</v>
      </c>
      <c r="T186" s="17">
        <f>AVERAGE(Table16711146488[[#This Row],[Teste 1]:[Teste 3]])</f>
        <v>10000000</v>
      </c>
    </row>
    <row r="187" spans="1:20" x14ac:dyDescent="0.25">
      <c r="A187" s="16" t="s">
        <v>10</v>
      </c>
      <c r="B187" s="16" t="s">
        <v>5</v>
      </c>
      <c r="C187" s="17">
        <v>587.84030380000002</v>
      </c>
      <c r="D187" s="17">
        <v>589.73671019999995</v>
      </c>
      <c r="E187" s="17">
        <v>615.8197179</v>
      </c>
      <c r="F187" s="17">
        <f>AVERAGE(Table167111464[[#This Row],[Teste 1]:[Teste 3]])</f>
        <v>597.79891063333332</v>
      </c>
      <c r="G187" s="16"/>
      <c r="H187" s="16" t="s">
        <v>10</v>
      </c>
      <c r="I187" s="16" t="s">
        <v>5</v>
      </c>
      <c r="J187" s="17">
        <v>917.03</v>
      </c>
      <c r="K187" s="17">
        <v>919.98</v>
      </c>
      <c r="L187" s="17">
        <v>960.68</v>
      </c>
      <c r="M187" s="17">
        <f>AVERAGE(Table16711146476[[#This Row],[Teste 1]:[Teste 3]])</f>
        <v>932.56333333333339</v>
      </c>
      <c r="N187" s="16"/>
      <c r="O187" s="16" t="s">
        <v>10</v>
      </c>
      <c r="P187" s="16" t="s">
        <v>5</v>
      </c>
      <c r="Q187" s="17">
        <v>630.6259761</v>
      </c>
      <c r="R187" s="17">
        <v>649.91703270000005</v>
      </c>
      <c r="S187" s="17">
        <v>642.19064790000004</v>
      </c>
      <c r="T187" s="17">
        <f>AVERAGE(Table16711146488[[#This Row],[Teste 1]:[Teste 3]])</f>
        <v>640.91121890000011</v>
      </c>
    </row>
    <row r="188" spans="1:20" x14ac:dyDescent="0.25">
      <c r="A188" s="16" t="s">
        <v>10</v>
      </c>
      <c r="B188" s="16" t="s">
        <v>6</v>
      </c>
      <c r="C188" s="17">
        <v>212</v>
      </c>
      <c r="D188" s="17">
        <v>207</v>
      </c>
      <c r="E188" s="17">
        <v>203</v>
      </c>
      <c r="F188" s="17">
        <f>AVERAGE(Table167111464[[#This Row],[Teste 1]:[Teste 3]])</f>
        <v>207.33333333333334</v>
      </c>
      <c r="G188" s="16"/>
      <c r="H188" s="16" t="s">
        <v>10</v>
      </c>
      <c r="I188" s="16" t="s">
        <v>6</v>
      </c>
      <c r="J188" s="17">
        <v>331</v>
      </c>
      <c r="K188" s="17">
        <v>323</v>
      </c>
      <c r="L188" s="17">
        <v>317</v>
      </c>
      <c r="M188" s="17">
        <f>AVERAGE(Table16711146476[[#This Row],[Teste 1]:[Teste 3]])</f>
        <v>323.66666666666669</v>
      </c>
      <c r="N188" s="16"/>
      <c r="O188" s="16" t="s">
        <v>10</v>
      </c>
      <c r="P188" s="16" t="s">
        <v>6</v>
      </c>
      <c r="Q188" s="17">
        <v>163</v>
      </c>
      <c r="R188" s="17">
        <v>160</v>
      </c>
      <c r="S188" s="17">
        <v>162</v>
      </c>
      <c r="T188" s="17">
        <f>AVERAGE(Table16711146488[[#This Row],[Teste 1]:[Teste 3]])</f>
        <v>161.66666666666666</v>
      </c>
    </row>
    <row r="189" spans="1:20" x14ac:dyDescent="0.25">
      <c r="A189" s="16" t="s">
        <v>10</v>
      </c>
      <c r="B189" s="16" t="s">
        <v>7</v>
      </c>
      <c r="C189" s="17">
        <v>1154047</v>
      </c>
      <c r="D189" s="17">
        <v>2189311</v>
      </c>
      <c r="E189" s="17">
        <v>1135615</v>
      </c>
      <c r="F189" s="17">
        <f>AVERAGE(Table167111464[[#This Row],[Teste 1]:[Teste 3]])</f>
        <v>1492991</v>
      </c>
      <c r="G189" s="16"/>
      <c r="H189" s="16" t="s">
        <v>10</v>
      </c>
      <c r="I189" s="16" t="s">
        <v>7</v>
      </c>
      <c r="J189" s="17">
        <v>1800313</v>
      </c>
      <c r="K189" s="17">
        <v>3415325</v>
      </c>
      <c r="L189" s="17">
        <v>1771559</v>
      </c>
      <c r="M189" s="17">
        <f>AVERAGE(Table16711146476[[#This Row],[Teste 1]:[Teste 3]])</f>
        <v>2329065.6666666665</v>
      </c>
      <c r="N189" s="16"/>
      <c r="O189" s="16" t="s">
        <v>10</v>
      </c>
      <c r="P189" s="16" t="s">
        <v>7</v>
      </c>
      <c r="Q189" s="17">
        <v>1656831</v>
      </c>
      <c r="R189" s="17">
        <v>2193407</v>
      </c>
      <c r="S189" s="17">
        <v>1984511</v>
      </c>
      <c r="T189" s="17">
        <f>AVERAGE(Table16711146488[[#This Row],[Teste 1]:[Teste 3]])</f>
        <v>1944916.3333333333</v>
      </c>
    </row>
    <row r="190" spans="1:20" x14ac:dyDescent="0.25">
      <c r="A190" s="16" t="s">
        <v>10</v>
      </c>
      <c r="B190" s="16" t="s">
        <v>8</v>
      </c>
      <c r="C190" s="17">
        <v>747</v>
      </c>
      <c r="D190" s="17">
        <v>649</v>
      </c>
      <c r="E190" s="17">
        <v>687</v>
      </c>
      <c r="F190" s="17">
        <f>AVERAGE(Table167111464[[#This Row],[Teste 1]:[Teste 3]])</f>
        <v>694.33333333333337</v>
      </c>
      <c r="G190" s="16"/>
      <c r="H190" s="16" t="s">
        <v>10</v>
      </c>
      <c r="I190" s="16" t="s">
        <v>8</v>
      </c>
      <c r="J190" s="17">
        <v>1165</v>
      </c>
      <c r="K190" s="17">
        <v>1012</v>
      </c>
      <c r="L190" s="17">
        <v>1072</v>
      </c>
      <c r="M190" s="17">
        <f>AVERAGE(Table16711146476[[#This Row],[Teste 1]:[Teste 3]])</f>
        <v>1083</v>
      </c>
      <c r="N190" s="16"/>
      <c r="O190" s="16" t="s">
        <v>10</v>
      </c>
      <c r="P190" s="16" t="s">
        <v>8</v>
      </c>
      <c r="Q190" s="17">
        <v>1011</v>
      </c>
      <c r="R190" s="17">
        <v>967</v>
      </c>
      <c r="S190" s="17">
        <v>1000</v>
      </c>
      <c r="T190" s="17">
        <f>AVERAGE(Table16711146488[[#This Row],[Teste 1]:[Teste 3]])</f>
        <v>992.66666666666663</v>
      </c>
    </row>
    <row r="191" spans="1:20" x14ac:dyDescent="0.25">
      <c r="A191" s="16" t="s">
        <v>10</v>
      </c>
      <c r="B191" s="16" t="s">
        <v>9</v>
      </c>
      <c r="C191" s="17">
        <v>1612</v>
      </c>
      <c r="D191" s="17">
        <v>1107</v>
      </c>
      <c r="E191" s="17">
        <v>1170</v>
      </c>
      <c r="F191" s="17">
        <f>AVERAGE(Table167111464[[#This Row],[Teste 1]:[Teste 3]])</f>
        <v>1296.3333333333333</v>
      </c>
      <c r="G191" s="16"/>
      <c r="H191" s="16" t="s">
        <v>10</v>
      </c>
      <c r="I191" s="16" t="s">
        <v>9</v>
      </c>
      <c r="J191" s="17">
        <v>2515</v>
      </c>
      <c r="K191" s="17">
        <v>1727</v>
      </c>
      <c r="L191" s="17">
        <v>1825</v>
      </c>
      <c r="M191" s="17">
        <f>AVERAGE(Table16711146476[[#This Row],[Teste 1]:[Teste 3]])</f>
        <v>2022.3333333333333</v>
      </c>
      <c r="N191" s="16"/>
      <c r="O191" s="16" t="s">
        <v>10</v>
      </c>
      <c r="P191" s="16" t="s">
        <v>9</v>
      </c>
      <c r="Q191" s="17">
        <v>2217</v>
      </c>
      <c r="R191" s="17">
        <v>2109</v>
      </c>
      <c r="S191" s="17">
        <v>2131</v>
      </c>
      <c r="T191" s="17">
        <f>AVERAGE(Table16711146488[[#This Row],[Teste 1]:[Teste 3]])</f>
        <v>2152.3333333333335</v>
      </c>
    </row>
    <row r="192" spans="1:20" x14ac:dyDescent="0.25">
      <c r="A192" s="16" t="s">
        <v>10</v>
      </c>
      <c r="B192" s="16" t="s">
        <v>11</v>
      </c>
      <c r="C192" s="17">
        <v>10000000</v>
      </c>
      <c r="D192" s="17">
        <v>10000000</v>
      </c>
      <c r="E192" s="17">
        <v>10000000</v>
      </c>
      <c r="F192" s="17">
        <f>AVERAGE(Table167111464[[#This Row],[Teste 1]:[Teste 3]])</f>
        <v>10000000</v>
      </c>
      <c r="G192" s="16"/>
      <c r="H192" s="16" t="s">
        <v>10</v>
      </c>
      <c r="I192" s="16" t="s">
        <v>11</v>
      </c>
      <c r="J192" s="17">
        <v>10000000</v>
      </c>
      <c r="K192" s="17">
        <v>10000000</v>
      </c>
      <c r="L192" s="17">
        <v>10000000</v>
      </c>
      <c r="M192" s="17">
        <f>AVERAGE(Table16711146476[[#This Row],[Teste 1]:[Teste 3]])</f>
        <v>10000000</v>
      </c>
      <c r="N192" s="16"/>
      <c r="O192" s="16" t="s">
        <v>10</v>
      </c>
      <c r="P192" s="16" t="s">
        <v>11</v>
      </c>
      <c r="Q192" s="17">
        <v>10000000</v>
      </c>
      <c r="R192" s="17">
        <v>10000000</v>
      </c>
      <c r="S192" s="17">
        <v>10000000</v>
      </c>
      <c r="T192" s="17">
        <f>AVERAGE(Table16711146488[[#This Row],[Teste 1]:[Teste 3]])</f>
        <v>10000000</v>
      </c>
    </row>
    <row r="193" spans="1:20" x14ac:dyDescent="0.25">
      <c r="A193" s="16"/>
      <c r="B193" s="16"/>
      <c r="C193" s="17"/>
      <c r="D193" s="17"/>
      <c r="E193" s="17"/>
      <c r="F193" s="17"/>
      <c r="G193" s="16"/>
      <c r="H193" s="16"/>
      <c r="I193" s="16"/>
      <c r="J193" s="17"/>
      <c r="K193" s="17"/>
      <c r="L193" s="17"/>
      <c r="M193" s="17"/>
      <c r="N193" s="16"/>
      <c r="O193" s="16"/>
      <c r="P193" s="16"/>
      <c r="Q193" s="17"/>
      <c r="R193" s="17"/>
      <c r="S193" s="17"/>
      <c r="T193" s="17"/>
    </row>
    <row r="194" spans="1:20" x14ac:dyDescent="0.25">
      <c r="A194" s="16"/>
      <c r="B194" s="16"/>
      <c r="C194" s="17"/>
      <c r="D194" s="17"/>
      <c r="E194" s="17"/>
      <c r="F194" s="17"/>
      <c r="G194" s="16"/>
      <c r="H194" s="16"/>
      <c r="I194" s="16"/>
      <c r="J194" s="17"/>
      <c r="K194" s="17"/>
      <c r="L194" s="17"/>
      <c r="M194" s="17"/>
      <c r="N194" s="16"/>
      <c r="O194" s="16"/>
      <c r="P194" s="16"/>
      <c r="Q194" s="17"/>
      <c r="R194" s="17"/>
      <c r="S194" s="17"/>
      <c r="T194" s="17"/>
    </row>
    <row r="195" spans="1:20" x14ac:dyDescent="0.25">
      <c r="A195" s="16"/>
      <c r="B195" s="16"/>
      <c r="C195" s="17"/>
      <c r="D195" s="17"/>
      <c r="E195" s="17"/>
      <c r="F195" s="17"/>
      <c r="G195" s="16"/>
      <c r="H195" s="16"/>
      <c r="I195" s="16"/>
      <c r="J195" s="17"/>
      <c r="K195" s="17"/>
      <c r="L195" s="17"/>
      <c r="M195" s="17"/>
      <c r="N195" s="16"/>
      <c r="O195" s="16"/>
      <c r="P195" s="16"/>
      <c r="Q195" s="17"/>
      <c r="R195" s="17"/>
      <c r="S195" s="17"/>
      <c r="T195" s="17"/>
    </row>
  </sheetData>
  <phoneticPr fontId="1" type="noConversion"/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8F0E-B2F2-43DA-BCC6-B724A4A7E236}">
  <dimension ref="A1:V260"/>
  <sheetViews>
    <sheetView zoomScale="81" zoomScaleNormal="81" workbookViewId="0">
      <selection activeCell="I3" sqref="I3"/>
    </sheetView>
  </sheetViews>
  <sheetFormatPr defaultRowHeight="15" x14ac:dyDescent="0.25"/>
  <cols>
    <col min="1" max="1" width="15.85546875" customWidth="1"/>
    <col min="2" max="2" width="27.5703125" customWidth="1"/>
    <col min="3" max="4" width="15.85546875" customWidth="1"/>
    <col min="5" max="5" width="16.28515625" customWidth="1"/>
    <col min="6" max="6" width="15.85546875" customWidth="1"/>
    <col min="7" max="7" width="11.5703125" customWidth="1"/>
    <col min="8" max="8" width="14.42578125" customWidth="1"/>
    <col min="9" max="9" width="26.5703125" customWidth="1"/>
    <col min="10" max="11" width="14.140625" customWidth="1"/>
    <col min="12" max="12" width="14.5703125" customWidth="1"/>
    <col min="13" max="13" width="14.85546875" customWidth="1"/>
    <col min="14" max="14" width="11.7109375" customWidth="1"/>
    <col min="15" max="15" width="15.140625" customWidth="1"/>
    <col min="16" max="16" width="26.42578125" customWidth="1"/>
    <col min="17" max="17" width="13.28515625" customWidth="1"/>
    <col min="18" max="18" width="14.5703125" customWidth="1"/>
    <col min="19" max="19" width="13.42578125" customWidth="1"/>
    <col min="20" max="20" width="13.7109375" customWidth="1"/>
    <col min="21" max="21" width="12" customWidth="1"/>
    <col min="22" max="22" width="16.7109375" customWidth="1"/>
    <col min="23" max="23" width="12.42578125" customWidth="1"/>
    <col min="24" max="24" width="11.28515625" customWidth="1"/>
    <col min="25" max="25" width="11.5703125" customWidth="1"/>
    <col min="26" max="26" width="11.85546875" customWidth="1"/>
    <col min="27" max="27" width="11.7109375" customWidth="1"/>
    <col min="28" max="28" width="12.5703125" customWidth="1"/>
    <col min="29" max="29" width="13" customWidth="1"/>
    <col min="30" max="30" width="12.85546875" customWidth="1"/>
    <col min="31" max="31" width="10.140625" customWidth="1"/>
    <col min="32" max="32" width="11" customWidth="1"/>
    <col min="33" max="33" width="14.7109375" customWidth="1"/>
    <col min="34" max="34" width="25.85546875" customWidth="1"/>
    <col min="35" max="35" width="11.42578125" customWidth="1"/>
    <col min="36" max="36" width="10.85546875" customWidth="1"/>
    <col min="37" max="37" width="11.5703125" customWidth="1"/>
    <col min="38" max="38" width="11.7109375" customWidth="1"/>
    <col min="39" max="39" width="10.85546875" customWidth="1"/>
    <col min="40" max="40" width="12.5703125" customWidth="1"/>
    <col min="41" max="41" width="11.42578125" customWidth="1"/>
    <col min="42" max="42" width="11.28515625" customWidth="1"/>
    <col min="43" max="43" width="11.5703125" customWidth="1"/>
    <col min="44" max="44" width="13.28515625" customWidth="1"/>
    <col min="45" max="45" width="11" customWidth="1"/>
    <col min="46" max="46" width="11.5703125" customWidth="1"/>
    <col min="47" max="47" width="11.7109375" customWidth="1"/>
  </cols>
  <sheetData>
    <row r="1" spans="1:20" ht="18.75" x14ac:dyDescent="0.3">
      <c r="H1" s="1" t="s">
        <v>14</v>
      </c>
      <c r="I1" s="1"/>
      <c r="J1" s="1"/>
    </row>
    <row r="2" spans="1:20" ht="15.75" customHeight="1" x14ac:dyDescent="0.3">
      <c r="H2" s="1" t="s">
        <v>15</v>
      </c>
      <c r="I2" s="1"/>
      <c r="J2" s="1"/>
    </row>
    <row r="3" spans="1:20" x14ac:dyDescent="0.25">
      <c r="O3" s="14"/>
    </row>
    <row r="4" spans="1:20" ht="15" customHeight="1" x14ac:dyDescent="0.25"/>
    <row r="5" spans="1:20" ht="15.75" x14ac:dyDescent="0.25">
      <c r="A5" s="2" t="s">
        <v>62</v>
      </c>
      <c r="H5" s="2" t="s">
        <v>62</v>
      </c>
      <c r="O5" s="2" t="s">
        <v>62</v>
      </c>
    </row>
    <row r="6" spans="1:20" ht="15.6" customHeight="1" x14ac:dyDescent="0.25">
      <c r="A6" s="2" t="s">
        <v>65</v>
      </c>
      <c r="H6" s="2" t="s">
        <v>65</v>
      </c>
      <c r="O6" s="2" t="s">
        <v>65</v>
      </c>
    </row>
    <row r="7" spans="1:20" x14ac:dyDescent="0.25">
      <c r="A7" s="16" t="s">
        <v>59</v>
      </c>
      <c r="B7" s="16" t="s">
        <v>58</v>
      </c>
      <c r="C7" s="16" t="s">
        <v>82</v>
      </c>
      <c r="D7" s="16" t="s">
        <v>64</v>
      </c>
      <c r="E7" s="16" t="s">
        <v>63</v>
      </c>
      <c r="F7" s="16" t="s">
        <v>18</v>
      </c>
      <c r="G7" s="16"/>
      <c r="H7" s="16" t="s">
        <v>12</v>
      </c>
      <c r="I7" s="16" t="s">
        <v>58</v>
      </c>
      <c r="J7" s="16" t="s">
        <v>82</v>
      </c>
      <c r="K7" s="16" t="s">
        <v>64</v>
      </c>
      <c r="L7" s="16" t="s">
        <v>63</v>
      </c>
      <c r="M7" s="16" t="s">
        <v>18</v>
      </c>
      <c r="N7" s="16"/>
      <c r="O7" s="16" t="s">
        <v>13</v>
      </c>
      <c r="P7" s="16" t="s">
        <v>58</v>
      </c>
      <c r="Q7" s="16" t="s">
        <v>82</v>
      </c>
      <c r="R7" s="16" t="s">
        <v>64</v>
      </c>
      <c r="S7" s="16" t="s">
        <v>63</v>
      </c>
      <c r="T7" s="16" t="s">
        <v>18</v>
      </c>
    </row>
    <row r="8" spans="1:20" x14ac:dyDescent="0.25">
      <c r="A8" s="16" t="s">
        <v>0</v>
      </c>
      <c r="B8" s="16" t="s">
        <v>1</v>
      </c>
      <c r="C8" s="17">
        <v>68458</v>
      </c>
      <c r="D8" s="17">
        <v>50542</v>
      </c>
      <c r="E8" s="17">
        <v>50780</v>
      </c>
      <c r="F8" s="17">
        <f>AVERAGE(Table1436281[[#This Row],[Teste 1]:[Teste 3]])</f>
        <v>56593.333333333336</v>
      </c>
      <c r="G8" s="16"/>
      <c r="H8" s="16" t="s">
        <v>0</v>
      </c>
      <c r="I8" s="16" t="s">
        <v>1</v>
      </c>
      <c r="J8" s="17">
        <v>69988</v>
      </c>
      <c r="K8" s="17">
        <v>69609</v>
      </c>
      <c r="L8" s="17">
        <v>69856</v>
      </c>
      <c r="M8" s="17">
        <f>AVERAGE(Table1436281293[[#This Row],[Teste 1]:[Teste 3]])</f>
        <v>69817.666666666672</v>
      </c>
      <c r="N8" s="16"/>
      <c r="O8" s="16" t="s">
        <v>0</v>
      </c>
      <c r="P8" s="16" t="s">
        <v>1</v>
      </c>
      <c r="Q8" s="17">
        <v>23905</v>
      </c>
      <c r="R8" s="17">
        <v>24105</v>
      </c>
      <c r="S8" s="17">
        <v>24585</v>
      </c>
      <c r="T8" s="17">
        <f>AVERAGE(Table1436281293305[[#This Row],[Teste 1]:[Teste 3]])</f>
        <v>24198.333333333332</v>
      </c>
    </row>
    <row r="9" spans="1:20" x14ac:dyDescent="0.25">
      <c r="A9" s="16" t="s">
        <v>0</v>
      </c>
      <c r="B9" s="16" t="s">
        <v>2</v>
      </c>
      <c r="C9" s="17">
        <v>1460.74965672383</v>
      </c>
      <c r="D9" s="17">
        <v>1978.55249099758</v>
      </c>
      <c r="E9" s="17">
        <v>1678.9759503491</v>
      </c>
      <c r="F9" s="17">
        <f>AVERAGE(Table1436281[[#This Row],[Teste 1]:[Teste 3]])</f>
        <v>1706.0926993568366</v>
      </c>
      <c r="G9" s="16"/>
      <c r="H9" s="16" t="s">
        <v>0</v>
      </c>
      <c r="I9" s="16" t="s">
        <v>2</v>
      </c>
      <c r="J9" s="17">
        <v>1325.4159999999999</v>
      </c>
      <c r="K9" s="17">
        <v>1522.57</v>
      </c>
      <c r="L9" s="17">
        <v>1465.4185</v>
      </c>
      <c r="M9" s="17">
        <f>AVERAGE(Table1436281293[[#This Row],[Teste 1]:[Teste 3]])</f>
        <v>1437.8014999999998</v>
      </c>
      <c r="N9" s="16"/>
      <c r="O9" s="16" t="s">
        <v>0</v>
      </c>
      <c r="P9" s="16" t="s">
        <v>2</v>
      </c>
      <c r="Q9" s="17">
        <v>3776.0412041559298</v>
      </c>
      <c r="R9" s="17">
        <v>4148.5169052063802</v>
      </c>
      <c r="S9" s="17">
        <v>4067.52084604433</v>
      </c>
      <c r="T9" s="17">
        <f>AVERAGE(Table1436281293305[[#This Row],[Teste 1]:[Teste 3]])</f>
        <v>3997.3596518022132</v>
      </c>
    </row>
    <row r="10" spans="1:20" x14ac:dyDescent="0.25">
      <c r="A10" s="16" t="s">
        <v>16</v>
      </c>
      <c r="B10" s="16" t="s">
        <v>4</v>
      </c>
      <c r="C10" s="17">
        <v>50111</v>
      </c>
      <c r="D10" s="17">
        <v>49894</v>
      </c>
      <c r="E10" s="17">
        <v>49901</v>
      </c>
      <c r="F10" s="17">
        <f>AVERAGE(Table1436281[[#This Row],[Teste 1]:[Teste 3]])</f>
        <v>49968.666666666664</v>
      </c>
      <c r="G10" s="16"/>
      <c r="H10" s="16" t="s">
        <v>16</v>
      </c>
      <c r="I10" s="16" t="s">
        <v>4</v>
      </c>
      <c r="J10" s="17">
        <v>49959</v>
      </c>
      <c r="K10" s="17">
        <v>50542</v>
      </c>
      <c r="L10" s="17">
        <v>49824</v>
      </c>
      <c r="M10" s="17">
        <f>AVERAGE(Table1436281293[[#This Row],[Teste 1]:[Teste 3]])</f>
        <v>50108.333333333336</v>
      </c>
      <c r="N10" s="16"/>
      <c r="O10" s="16" t="s">
        <v>16</v>
      </c>
      <c r="P10" s="16" t="s">
        <v>4</v>
      </c>
      <c r="Q10" s="17">
        <v>49959</v>
      </c>
      <c r="R10" s="17">
        <v>49870</v>
      </c>
      <c r="S10" s="17">
        <v>49824</v>
      </c>
      <c r="T10" s="17">
        <f>AVERAGE(Table1436281293305[[#This Row],[Teste 1]:[Teste 3]])</f>
        <v>49884.333333333336</v>
      </c>
    </row>
    <row r="11" spans="1:20" x14ac:dyDescent="0.25">
      <c r="A11" s="16" t="s">
        <v>16</v>
      </c>
      <c r="B11" s="16" t="s">
        <v>5</v>
      </c>
      <c r="C11" s="17">
        <v>609.29111372752402</v>
      </c>
      <c r="D11" s="17">
        <v>441.99346614823401</v>
      </c>
      <c r="E11" s="17">
        <v>216.06148173383201</v>
      </c>
      <c r="F11" s="17">
        <f>AVERAGE(Table1436281[[#This Row],[Teste 1]:[Teste 3]])</f>
        <v>422.44868720319664</v>
      </c>
      <c r="G11" s="16"/>
      <c r="H11" s="16" t="s">
        <v>16</v>
      </c>
      <c r="I11" s="16" t="s">
        <v>5</v>
      </c>
      <c r="J11" s="17">
        <v>749.43</v>
      </c>
      <c r="K11" s="17">
        <v>543.65</v>
      </c>
      <c r="L11" s="17">
        <v>265.76</v>
      </c>
      <c r="M11" s="17">
        <f>AVERAGE(Table1436281293[[#This Row],[Teste 1]:[Teste 3]])</f>
        <v>519.61333333333334</v>
      </c>
      <c r="N11" s="16"/>
      <c r="O11" s="16" t="s">
        <v>16</v>
      </c>
      <c r="P11" s="16" t="s">
        <v>5</v>
      </c>
      <c r="Q11" s="17">
        <v>424.44682639764602</v>
      </c>
      <c r="R11" s="17">
        <v>180.068678564267</v>
      </c>
      <c r="S11" s="17">
        <v>181.97296483622301</v>
      </c>
      <c r="T11" s="17">
        <f>AVERAGE(Table1436281293305[[#This Row],[Teste 1]:[Teste 3]])</f>
        <v>262.16282326604534</v>
      </c>
    </row>
    <row r="12" spans="1:20" x14ac:dyDescent="0.25">
      <c r="A12" s="16" t="s">
        <v>16</v>
      </c>
      <c r="B12" s="16" t="s">
        <v>6</v>
      </c>
      <c r="C12" s="17">
        <v>113</v>
      </c>
      <c r="D12" s="17">
        <v>169</v>
      </c>
      <c r="E12" s="17">
        <v>78</v>
      </c>
      <c r="F12" s="17">
        <f>AVERAGE(Table1436281[[#This Row],[Teste 1]:[Teste 3]])</f>
        <v>120</v>
      </c>
      <c r="G12" s="16"/>
      <c r="H12" s="16" t="s">
        <v>16</v>
      </c>
      <c r="I12" s="16" t="s">
        <v>6</v>
      </c>
      <c r="J12" s="17">
        <v>139</v>
      </c>
      <c r="K12" s="17">
        <v>208</v>
      </c>
      <c r="L12" s="17">
        <v>96</v>
      </c>
      <c r="M12" s="17">
        <f>AVERAGE(Table1436281293[[#This Row],[Teste 1]:[Teste 3]])</f>
        <v>147.66666666666666</v>
      </c>
      <c r="N12" s="16"/>
      <c r="O12" s="16" t="s">
        <v>16</v>
      </c>
      <c r="P12" s="16" t="s">
        <v>6</v>
      </c>
      <c r="Q12" s="17">
        <v>175</v>
      </c>
      <c r="R12" s="17">
        <v>107</v>
      </c>
      <c r="S12" s="17">
        <v>107</v>
      </c>
      <c r="T12" s="17">
        <f>AVERAGE(Table1436281293305[[#This Row],[Teste 1]:[Teste 3]])</f>
        <v>129.66666666666666</v>
      </c>
    </row>
    <row r="13" spans="1:20" x14ac:dyDescent="0.25">
      <c r="A13" s="16" t="s">
        <v>16</v>
      </c>
      <c r="B13" s="16" t="s">
        <v>7</v>
      </c>
      <c r="C13" s="17">
        <v>235775</v>
      </c>
      <c r="D13" s="17">
        <v>19903</v>
      </c>
      <c r="E13" s="17">
        <v>31471</v>
      </c>
      <c r="F13" s="17">
        <f>AVERAGE(Table1436281[[#This Row],[Teste 1]:[Teste 3]])</f>
        <v>95716.333333333328</v>
      </c>
      <c r="G13" s="16"/>
      <c r="H13" s="16" t="s">
        <v>16</v>
      </c>
      <c r="I13" s="16" t="s">
        <v>7</v>
      </c>
      <c r="J13" s="17">
        <v>290003</v>
      </c>
      <c r="K13" s="17">
        <v>24481</v>
      </c>
      <c r="L13" s="17">
        <v>38709</v>
      </c>
      <c r="M13" s="17">
        <f>AVERAGE(Table1436281293[[#This Row],[Teste 1]:[Teste 3]])</f>
        <v>117731</v>
      </c>
      <c r="N13" s="16"/>
      <c r="O13" s="16" t="s">
        <v>16</v>
      </c>
      <c r="P13" s="16" t="s">
        <v>7</v>
      </c>
      <c r="Q13" s="17">
        <v>109823</v>
      </c>
      <c r="R13" s="17">
        <v>257535</v>
      </c>
      <c r="S13" s="17">
        <v>31887</v>
      </c>
      <c r="T13" s="17">
        <f>AVERAGE(Table1436281293305[[#This Row],[Teste 1]:[Teste 3]])</f>
        <v>133081.66666666666</v>
      </c>
    </row>
    <row r="14" spans="1:20" x14ac:dyDescent="0.25">
      <c r="A14" s="16" t="s">
        <v>16</v>
      </c>
      <c r="B14" s="16" t="s">
        <v>8</v>
      </c>
      <c r="C14" s="17">
        <v>1491</v>
      </c>
      <c r="D14" s="17">
        <v>881</v>
      </c>
      <c r="E14" s="17">
        <v>439</v>
      </c>
      <c r="F14" s="17">
        <f>AVERAGE(Table1436281[[#This Row],[Teste 1]:[Teste 3]])</f>
        <v>937</v>
      </c>
      <c r="G14" s="16"/>
      <c r="H14" s="16" t="s">
        <v>16</v>
      </c>
      <c r="I14" s="16" t="s">
        <v>8</v>
      </c>
      <c r="J14" s="17">
        <v>1834</v>
      </c>
      <c r="K14" s="17">
        <v>1084</v>
      </c>
      <c r="L14" s="17">
        <v>540</v>
      </c>
      <c r="M14" s="17">
        <f>AVERAGE(Table1436281293[[#This Row],[Teste 1]:[Teste 3]])</f>
        <v>1152.6666666666667</v>
      </c>
      <c r="N14" s="16"/>
      <c r="O14" s="16" t="s">
        <v>16</v>
      </c>
      <c r="P14" s="16" t="s">
        <v>8</v>
      </c>
      <c r="Q14" s="17">
        <v>569</v>
      </c>
      <c r="R14" s="17">
        <v>276</v>
      </c>
      <c r="S14" s="17">
        <v>278</v>
      </c>
      <c r="T14" s="17">
        <f>AVERAGE(Table1436281293305[[#This Row],[Teste 1]:[Teste 3]])</f>
        <v>374.33333333333331</v>
      </c>
    </row>
    <row r="15" spans="1:20" x14ac:dyDescent="0.25">
      <c r="A15" s="16" t="s">
        <v>16</v>
      </c>
      <c r="B15" s="16" t="s">
        <v>9</v>
      </c>
      <c r="C15" s="17">
        <v>6127</v>
      </c>
      <c r="D15" s="17">
        <v>2113</v>
      </c>
      <c r="E15" s="17">
        <v>835</v>
      </c>
      <c r="F15" s="17">
        <f>AVERAGE(Table1436281[[#This Row],[Teste 1]:[Teste 3]])</f>
        <v>3025</v>
      </c>
      <c r="G15" s="16"/>
      <c r="H15" s="16" t="s">
        <v>16</v>
      </c>
      <c r="I15" s="16" t="s">
        <v>9</v>
      </c>
      <c r="J15" s="17">
        <v>7536</v>
      </c>
      <c r="K15" s="17">
        <v>2599</v>
      </c>
      <c r="L15" s="17">
        <v>1027</v>
      </c>
      <c r="M15" s="17">
        <f>AVERAGE(Table1436281293[[#This Row],[Teste 1]:[Teste 3]])</f>
        <v>3720.6666666666665</v>
      </c>
      <c r="N15" s="16"/>
      <c r="O15" s="16" t="s">
        <v>16</v>
      </c>
      <c r="P15" s="16" t="s">
        <v>9</v>
      </c>
      <c r="Q15" s="17">
        <v>811</v>
      </c>
      <c r="R15" s="17">
        <v>444</v>
      </c>
      <c r="S15" s="17">
        <v>456</v>
      </c>
      <c r="T15" s="17">
        <f>AVERAGE(Table1436281293305[[#This Row],[Teste 1]:[Teste 3]])</f>
        <v>570.33333333333337</v>
      </c>
    </row>
    <row r="16" spans="1:20" x14ac:dyDescent="0.25">
      <c r="A16" s="16" t="s">
        <v>16</v>
      </c>
      <c r="B16" s="16" t="s">
        <v>11</v>
      </c>
      <c r="C16" s="17">
        <v>50111</v>
      </c>
      <c r="D16" s="17">
        <v>49894</v>
      </c>
      <c r="E16" s="17">
        <v>49901</v>
      </c>
      <c r="F16" s="17">
        <f>AVERAGE(Table1436281[[#This Row],[Teste 1]:[Teste 3]])</f>
        <v>49968.666666666664</v>
      </c>
      <c r="G16" s="16"/>
      <c r="H16" s="16" t="s">
        <v>16</v>
      </c>
      <c r="I16" s="16" t="s">
        <v>11</v>
      </c>
      <c r="J16" s="17">
        <v>49959</v>
      </c>
      <c r="K16" s="17">
        <v>50542</v>
      </c>
      <c r="L16" s="17">
        <v>49824</v>
      </c>
      <c r="M16" s="17">
        <f>AVERAGE(Table1436281293[[#This Row],[Teste 1]:[Teste 3]])</f>
        <v>50108.333333333336</v>
      </c>
      <c r="N16" s="16"/>
      <c r="O16" s="16" t="s">
        <v>16</v>
      </c>
      <c r="P16" s="16" t="s">
        <v>11</v>
      </c>
      <c r="Q16" s="17">
        <v>49959</v>
      </c>
      <c r="R16" s="17">
        <v>49870</v>
      </c>
      <c r="S16" s="17">
        <v>49824</v>
      </c>
      <c r="T16" s="17">
        <f>AVERAGE(Table1436281293305[[#This Row],[Teste 1]:[Teste 3]])</f>
        <v>49884.333333333336</v>
      </c>
    </row>
    <row r="17" spans="1:20" x14ac:dyDescent="0.25">
      <c r="A17" s="16" t="s">
        <v>3</v>
      </c>
      <c r="B17" s="16" t="s">
        <v>4</v>
      </c>
      <c r="C17" s="17">
        <v>1</v>
      </c>
      <c r="D17" s="17">
        <v>1</v>
      </c>
      <c r="E17" s="17">
        <v>1</v>
      </c>
      <c r="F17" s="17">
        <f>AVERAGE(Table1436281[[#This Row],[Teste 1]:[Teste 3]])</f>
        <v>1</v>
      </c>
      <c r="G17" s="16"/>
      <c r="H17" s="16" t="s">
        <v>3</v>
      </c>
      <c r="I17" s="16" t="s">
        <v>4</v>
      </c>
      <c r="J17" s="17">
        <v>1</v>
      </c>
      <c r="K17" s="17">
        <v>1</v>
      </c>
      <c r="L17" s="17">
        <v>1</v>
      </c>
      <c r="M17" s="17">
        <f>AVERAGE(Table1436281293[[#This Row],[Teste 1]:[Teste 3]])</f>
        <v>1</v>
      </c>
      <c r="N17" s="16"/>
      <c r="O17" s="16" t="s">
        <v>3</v>
      </c>
      <c r="P17" s="16" t="s">
        <v>4</v>
      </c>
      <c r="Q17" s="17">
        <v>1</v>
      </c>
      <c r="R17" s="17">
        <v>1</v>
      </c>
      <c r="S17" s="17">
        <v>1</v>
      </c>
      <c r="T17" s="17">
        <f>AVERAGE(Table1436281293305[[#This Row],[Teste 1]:[Teste 3]])</f>
        <v>1</v>
      </c>
    </row>
    <row r="18" spans="1:20" x14ac:dyDescent="0.25">
      <c r="A18" s="16" t="s">
        <v>3</v>
      </c>
      <c r="B18" s="16" t="s">
        <v>5</v>
      </c>
      <c r="C18" s="17">
        <v>9</v>
      </c>
      <c r="D18" s="17">
        <v>9</v>
      </c>
      <c r="E18" s="17">
        <v>10</v>
      </c>
      <c r="F18" s="17">
        <f>AVERAGE(Table1436281[[#This Row],[Teste 1]:[Teste 3]])</f>
        <v>9.3333333333333339</v>
      </c>
      <c r="G18" s="16"/>
      <c r="H18" s="16" t="s">
        <v>3</v>
      </c>
      <c r="I18" s="16" t="s">
        <v>5</v>
      </c>
      <c r="J18" s="17">
        <v>8</v>
      </c>
      <c r="K18" s="17">
        <v>9</v>
      </c>
      <c r="L18" s="17">
        <v>7</v>
      </c>
      <c r="M18" s="17">
        <f>AVERAGE(Table1436281293[[#This Row],[Teste 1]:[Teste 3]])</f>
        <v>8</v>
      </c>
      <c r="N18" s="16"/>
      <c r="O18" s="16" t="s">
        <v>3</v>
      </c>
      <c r="P18" s="16" t="s">
        <v>5</v>
      </c>
      <c r="Q18" s="17">
        <v>2305</v>
      </c>
      <c r="R18" s="17">
        <v>926</v>
      </c>
      <c r="S18" s="17">
        <v>1346</v>
      </c>
      <c r="T18" s="17">
        <f>AVERAGE(Table1436281293305[[#This Row],[Teste 1]:[Teste 3]])</f>
        <v>1525.6666666666667</v>
      </c>
    </row>
    <row r="19" spans="1:20" x14ac:dyDescent="0.25">
      <c r="A19" s="16" t="s">
        <v>3</v>
      </c>
      <c r="B19" s="16" t="s">
        <v>6</v>
      </c>
      <c r="C19" s="17">
        <v>9</v>
      </c>
      <c r="D19" s="17">
        <v>9</v>
      </c>
      <c r="E19" s="17">
        <v>10</v>
      </c>
      <c r="F19" s="17">
        <f>AVERAGE(Table1436281[[#This Row],[Teste 1]:[Teste 3]])</f>
        <v>9.3333333333333339</v>
      </c>
      <c r="G19" s="16"/>
      <c r="H19" s="16" t="s">
        <v>3</v>
      </c>
      <c r="I19" s="16" t="s">
        <v>6</v>
      </c>
      <c r="J19" s="17">
        <v>8</v>
      </c>
      <c r="K19" s="17">
        <v>9</v>
      </c>
      <c r="L19" s="17">
        <v>7</v>
      </c>
      <c r="M19" s="17">
        <f>AVERAGE(Table1436281293[[#This Row],[Teste 1]:[Teste 3]])</f>
        <v>8</v>
      </c>
      <c r="N19" s="16"/>
      <c r="O19" s="16" t="s">
        <v>3</v>
      </c>
      <c r="P19" s="16" t="s">
        <v>6</v>
      </c>
      <c r="Q19" s="17">
        <v>2305</v>
      </c>
      <c r="R19" s="17">
        <v>926</v>
      </c>
      <c r="S19" s="17">
        <v>1346</v>
      </c>
      <c r="T19" s="17">
        <f>AVERAGE(Table1436281293305[[#This Row],[Teste 1]:[Teste 3]])</f>
        <v>1525.6666666666667</v>
      </c>
    </row>
    <row r="20" spans="1:20" x14ac:dyDescent="0.25">
      <c r="A20" s="16" t="s">
        <v>3</v>
      </c>
      <c r="B20" s="16" t="s">
        <v>7</v>
      </c>
      <c r="C20" s="17">
        <v>9</v>
      </c>
      <c r="D20" s="17">
        <v>9</v>
      </c>
      <c r="E20" s="17">
        <v>10</v>
      </c>
      <c r="F20" s="17">
        <f>AVERAGE(Table1436281[[#This Row],[Teste 1]:[Teste 3]])</f>
        <v>9.3333333333333339</v>
      </c>
      <c r="G20" s="16"/>
      <c r="H20" s="16" t="s">
        <v>3</v>
      </c>
      <c r="I20" s="16" t="s">
        <v>7</v>
      </c>
      <c r="J20" s="17">
        <v>8</v>
      </c>
      <c r="K20" s="17">
        <v>9</v>
      </c>
      <c r="L20" s="17">
        <v>7</v>
      </c>
      <c r="M20" s="17">
        <f>AVERAGE(Table1436281293[[#This Row],[Teste 1]:[Teste 3]])</f>
        <v>8</v>
      </c>
      <c r="N20" s="16"/>
      <c r="O20" s="16" t="s">
        <v>3</v>
      </c>
      <c r="P20" s="16" t="s">
        <v>7</v>
      </c>
      <c r="Q20" s="17">
        <v>2305</v>
      </c>
      <c r="R20" s="17">
        <v>926</v>
      </c>
      <c r="S20" s="17">
        <v>1346</v>
      </c>
      <c r="T20" s="17">
        <f>AVERAGE(Table1436281293305[[#This Row],[Teste 1]:[Teste 3]])</f>
        <v>1525.6666666666667</v>
      </c>
    </row>
    <row r="21" spans="1:20" x14ac:dyDescent="0.25">
      <c r="A21" s="16" t="s">
        <v>3</v>
      </c>
      <c r="B21" s="16" t="s">
        <v>8</v>
      </c>
      <c r="C21" s="17">
        <v>9</v>
      </c>
      <c r="D21" s="17">
        <v>9</v>
      </c>
      <c r="E21" s="17">
        <v>10</v>
      </c>
      <c r="F21" s="17">
        <f>AVERAGE(Table1436281[[#This Row],[Teste 1]:[Teste 3]])</f>
        <v>9.3333333333333339</v>
      </c>
      <c r="G21" s="16"/>
      <c r="H21" s="16" t="s">
        <v>3</v>
      </c>
      <c r="I21" s="16" t="s">
        <v>8</v>
      </c>
      <c r="J21" s="17">
        <v>8</v>
      </c>
      <c r="K21" s="17">
        <v>9</v>
      </c>
      <c r="L21" s="17">
        <v>7</v>
      </c>
      <c r="M21" s="17">
        <f>AVERAGE(Table1436281293[[#This Row],[Teste 1]:[Teste 3]])</f>
        <v>8</v>
      </c>
      <c r="N21" s="16"/>
      <c r="O21" s="16" t="s">
        <v>3</v>
      </c>
      <c r="P21" s="16" t="s">
        <v>8</v>
      </c>
      <c r="Q21" s="17">
        <v>2305</v>
      </c>
      <c r="R21" s="17">
        <v>926</v>
      </c>
      <c r="S21" s="17">
        <v>1346</v>
      </c>
      <c r="T21" s="17">
        <f>AVERAGE(Table1436281293305[[#This Row],[Teste 1]:[Teste 3]])</f>
        <v>1525.6666666666667</v>
      </c>
    </row>
    <row r="22" spans="1:20" x14ac:dyDescent="0.25">
      <c r="A22" s="16" t="s">
        <v>3</v>
      </c>
      <c r="B22" s="16" t="s">
        <v>9</v>
      </c>
      <c r="C22" s="17">
        <v>9</v>
      </c>
      <c r="D22" s="17">
        <v>9</v>
      </c>
      <c r="E22" s="17">
        <v>10</v>
      </c>
      <c r="F22" s="17">
        <f>AVERAGE(Table1436281[[#This Row],[Teste 1]:[Teste 3]])</f>
        <v>9.3333333333333339</v>
      </c>
      <c r="G22" s="16"/>
      <c r="H22" s="16" t="s">
        <v>3</v>
      </c>
      <c r="I22" s="16" t="s">
        <v>9</v>
      </c>
      <c r="J22" s="17">
        <v>8</v>
      </c>
      <c r="K22" s="17">
        <v>9</v>
      </c>
      <c r="L22" s="17">
        <v>7</v>
      </c>
      <c r="M22" s="17">
        <f>AVERAGE(Table1436281293[[#This Row],[Teste 1]:[Teste 3]])</f>
        <v>8</v>
      </c>
      <c r="N22" s="16"/>
      <c r="O22" s="16" t="s">
        <v>3</v>
      </c>
      <c r="P22" s="16" t="s">
        <v>9</v>
      </c>
      <c r="Q22" s="17">
        <v>2305</v>
      </c>
      <c r="R22" s="17">
        <v>926</v>
      </c>
      <c r="S22" s="17">
        <v>1346</v>
      </c>
      <c r="T22" s="17">
        <f>AVERAGE(Table1436281293305[[#This Row],[Teste 1]:[Teste 3]])</f>
        <v>1525.6666666666667</v>
      </c>
    </row>
    <row r="23" spans="1:20" x14ac:dyDescent="0.25">
      <c r="A23" s="16" t="s">
        <v>17</v>
      </c>
      <c r="B23" s="16" t="s">
        <v>4</v>
      </c>
      <c r="C23" s="17">
        <v>49889</v>
      </c>
      <c r="D23" s="17">
        <v>50106</v>
      </c>
      <c r="E23" s="17">
        <v>50099</v>
      </c>
      <c r="F23" s="17">
        <f>AVERAGE(Table1436281[[#This Row],[Teste 1]:[Teste 3]])</f>
        <v>50031.333333333336</v>
      </c>
      <c r="G23" s="16"/>
      <c r="H23" s="16" t="s">
        <v>17</v>
      </c>
      <c r="I23" s="16" t="s">
        <v>4</v>
      </c>
      <c r="J23" s="17">
        <v>49959</v>
      </c>
      <c r="K23" s="17">
        <v>50542</v>
      </c>
      <c r="L23" s="17">
        <v>50176</v>
      </c>
      <c r="M23" s="17">
        <f>AVERAGE(Table1436281293[[#This Row],[Teste 1]:[Teste 3]])</f>
        <v>50225.666666666664</v>
      </c>
      <c r="N23" s="16"/>
      <c r="O23" s="16" t="s">
        <v>17</v>
      </c>
      <c r="P23" s="16" t="s">
        <v>4</v>
      </c>
      <c r="Q23" s="17">
        <v>49959</v>
      </c>
      <c r="R23" s="17">
        <v>50130</v>
      </c>
      <c r="S23" s="17">
        <v>50176</v>
      </c>
      <c r="T23" s="17">
        <f>AVERAGE(Table1436281293305[[#This Row],[Teste 1]:[Teste 3]])</f>
        <v>50088.333333333336</v>
      </c>
    </row>
    <row r="24" spans="1:20" x14ac:dyDescent="0.25">
      <c r="A24" s="16" t="s">
        <v>17</v>
      </c>
      <c r="B24" s="16" t="s">
        <v>5</v>
      </c>
      <c r="C24" s="17">
        <v>694.73096273727595</v>
      </c>
      <c r="D24" s="17">
        <v>508.86065541052898</v>
      </c>
      <c r="E24" s="17">
        <v>269.250404199684</v>
      </c>
      <c r="F24" s="17">
        <f>AVERAGE(Table1436281[[#This Row],[Teste 1]:[Teste 3]])</f>
        <v>490.94734078249627</v>
      </c>
      <c r="G24" s="16"/>
      <c r="H24" s="16" t="s">
        <v>17</v>
      </c>
      <c r="I24" s="16" t="s">
        <v>5</v>
      </c>
      <c r="J24" s="17">
        <v>854.52</v>
      </c>
      <c r="K24" s="17">
        <v>625.99</v>
      </c>
      <c r="L24" s="17">
        <v>331.18</v>
      </c>
      <c r="M24" s="17">
        <f>AVERAGE(Table1436281293[[#This Row],[Teste 1]:[Teste 3]])</f>
        <v>603.89666666666665</v>
      </c>
      <c r="N24" s="16"/>
      <c r="O24" s="16" t="s">
        <v>17</v>
      </c>
      <c r="P24" s="16" t="s">
        <v>5</v>
      </c>
      <c r="Q24" s="17">
        <v>646.77354569253202</v>
      </c>
      <c r="R24" s="17">
        <v>278.516896070217</v>
      </c>
      <c r="S24" s="17">
        <v>285.57908163265301</v>
      </c>
      <c r="T24" s="17">
        <f>AVERAGE(Table1436281293305[[#This Row],[Teste 1]:[Teste 3]])</f>
        <v>403.62317446513401</v>
      </c>
    </row>
    <row r="25" spans="1:20" x14ac:dyDescent="0.25">
      <c r="A25" s="16" t="s">
        <v>17</v>
      </c>
      <c r="B25" s="16" t="s">
        <v>6</v>
      </c>
      <c r="C25" s="17">
        <v>149</v>
      </c>
      <c r="D25" s="17">
        <v>206</v>
      </c>
      <c r="E25" s="17">
        <v>94</v>
      </c>
      <c r="F25" s="17">
        <f>AVERAGE(Table1436281[[#This Row],[Teste 1]:[Teste 3]])</f>
        <v>149.66666666666666</v>
      </c>
      <c r="G25" s="16"/>
      <c r="H25" s="16" t="s">
        <v>17</v>
      </c>
      <c r="I25" s="16" t="s">
        <v>6</v>
      </c>
      <c r="J25" s="17">
        <v>183</v>
      </c>
      <c r="K25" s="17">
        <v>254</v>
      </c>
      <c r="L25" s="17">
        <v>116</v>
      </c>
      <c r="M25" s="17">
        <f>AVERAGE(Table1436281293[[#This Row],[Teste 1]:[Teste 3]])</f>
        <v>184.33333333333334</v>
      </c>
      <c r="N25" s="16"/>
      <c r="O25" s="16" t="s">
        <v>17</v>
      </c>
      <c r="P25" s="16" t="s">
        <v>6</v>
      </c>
      <c r="Q25" s="17">
        <v>280</v>
      </c>
      <c r="R25" s="17">
        <v>187</v>
      </c>
      <c r="S25" s="17">
        <v>188</v>
      </c>
      <c r="T25" s="17">
        <f>AVERAGE(Table1436281293305[[#This Row],[Teste 1]:[Teste 3]])</f>
        <v>218.33333333333334</v>
      </c>
    </row>
    <row r="26" spans="1:20" x14ac:dyDescent="0.25">
      <c r="A26" s="16" t="s">
        <v>17</v>
      </c>
      <c r="B26" s="16" t="s">
        <v>7</v>
      </c>
      <c r="C26" s="17">
        <v>142335</v>
      </c>
      <c r="D26" s="17">
        <v>21839</v>
      </c>
      <c r="E26" s="17">
        <v>22671</v>
      </c>
      <c r="F26" s="17">
        <f>AVERAGE(Table1436281[[#This Row],[Teste 1]:[Teste 3]])</f>
        <v>62281.666666666664</v>
      </c>
      <c r="G26" s="16"/>
      <c r="H26" s="16" t="s">
        <v>17</v>
      </c>
      <c r="I26" s="16" t="s">
        <v>7</v>
      </c>
      <c r="J26" s="17">
        <v>175072</v>
      </c>
      <c r="K26" s="17">
        <v>26861</v>
      </c>
      <c r="L26" s="17">
        <v>27885</v>
      </c>
      <c r="M26" s="17">
        <f>AVERAGE(Table1436281293[[#This Row],[Teste 1]:[Teste 3]])</f>
        <v>76606</v>
      </c>
      <c r="N26" s="16"/>
      <c r="O26" s="16" t="s">
        <v>17</v>
      </c>
      <c r="P26" s="16" t="s">
        <v>7</v>
      </c>
      <c r="Q26" s="17">
        <v>803327</v>
      </c>
      <c r="R26" s="17">
        <v>8911</v>
      </c>
      <c r="S26" s="17">
        <v>21295</v>
      </c>
      <c r="T26" s="17">
        <f>AVERAGE(Table1436281293305[[#This Row],[Teste 1]:[Teste 3]])</f>
        <v>277844.33333333331</v>
      </c>
    </row>
    <row r="27" spans="1:20" x14ac:dyDescent="0.25">
      <c r="A27" s="16" t="s">
        <v>17</v>
      </c>
      <c r="B27" s="16" t="s">
        <v>8</v>
      </c>
      <c r="C27" s="17">
        <v>1721</v>
      </c>
      <c r="D27" s="17">
        <v>1017</v>
      </c>
      <c r="E27" s="17">
        <v>538</v>
      </c>
      <c r="F27" s="17">
        <f>AVERAGE(Table1436281[[#This Row],[Teste 1]:[Teste 3]])</f>
        <v>1092</v>
      </c>
      <c r="G27" s="16"/>
      <c r="H27" s="16" t="s">
        <v>17</v>
      </c>
      <c r="I27" s="16" t="s">
        <v>8</v>
      </c>
      <c r="J27" s="17">
        <v>2117</v>
      </c>
      <c r="K27" s="17">
        <v>1251</v>
      </c>
      <c r="L27" s="17">
        <v>662</v>
      </c>
      <c r="M27" s="17">
        <f>AVERAGE(Table1436281293[[#This Row],[Teste 1]:[Teste 3]])</f>
        <v>1343.3333333333333</v>
      </c>
      <c r="N27" s="16"/>
      <c r="O27" s="16" t="s">
        <v>17</v>
      </c>
      <c r="P27" s="16" t="s">
        <v>8</v>
      </c>
      <c r="Q27" s="17">
        <v>846</v>
      </c>
      <c r="R27" s="17">
        <v>446</v>
      </c>
      <c r="S27" s="17">
        <v>452</v>
      </c>
      <c r="T27" s="17">
        <f>AVERAGE(Table1436281293305[[#This Row],[Teste 1]:[Teste 3]])</f>
        <v>581.33333333333337</v>
      </c>
    </row>
    <row r="28" spans="1:20" x14ac:dyDescent="0.25">
      <c r="A28" s="16" t="s">
        <v>17</v>
      </c>
      <c r="B28" s="16" t="s">
        <v>9</v>
      </c>
      <c r="C28" s="17">
        <v>6383</v>
      </c>
      <c r="D28" s="17">
        <v>2267</v>
      </c>
      <c r="E28" s="17">
        <v>986</v>
      </c>
      <c r="F28" s="17">
        <f>AVERAGE(Table1436281[[#This Row],[Teste 1]:[Teste 3]])</f>
        <v>3212</v>
      </c>
      <c r="G28" s="16"/>
      <c r="H28" s="16" t="s">
        <v>17</v>
      </c>
      <c r="I28" s="16" t="s">
        <v>9</v>
      </c>
      <c r="J28" s="17">
        <v>7851</v>
      </c>
      <c r="K28" s="17">
        <v>2788</v>
      </c>
      <c r="L28" s="17">
        <v>1213</v>
      </c>
      <c r="M28" s="17">
        <f>AVERAGE(Table1436281293[[#This Row],[Teste 1]:[Teste 3]])</f>
        <v>3950.6666666666665</v>
      </c>
      <c r="N28" s="16"/>
      <c r="O28" s="16" t="s">
        <v>17</v>
      </c>
      <c r="P28" s="16" t="s">
        <v>9</v>
      </c>
      <c r="Q28" s="17">
        <v>1098</v>
      </c>
      <c r="R28" s="17">
        <v>654</v>
      </c>
      <c r="S28" s="17">
        <v>669</v>
      </c>
      <c r="T28" s="17">
        <f>AVERAGE(Table1436281293305[[#This Row],[Teste 1]:[Teste 3]])</f>
        <v>807</v>
      </c>
    </row>
    <row r="29" spans="1:20" x14ac:dyDescent="0.25">
      <c r="A29" s="16" t="s">
        <v>17</v>
      </c>
      <c r="B29" s="16" t="s">
        <v>11</v>
      </c>
      <c r="C29" s="17">
        <v>49889</v>
      </c>
      <c r="D29" s="17">
        <v>50106</v>
      </c>
      <c r="E29" s="17">
        <v>50099</v>
      </c>
      <c r="F29" s="17">
        <f>AVERAGE(Table1436281[[#This Row],[Teste 1]:[Teste 3]])</f>
        <v>50031.333333333336</v>
      </c>
      <c r="G29" s="16"/>
      <c r="H29" s="16" t="s">
        <v>17</v>
      </c>
      <c r="I29" s="16" t="s">
        <v>11</v>
      </c>
      <c r="J29" s="17">
        <v>49959</v>
      </c>
      <c r="K29" s="17">
        <v>50542</v>
      </c>
      <c r="L29" s="17">
        <v>50176</v>
      </c>
      <c r="M29" s="17">
        <f>AVERAGE(Table1436281293[[#This Row],[Teste 1]:[Teste 3]])</f>
        <v>50225.666666666664</v>
      </c>
      <c r="N29" s="16"/>
      <c r="O29" s="16" t="s">
        <v>17</v>
      </c>
      <c r="P29" s="16" t="s">
        <v>11</v>
      </c>
      <c r="Q29" s="17">
        <v>50041</v>
      </c>
      <c r="R29" s="17">
        <v>50130</v>
      </c>
      <c r="S29" s="17">
        <v>50176</v>
      </c>
      <c r="T29" s="17">
        <f>AVERAGE(Table1436281293305[[#This Row],[Teste 1]:[Teste 3]])</f>
        <v>50115.666666666664</v>
      </c>
    </row>
    <row r="30" spans="1:20" x14ac:dyDescent="0.25">
      <c r="A30" s="16"/>
      <c r="B30" s="16"/>
      <c r="C30" s="17"/>
      <c r="D30" s="17"/>
      <c r="E30" s="17"/>
      <c r="F30" s="17"/>
      <c r="G30" s="16"/>
      <c r="H30" s="16"/>
      <c r="I30" s="16"/>
      <c r="J30" s="17"/>
      <c r="K30" s="17"/>
      <c r="L30" s="17"/>
      <c r="M30" s="17"/>
      <c r="N30" s="16"/>
      <c r="O30" s="16"/>
      <c r="P30" s="16"/>
      <c r="Q30" s="17"/>
      <c r="R30" s="17"/>
      <c r="S30" s="17"/>
      <c r="T30" s="17"/>
    </row>
    <row r="31" spans="1:20" x14ac:dyDescent="0.25">
      <c r="A31" s="16"/>
      <c r="B31" s="16"/>
      <c r="C31" s="17"/>
      <c r="D31" s="17"/>
      <c r="E31" s="17"/>
      <c r="F31" s="17"/>
      <c r="G31" s="16"/>
      <c r="H31" s="16"/>
      <c r="I31" s="16"/>
      <c r="J31" s="17"/>
      <c r="K31" s="17"/>
      <c r="L31" s="17"/>
      <c r="M31" s="17"/>
      <c r="N31" s="16"/>
      <c r="O31" s="16"/>
      <c r="P31" s="16"/>
      <c r="Q31" s="17"/>
      <c r="R31" s="17"/>
      <c r="S31" s="17"/>
      <c r="T31" s="17"/>
    </row>
    <row r="32" spans="1:20" x14ac:dyDescent="0.25">
      <c r="A32" s="16"/>
      <c r="B32" s="16"/>
      <c r="C32" s="17"/>
      <c r="D32" s="17"/>
      <c r="E32" s="17"/>
      <c r="F32" s="17"/>
      <c r="G32" s="16"/>
      <c r="H32" s="16"/>
      <c r="I32" s="16"/>
      <c r="J32" s="17"/>
      <c r="K32" s="17"/>
      <c r="L32" s="17"/>
      <c r="M32" s="17"/>
      <c r="N32" s="16"/>
      <c r="O32" s="16"/>
      <c r="P32" s="16"/>
      <c r="Q32" s="17"/>
      <c r="R32" s="17"/>
      <c r="S32" s="17"/>
      <c r="T32" s="17"/>
    </row>
    <row r="34" spans="1:20" ht="15.75" x14ac:dyDescent="0.25">
      <c r="A34" s="2" t="s">
        <v>74</v>
      </c>
      <c r="H34" s="2" t="s">
        <v>74</v>
      </c>
      <c r="O34" s="2" t="s">
        <v>74</v>
      </c>
    </row>
    <row r="35" spans="1:20" x14ac:dyDescent="0.25">
      <c r="A35" s="16" t="s">
        <v>59</v>
      </c>
      <c r="B35" s="16" t="s">
        <v>58</v>
      </c>
      <c r="C35" s="16" t="s">
        <v>82</v>
      </c>
      <c r="D35" s="16" t="s">
        <v>64</v>
      </c>
      <c r="E35" s="16" t="s">
        <v>63</v>
      </c>
      <c r="F35" s="16" t="s">
        <v>18</v>
      </c>
      <c r="G35" s="16"/>
      <c r="H35" s="16" t="s">
        <v>12</v>
      </c>
      <c r="I35" s="16" t="s">
        <v>58</v>
      </c>
      <c r="J35" s="16" t="s">
        <v>82</v>
      </c>
      <c r="K35" s="16" t="s">
        <v>64</v>
      </c>
      <c r="L35" s="16" t="s">
        <v>63</v>
      </c>
      <c r="M35" s="16" t="s">
        <v>18</v>
      </c>
      <c r="N35" s="16"/>
      <c r="O35" s="16" t="s">
        <v>13</v>
      </c>
      <c r="P35" s="16" t="s">
        <v>58</v>
      </c>
      <c r="Q35" s="16" t="s">
        <v>82</v>
      </c>
      <c r="R35" s="16" t="s">
        <v>64</v>
      </c>
      <c r="S35" s="16" t="s">
        <v>63</v>
      </c>
      <c r="T35" s="16" t="s">
        <v>18</v>
      </c>
    </row>
    <row r="36" spans="1:20" ht="15" customHeight="1" x14ac:dyDescent="0.25">
      <c r="A36" s="16" t="s">
        <v>0</v>
      </c>
      <c r="B36" s="16" t="s">
        <v>1</v>
      </c>
      <c r="C36" s="17">
        <v>10850</v>
      </c>
      <c r="D36" s="17">
        <v>9991</v>
      </c>
      <c r="E36" s="17">
        <v>10002</v>
      </c>
      <c r="F36" s="17">
        <f>AVERAGE(Table1436281282[[#This Row],[Teste 1]:[Teste 3]])</f>
        <v>10281</v>
      </c>
      <c r="G36" s="16"/>
      <c r="H36" s="16" t="s">
        <v>0</v>
      </c>
      <c r="I36" s="16" t="s">
        <v>1</v>
      </c>
      <c r="J36" s="17">
        <v>10851</v>
      </c>
      <c r="K36" s="17">
        <v>10399</v>
      </c>
      <c r="L36" s="17">
        <v>10486</v>
      </c>
      <c r="M36" s="17">
        <f>AVERAGE(Table1436281282294[[#This Row],[Teste 1]:[Teste 3]])</f>
        <v>10578.666666666666</v>
      </c>
      <c r="N36" s="16"/>
      <c r="O36" s="16" t="s">
        <v>0</v>
      </c>
      <c r="P36" s="16" t="s">
        <v>1</v>
      </c>
      <c r="Q36" s="17">
        <v>11484</v>
      </c>
      <c r="R36" s="17">
        <v>10258</v>
      </c>
      <c r="S36" s="17">
        <v>10219</v>
      </c>
      <c r="T36" s="17">
        <f>AVERAGE(Table1436281282294306[[#This Row],[Teste 1]:[Teste 3]])</f>
        <v>10653.666666666666</v>
      </c>
    </row>
    <row r="37" spans="1:20" x14ac:dyDescent="0.25">
      <c r="A37" s="16" t="s">
        <v>0</v>
      </c>
      <c r="B37" s="16" t="s">
        <v>2</v>
      </c>
      <c r="C37" s="17">
        <v>9924.1448692152899</v>
      </c>
      <c r="D37" s="17">
        <v>10009.0081072965</v>
      </c>
      <c r="E37" s="17">
        <v>9998.0003999200108</v>
      </c>
      <c r="F37" s="17">
        <f>AVERAGE(Table1436281282[[#This Row],[Teste 1]:[Teste 3]])</f>
        <v>9977.0511254772664</v>
      </c>
      <c r="G37" s="16"/>
      <c r="H37" s="16" t="s">
        <v>0</v>
      </c>
      <c r="I37" s="16" t="s">
        <v>2</v>
      </c>
      <c r="J37" s="17">
        <v>9729.56</v>
      </c>
      <c r="K37" s="17">
        <v>9812.75</v>
      </c>
      <c r="L37" s="17">
        <v>9781.43</v>
      </c>
      <c r="M37" s="17">
        <f>AVERAGE(Table1436281282294[[#This Row],[Teste 1]:[Teste 3]])</f>
        <v>9774.58</v>
      </c>
      <c r="N37" s="16"/>
      <c r="O37" s="16" t="s">
        <v>0</v>
      </c>
      <c r="P37" s="16" t="s">
        <v>2</v>
      </c>
      <c r="Q37" s="17">
        <v>8707.7673284569792</v>
      </c>
      <c r="R37" s="17">
        <v>9748.4889842074408</v>
      </c>
      <c r="S37" s="17">
        <v>9785.6933163714602</v>
      </c>
      <c r="T37" s="17">
        <f>AVERAGE(Table1436281282294306[[#This Row],[Teste 1]:[Teste 3]])</f>
        <v>9413.9832096786267</v>
      </c>
    </row>
    <row r="38" spans="1:20" x14ac:dyDescent="0.25">
      <c r="A38" s="16" t="s">
        <v>16</v>
      </c>
      <c r="B38" s="16" t="s">
        <v>4</v>
      </c>
      <c r="C38" s="17">
        <v>50088</v>
      </c>
      <c r="D38" s="17">
        <v>50140</v>
      </c>
      <c r="E38" s="17">
        <v>49886</v>
      </c>
      <c r="F38" s="17">
        <f>AVERAGE(Table1436281282[[#This Row],[Teste 1]:[Teste 3]])</f>
        <v>50038</v>
      </c>
      <c r="G38" s="16"/>
      <c r="H38" s="16" t="s">
        <v>16</v>
      </c>
      <c r="I38" s="16" t="s">
        <v>4</v>
      </c>
      <c r="J38" s="17">
        <v>10850</v>
      </c>
      <c r="K38" s="17">
        <v>500000</v>
      </c>
      <c r="L38" s="17">
        <v>49960</v>
      </c>
      <c r="M38" s="17">
        <f>AVERAGE(Table1436281282294[[#This Row],[Teste 1]:[Teste 3]])</f>
        <v>186936.66666666666</v>
      </c>
      <c r="N38" s="16"/>
      <c r="O38" s="16" t="s">
        <v>16</v>
      </c>
      <c r="P38" s="16" t="s">
        <v>4</v>
      </c>
      <c r="Q38" s="17">
        <v>50251</v>
      </c>
      <c r="R38" s="17">
        <v>50135</v>
      </c>
      <c r="S38" s="17">
        <v>50005</v>
      </c>
      <c r="T38" s="17">
        <f>AVERAGE(Table1436281282294306[[#This Row],[Teste 1]:[Teste 3]])</f>
        <v>50130.333333333336</v>
      </c>
    </row>
    <row r="39" spans="1:20" x14ac:dyDescent="0.25">
      <c r="A39" s="16" t="s">
        <v>16</v>
      </c>
      <c r="B39" s="16" t="s">
        <v>5</v>
      </c>
      <c r="C39" s="17">
        <v>640.73518607251196</v>
      </c>
      <c r="D39" s="17">
        <v>254.415636218587</v>
      </c>
      <c r="E39" s="17">
        <v>255.988253217335</v>
      </c>
      <c r="F39" s="17">
        <f>AVERAGE(Table1436281282[[#This Row],[Teste 1]:[Teste 3]])</f>
        <v>383.71302516947799</v>
      </c>
      <c r="G39" s="16"/>
      <c r="H39" s="16" t="s">
        <v>16</v>
      </c>
      <c r="I39" s="16" t="s">
        <v>5</v>
      </c>
      <c r="J39" s="17">
        <v>653.54999999999995</v>
      </c>
      <c r="K39" s="17">
        <v>259.5</v>
      </c>
      <c r="L39" s="17">
        <v>261.12</v>
      </c>
      <c r="M39" s="17">
        <f>AVERAGE(Table1436281282294[[#This Row],[Teste 1]:[Teste 3]])</f>
        <v>391.39000000000004</v>
      </c>
      <c r="N39" s="16"/>
      <c r="O39" s="16" t="s">
        <v>16</v>
      </c>
      <c r="P39" s="16" t="s">
        <v>5</v>
      </c>
      <c r="Q39" s="17">
        <v>250.16341963343999</v>
      </c>
      <c r="R39" s="17">
        <v>219.785738506033</v>
      </c>
      <c r="S39" s="17">
        <v>221.255534446555</v>
      </c>
      <c r="T39" s="17">
        <f>AVERAGE(Table1436281282294306[[#This Row],[Teste 1]:[Teste 3]])</f>
        <v>230.40156419534264</v>
      </c>
    </row>
    <row r="40" spans="1:20" x14ac:dyDescent="0.25">
      <c r="A40" s="16" t="s">
        <v>16</v>
      </c>
      <c r="B40" s="16" t="s">
        <v>6</v>
      </c>
      <c r="C40" s="17">
        <v>104</v>
      </c>
      <c r="D40" s="17">
        <v>72</v>
      </c>
      <c r="E40" s="17">
        <v>71</v>
      </c>
      <c r="F40" s="17">
        <f>AVERAGE(Table1436281282[[#This Row],[Teste 1]:[Teste 3]])</f>
        <v>82.333333333333329</v>
      </c>
      <c r="G40" s="16"/>
      <c r="H40" s="16" t="s">
        <v>16</v>
      </c>
      <c r="I40" s="16" t="s">
        <v>6</v>
      </c>
      <c r="J40" s="17">
        <v>106</v>
      </c>
      <c r="K40" s="17">
        <v>74</v>
      </c>
      <c r="L40" s="17">
        <v>73</v>
      </c>
      <c r="M40" s="17">
        <f>AVERAGE(Table1436281282294[[#This Row],[Teste 1]:[Teste 3]])</f>
        <v>84.333333333333329</v>
      </c>
      <c r="N40" s="16"/>
      <c r="O40" s="16" t="s">
        <v>16</v>
      </c>
      <c r="P40" s="16" t="s">
        <v>6</v>
      </c>
      <c r="Q40" s="17">
        <v>108</v>
      </c>
      <c r="R40" s="17">
        <v>109</v>
      </c>
      <c r="S40" s="17">
        <v>109</v>
      </c>
      <c r="T40" s="17">
        <f>AVERAGE(Table1436281282294306[[#This Row],[Teste 1]:[Teste 3]])</f>
        <v>108.66666666666667</v>
      </c>
    </row>
    <row r="41" spans="1:20" x14ac:dyDescent="0.25">
      <c r="A41" s="16" t="s">
        <v>16</v>
      </c>
      <c r="B41" s="16" t="s">
        <v>7</v>
      </c>
      <c r="C41" s="17">
        <v>101823</v>
      </c>
      <c r="D41" s="17">
        <v>56095</v>
      </c>
      <c r="E41" s="17">
        <v>68799</v>
      </c>
      <c r="F41" s="17">
        <f>AVERAGE(Table1436281282[[#This Row],[Teste 1]:[Teste 3]])</f>
        <v>75572.333333333328</v>
      </c>
      <c r="G41" s="16"/>
      <c r="H41" s="16" t="s">
        <v>16</v>
      </c>
      <c r="I41" s="16" t="s">
        <v>7</v>
      </c>
      <c r="J41" s="17">
        <v>103860</v>
      </c>
      <c r="K41" s="17">
        <v>57217</v>
      </c>
      <c r="L41" s="17">
        <v>70175</v>
      </c>
      <c r="M41" s="17">
        <f>AVERAGE(Table1436281282294[[#This Row],[Teste 1]:[Teste 3]])</f>
        <v>77084</v>
      </c>
      <c r="N41" s="16"/>
      <c r="O41" s="16" t="s">
        <v>16</v>
      </c>
      <c r="P41" s="16" t="s">
        <v>7</v>
      </c>
      <c r="Q41" s="17">
        <v>46815</v>
      </c>
      <c r="R41" s="17">
        <v>31823</v>
      </c>
      <c r="S41" s="17">
        <v>32207</v>
      </c>
      <c r="T41" s="17">
        <f>AVERAGE(Table1436281282294306[[#This Row],[Teste 1]:[Teste 3]])</f>
        <v>36948.333333333336</v>
      </c>
    </row>
    <row r="42" spans="1:20" x14ac:dyDescent="0.25">
      <c r="A42" s="16" t="s">
        <v>16</v>
      </c>
      <c r="B42" s="16" t="s">
        <v>8</v>
      </c>
      <c r="C42" s="17">
        <v>1429</v>
      </c>
      <c r="D42" s="17">
        <v>550</v>
      </c>
      <c r="E42" s="17">
        <v>539</v>
      </c>
      <c r="F42" s="17">
        <f>AVERAGE(Table1436281282[[#This Row],[Teste 1]:[Teste 3]])</f>
        <v>839.33333333333337</v>
      </c>
      <c r="G42" s="16"/>
      <c r="H42" s="16" t="s">
        <v>16</v>
      </c>
      <c r="I42" s="16" t="s">
        <v>8</v>
      </c>
      <c r="J42" s="17">
        <v>1458</v>
      </c>
      <c r="K42" s="17">
        <v>561</v>
      </c>
      <c r="L42" s="17">
        <v>550</v>
      </c>
      <c r="M42" s="17">
        <f>AVERAGE(Table1436281282294[[#This Row],[Teste 1]:[Teste 3]])</f>
        <v>856.33333333333337</v>
      </c>
      <c r="N42" s="16"/>
      <c r="O42" s="16" t="s">
        <v>16</v>
      </c>
      <c r="P42" s="16" t="s">
        <v>8</v>
      </c>
      <c r="Q42" s="17">
        <v>448</v>
      </c>
      <c r="R42" s="17">
        <v>343</v>
      </c>
      <c r="S42" s="17">
        <v>368</v>
      </c>
      <c r="T42" s="17">
        <f>AVERAGE(Table1436281282294306[[#This Row],[Teste 1]:[Teste 3]])</f>
        <v>386.33333333333331</v>
      </c>
    </row>
    <row r="43" spans="1:20" x14ac:dyDescent="0.25">
      <c r="A43" s="16" t="s">
        <v>16</v>
      </c>
      <c r="B43" s="16" t="s">
        <v>9</v>
      </c>
      <c r="C43" s="17">
        <v>4067</v>
      </c>
      <c r="D43" s="17">
        <v>1269</v>
      </c>
      <c r="E43" s="17">
        <v>1357</v>
      </c>
      <c r="F43" s="17">
        <f>AVERAGE(Table1436281282[[#This Row],[Teste 1]:[Teste 3]])</f>
        <v>2231</v>
      </c>
      <c r="G43" s="16"/>
      <c r="H43" s="16" t="s">
        <v>16</v>
      </c>
      <c r="I43" s="16" t="s">
        <v>9</v>
      </c>
      <c r="J43" s="17">
        <v>4148</v>
      </c>
      <c r="K43" s="17">
        <v>1294</v>
      </c>
      <c r="L43" s="17">
        <v>1384</v>
      </c>
      <c r="M43" s="17">
        <f>AVERAGE(Table1436281282294[[#This Row],[Teste 1]:[Teste 3]])</f>
        <v>2275.3333333333335</v>
      </c>
      <c r="N43" s="16"/>
      <c r="O43" s="16" t="s">
        <v>16</v>
      </c>
      <c r="P43" s="16" t="s">
        <v>9</v>
      </c>
      <c r="Q43" s="17">
        <v>901</v>
      </c>
      <c r="R43" s="17">
        <v>655</v>
      </c>
      <c r="S43" s="17">
        <v>768</v>
      </c>
      <c r="T43" s="17">
        <f>AVERAGE(Table1436281282294306[[#This Row],[Teste 1]:[Teste 3]])</f>
        <v>774.66666666666663</v>
      </c>
    </row>
    <row r="44" spans="1:20" x14ac:dyDescent="0.25">
      <c r="A44" s="16" t="s">
        <v>16</v>
      </c>
      <c r="B44" s="16" t="s">
        <v>11</v>
      </c>
      <c r="C44" s="17">
        <v>50088</v>
      </c>
      <c r="D44" s="17">
        <v>50140</v>
      </c>
      <c r="E44" s="17">
        <v>49886</v>
      </c>
      <c r="F44" s="17">
        <f>AVERAGE(Table1436281282[[#This Row],[Teste 1]:[Teste 3]])</f>
        <v>50038</v>
      </c>
      <c r="G44" s="16"/>
      <c r="H44" s="16" t="s">
        <v>16</v>
      </c>
      <c r="I44" s="16" t="s">
        <v>11</v>
      </c>
      <c r="J44" s="17">
        <v>10850</v>
      </c>
      <c r="K44" s="17">
        <v>500000</v>
      </c>
      <c r="L44" s="17">
        <v>49960</v>
      </c>
      <c r="M44" s="17">
        <f>AVERAGE(Table1436281282294[[#This Row],[Teste 1]:[Teste 3]])</f>
        <v>186936.66666666666</v>
      </c>
      <c r="N44" s="16"/>
      <c r="O44" s="16" t="s">
        <v>16</v>
      </c>
      <c r="P44" s="16" t="s">
        <v>11</v>
      </c>
      <c r="Q44" s="17">
        <v>50251</v>
      </c>
      <c r="R44" s="17">
        <v>50135</v>
      </c>
      <c r="S44" s="17">
        <v>50005</v>
      </c>
      <c r="T44" s="17">
        <f>AVERAGE(Table1436281282294306[[#This Row],[Teste 1]:[Teste 3]])</f>
        <v>50130.333333333336</v>
      </c>
    </row>
    <row r="45" spans="1:20" x14ac:dyDescent="0.25">
      <c r="A45" s="16" t="s">
        <v>3</v>
      </c>
      <c r="B45" s="16" t="s">
        <v>4</v>
      </c>
      <c r="C45" s="17">
        <v>3</v>
      </c>
      <c r="D45" s="17">
        <v>3</v>
      </c>
      <c r="E45" s="17">
        <v>3</v>
      </c>
      <c r="F45" s="17">
        <f>AVERAGE(Table1436281282[[#This Row],[Teste 1]:[Teste 3]])</f>
        <v>3</v>
      </c>
      <c r="G45" s="16"/>
      <c r="H45" s="16" t="s">
        <v>3</v>
      </c>
      <c r="I45" s="16" t="s">
        <v>4</v>
      </c>
      <c r="J45" s="17">
        <v>3</v>
      </c>
      <c r="K45" s="17">
        <v>3</v>
      </c>
      <c r="L45" s="17">
        <v>3</v>
      </c>
      <c r="M45" s="17">
        <f>AVERAGE(Table1436281282294[[#This Row],[Teste 1]:[Teste 3]])</f>
        <v>3</v>
      </c>
      <c r="N45" s="16"/>
      <c r="O45" s="16" t="s">
        <v>3</v>
      </c>
      <c r="P45" s="16" t="s">
        <v>4</v>
      </c>
      <c r="Q45" s="17">
        <v>3</v>
      </c>
      <c r="R45" s="17">
        <v>3</v>
      </c>
      <c r="S45" s="17">
        <v>3</v>
      </c>
      <c r="T45" s="17">
        <f>AVERAGE(Table1436281282294306[[#This Row],[Teste 1]:[Teste 3]])</f>
        <v>3</v>
      </c>
    </row>
    <row r="46" spans="1:20" x14ac:dyDescent="0.25">
      <c r="A46" s="16" t="s">
        <v>3</v>
      </c>
      <c r="B46" s="16" t="s">
        <v>5</v>
      </c>
      <c r="C46" s="17">
        <v>5</v>
      </c>
      <c r="D46" s="17">
        <v>3</v>
      </c>
      <c r="E46" s="17">
        <v>4.3333333333333304</v>
      </c>
      <c r="F46" s="17">
        <f>AVERAGE(Table1436281282[[#This Row],[Teste 1]:[Teste 3]])</f>
        <v>4.1111111111111098</v>
      </c>
      <c r="G46" s="16"/>
      <c r="H46" s="16" t="s">
        <v>3</v>
      </c>
      <c r="I46" s="16" t="s">
        <v>5</v>
      </c>
      <c r="J46" s="17">
        <v>4</v>
      </c>
      <c r="K46" s="17">
        <v>4</v>
      </c>
      <c r="L46" s="17">
        <v>4</v>
      </c>
      <c r="M46" s="17">
        <f>AVERAGE(Table1436281282294[[#This Row],[Teste 1]:[Teste 3]])</f>
        <v>4</v>
      </c>
      <c r="N46" s="16"/>
      <c r="O46" s="16" t="s">
        <v>3</v>
      </c>
      <c r="P46" s="16" t="s">
        <v>5</v>
      </c>
      <c r="Q46" s="17">
        <v>421.666666666666</v>
      </c>
      <c r="R46" s="17">
        <v>440.33333333333297</v>
      </c>
      <c r="S46" s="17">
        <v>390</v>
      </c>
      <c r="T46" s="17">
        <f>AVERAGE(Table1436281282294306[[#This Row],[Teste 1]:[Teste 3]])</f>
        <v>417.33333333333303</v>
      </c>
    </row>
    <row r="47" spans="1:20" x14ac:dyDescent="0.25">
      <c r="A47" s="16" t="s">
        <v>3</v>
      </c>
      <c r="B47" s="16" t="s">
        <v>6</v>
      </c>
      <c r="C47" s="17">
        <v>0</v>
      </c>
      <c r="D47" s="17">
        <v>1</v>
      </c>
      <c r="E47" s="17">
        <v>1</v>
      </c>
      <c r="F47" s="17">
        <f>AVERAGE(Table1436281282[[#This Row],[Teste 1]:[Teste 3]])</f>
        <v>0.66666666666666663</v>
      </c>
      <c r="G47" s="16"/>
      <c r="H47" s="16" t="s">
        <v>3</v>
      </c>
      <c r="I47" s="16" t="s">
        <v>6</v>
      </c>
      <c r="J47" s="17">
        <v>0</v>
      </c>
      <c r="K47" s="17">
        <v>0</v>
      </c>
      <c r="L47" s="17">
        <v>0</v>
      </c>
      <c r="M47" s="17">
        <f>AVERAGE(Table1436281282294[[#This Row],[Teste 1]:[Teste 3]])</f>
        <v>0</v>
      </c>
      <c r="N47" s="16"/>
      <c r="O47" s="16" t="s">
        <v>3</v>
      </c>
      <c r="P47" s="16" t="s">
        <v>6</v>
      </c>
      <c r="Q47" s="17">
        <v>2</v>
      </c>
      <c r="R47" s="17">
        <v>2</v>
      </c>
      <c r="S47" s="17">
        <v>1</v>
      </c>
      <c r="T47" s="17">
        <f>AVERAGE(Table1436281282294306[[#This Row],[Teste 1]:[Teste 3]])</f>
        <v>1.6666666666666667</v>
      </c>
    </row>
    <row r="48" spans="1:20" x14ac:dyDescent="0.25">
      <c r="A48" s="16" t="s">
        <v>3</v>
      </c>
      <c r="B48" s="16" t="s">
        <v>7</v>
      </c>
      <c r="C48" s="17">
        <v>15</v>
      </c>
      <c r="D48" s="17">
        <v>7</v>
      </c>
      <c r="E48" s="17">
        <v>11</v>
      </c>
      <c r="F48" s="17">
        <f>AVERAGE(Table1436281282[[#This Row],[Teste 1]:[Teste 3]])</f>
        <v>11</v>
      </c>
      <c r="G48" s="16"/>
      <c r="H48" s="16" t="s">
        <v>3</v>
      </c>
      <c r="I48" s="16" t="s">
        <v>7</v>
      </c>
      <c r="J48" s="17">
        <v>11</v>
      </c>
      <c r="K48" s="17">
        <v>14</v>
      </c>
      <c r="L48" s="17">
        <v>6</v>
      </c>
      <c r="M48" s="17">
        <f>AVERAGE(Table1436281282294[[#This Row],[Teste 1]:[Teste 3]])</f>
        <v>10.333333333333334</v>
      </c>
      <c r="N48" s="16"/>
      <c r="O48" s="16" t="s">
        <v>3</v>
      </c>
      <c r="P48" s="16" t="s">
        <v>7</v>
      </c>
      <c r="Q48" s="17">
        <v>1252</v>
      </c>
      <c r="R48" s="17">
        <v>1306</v>
      </c>
      <c r="S48" s="17">
        <v>1159</v>
      </c>
      <c r="T48" s="17">
        <f>AVERAGE(Table1436281282294306[[#This Row],[Teste 1]:[Teste 3]])</f>
        <v>1239</v>
      </c>
    </row>
    <row r="49" spans="1:20" x14ac:dyDescent="0.25">
      <c r="A49" s="16" t="s">
        <v>3</v>
      </c>
      <c r="B49" s="16" t="s">
        <v>8</v>
      </c>
      <c r="C49" s="17">
        <v>15</v>
      </c>
      <c r="D49" s="17">
        <v>7</v>
      </c>
      <c r="E49" s="17">
        <v>11</v>
      </c>
      <c r="F49" s="17">
        <f>AVERAGE(Table1436281282[[#This Row],[Teste 1]:[Teste 3]])</f>
        <v>11</v>
      </c>
      <c r="G49" s="16"/>
      <c r="H49" s="16" t="s">
        <v>3</v>
      </c>
      <c r="I49" s="16" t="s">
        <v>8</v>
      </c>
      <c r="J49" s="17">
        <v>11</v>
      </c>
      <c r="K49" s="17">
        <v>14</v>
      </c>
      <c r="L49" s="17">
        <v>6</v>
      </c>
      <c r="M49" s="17">
        <f>AVERAGE(Table1436281282294[[#This Row],[Teste 1]:[Teste 3]])</f>
        <v>10.333333333333334</v>
      </c>
      <c r="N49" s="16"/>
      <c r="O49" s="16" t="s">
        <v>3</v>
      </c>
      <c r="P49" s="16" t="s">
        <v>8</v>
      </c>
      <c r="Q49" s="17">
        <v>1252</v>
      </c>
      <c r="R49" s="17">
        <v>1306</v>
      </c>
      <c r="S49" s="17">
        <v>1159</v>
      </c>
      <c r="T49" s="17">
        <f>AVERAGE(Table1436281282294306[[#This Row],[Teste 1]:[Teste 3]])</f>
        <v>1239</v>
      </c>
    </row>
    <row r="50" spans="1:20" x14ac:dyDescent="0.25">
      <c r="A50" s="16" t="s">
        <v>3</v>
      </c>
      <c r="B50" s="16" t="s">
        <v>9</v>
      </c>
      <c r="C50" s="17">
        <v>15</v>
      </c>
      <c r="D50" s="17">
        <v>7</v>
      </c>
      <c r="E50" s="17">
        <v>11</v>
      </c>
      <c r="F50" s="17">
        <f>AVERAGE(Table1436281282[[#This Row],[Teste 1]:[Teste 3]])</f>
        <v>11</v>
      </c>
      <c r="G50" s="16"/>
      <c r="H50" s="16" t="s">
        <v>3</v>
      </c>
      <c r="I50" s="16" t="s">
        <v>9</v>
      </c>
      <c r="J50" s="17">
        <v>11</v>
      </c>
      <c r="K50" s="17">
        <v>14</v>
      </c>
      <c r="L50" s="17">
        <v>6</v>
      </c>
      <c r="M50" s="17">
        <f>AVERAGE(Table1436281282294[[#This Row],[Teste 1]:[Teste 3]])</f>
        <v>10.333333333333334</v>
      </c>
      <c r="N50" s="16"/>
      <c r="O50" s="16" t="s">
        <v>3</v>
      </c>
      <c r="P50" s="16" t="s">
        <v>9</v>
      </c>
      <c r="Q50" s="17">
        <v>1252</v>
      </c>
      <c r="R50" s="17">
        <v>1306</v>
      </c>
      <c r="S50" s="17">
        <v>1159</v>
      </c>
      <c r="T50" s="17">
        <f>AVERAGE(Table1436281282294306[[#This Row],[Teste 1]:[Teste 3]])</f>
        <v>1239</v>
      </c>
    </row>
    <row r="51" spans="1:20" x14ac:dyDescent="0.25">
      <c r="A51" s="16" t="s">
        <v>17</v>
      </c>
      <c r="B51" s="16" t="s">
        <v>4</v>
      </c>
      <c r="C51" s="17">
        <v>49912</v>
      </c>
      <c r="D51" s="17">
        <v>49860</v>
      </c>
      <c r="E51" s="17">
        <v>50114</v>
      </c>
      <c r="F51" s="17">
        <f>AVERAGE(Table1436281282[[#This Row],[Teste 1]:[Teste 3]])</f>
        <v>49962</v>
      </c>
      <c r="G51" s="16"/>
      <c r="H51" s="16" t="s">
        <v>17</v>
      </c>
      <c r="I51" s="16" t="s">
        <v>4</v>
      </c>
      <c r="J51" s="17">
        <v>49912</v>
      </c>
      <c r="K51" s="17">
        <v>500000</v>
      </c>
      <c r="L51" s="17">
        <v>50040</v>
      </c>
      <c r="M51" s="17">
        <f>AVERAGE(Table1436281282294[[#This Row],[Teste 1]:[Teste 3]])</f>
        <v>199984</v>
      </c>
      <c r="N51" s="16"/>
      <c r="O51" s="16" t="s">
        <v>17</v>
      </c>
      <c r="P51" s="16" t="s">
        <v>4</v>
      </c>
      <c r="Q51" s="17">
        <v>49749</v>
      </c>
      <c r="R51" s="17">
        <v>49865</v>
      </c>
      <c r="S51" s="17">
        <v>49995</v>
      </c>
      <c r="T51" s="17">
        <f>AVERAGE(Table1436281282294306[[#This Row],[Teste 1]:[Teste 3]])</f>
        <v>49869.666666666664</v>
      </c>
    </row>
    <row r="52" spans="1:20" x14ac:dyDescent="0.25">
      <c r="A52" s="16" t="s">
        <v>17</v>
      </c>
      <c r="B52" s="16" t="s">
        <v>5</v>
      </c>
      <c r="C52" s="17">
        <v>717.18107869850905</v>
      </c>
      <c r="D52" s="17">
        <v>283.65417168070599</v>
      </c>
      <c r="E52" s="17">
        <v>281.36430937462501</v>
      </c>
      <c r="F52" s="17">
        <f>AVERAGE(Table1436281282[[#This Row],[Teste 1]:[Teste 3]])</f>
        <v>427.39985325128004</v>
      </c>
      <c r="G52" s="16"/>
      <c r="H52" s="16" t="s">
        <v>17</v>
      </c>
      <c r="I52" s="16" t="s">
        <v>5</v>
      </c>
      <c r="J52" s="17">
        <v>731.53</v>
      </c>
      <c r="K52" s="17">
        <v>289.33</v>
      </c>
      <c r="L52" s="17">
        <v>286.99</v>
      </c>
      <c r="M52" s="17">
        <f>AVERAGE(Table1436281282294[[#This Row],[Teste 1]:[Teste 3]])</f>
        <v>435.95</v>
      </c>
      <c r="N52" s="16"/>
      <c r="O52" s="16" t="s">
        <v>17</v>
      </c>
      <c r="P52" s="16" t="s">
        <v>5</v>
      </c>
      <c r="Q52" s="17">
        <v>379.11791191782697</v>
      </c>
      <c r="R52" s="17">
        <v>338.59550787125198</v>
      </c>
      <c r="S52" s="17">
        <v>335.60316031603099</v>
      </c>
      <c r="T52" s="17">
        <f>AVERAGE(Table1436281282294306[[#This Row],[Teste 1]:[Teste 3]])</f>
        <v>351.10552670170335</v>
      </c>
    </row>
    <row r="53" spans="1:20" x14ac:dyDescent="0.25">
      <c r="A53" s="16" t="s">
        <v>17</v>
      </c>
      <c r="B53" s="16" t="s">
        <v>6</v>
      </c>
      <c r="C53" s="17">
        <v>147</v>
      </c>
      <c r="D53" s="17">
        <v>98</v>
      </c>
      <c r="E53" s="17">
        <v>93</v>
      </c>
      <c r="F53" s="17">
        <f>AVERAGE(Table1436281282[[#This Row],[Teste 1]:[Teste 3]])</f>
        <v>112.66666666666667</v>
      </c>
      <c r="G53" s="16"/>
      <c r="H53" s="16" t="s">
        <v>17</v>
      </c>
      <c r="I53" s="16" t="s">
        <v>6</v>
      </c>
      <c r="J53" s="17">
        <v>150</v>
      </c>
      <c r="K53" s="17">
        <v>100</v>
      </c>
      <c r="L53" s="17">
        <v>95</v>
      </c>
      <c r="M53" s="17">
        <f>AVERAGE(Table1436281282294[[#This Row],[Teste 1]:[Teste 3]])</f>
        <v>115</v>
      </c>
      <c r="N53" s="16"/>
      <c r="O53" s="16" t="s">
        <v>17</v>
      </c>
      <c r="P53" s="16" t="s">
        <v>6</v>
      </c>
      <c r="Q53" s="17">
        <v>176</v>
      </c>
      <c r="R53" s="17">
        <v>176</v>
      </c>
      <c r="S53" s="17">
        <v>176</v>
      </c>
      <c r="T53" s="17">
        <f>AVERAGE(Table1436281282294306[[#This Row],[Teste 1]:[Teste 3]])</f>
        <v>176</v>
      </c>
    </row>
    <row r="54" spans="1:20" x14ac:dyDescent="0.25">
      <c r="A54" s="16" t="s">
        <v>17</v>
      </c>
      <c r="B54" s="16" t="s">
        <v>7</v>
      </c>
      <c r="C54" s="17">
        <v>221823</v>
      </c>
      <c r="D54" s="17">
        <v>142591</v>
      </c>
      <c r="E54" s="17">
        <v>40703</v>
      </c>
      <c r="F54" s="17">
        <f>AVERAGE(Table1436281282[[#This Row],[Teste 1]:[Teste 3]])</f>
        <v>135039</v>
      </c>
      <c r="G54" s="16"/>
      <c r="H54" s="16" t="s">
        <v>17</v>
      </c>
      <c r="I54" s="16" t="s">
        <v>7</v>
      </c>
      <c r="J54" s="17">
        <v>226260</v>
      </c>
      <c r="K54" s="17">
        <v>145443</v>
      </c>
      <c r="L54" s="17">
        <v>141517</v>
      </c>
      <c r="M54" s="17">
        <f>AVERAGE(Table1436281282294[[#This Row],[Teste 1]:[Teste 3]])</f>
        <v>171073.33333333334</v>
      </c>
      <c r="N54" s="16"/>
      <c r="O54" s="16" t="s">
        <v>17</v>
      </c>
      <c r="P54" s="16" t="s">
        <v>7</v>
      </c>
      <c r="Q54" s="17">
        <v>51583</v>
      </c>
      <c r="R54" s="17">
        <v>33279</v>
      </c>
      <c r="S54" s="17">
        <v>30191</v>
      </c>
      <c r="T54" s="17">
        <f>AVERAGE(Table1436281282294306[[#This Row],[Teste 1]:[Teste 3]])</f>
        <v>38351</v>
      </c>
    </row>
    <row r="55" spans="1:20" x14ac:dyDescent="0.25">
      <c r="A55" s="16" t="s">
        <v>17</v>
      </c>
      <c r="B55" s="16" t="s">
        <v>8</v>
      </c>
      <c r="C55" s="17">
        <v>1559</v>
      </c>
      <c r="D55" s="17">
        <v>587</v>
      </c>
      <c r="E55" s="17">
        <v>587</v>
      </c>
      <c r="F55" s="17">
        <f>AVERAGE(Table1436281282[[#This Row],[Teste 1]:[Teste 3]])</f>
        <v>911</v>
      </c>
      <c r="G55" s="16"/>
      <c r="H55" s="16" t="s">
        <v>17</v>
      </c>
      <c r="I55" s="16" t="s">
        <v>8</v>
      </c>
      <c r="J55" s="17">
        <v>1590</v>
      </c>
      <c r="K55" s="17">
        <v>599</v>
      </c>
      <c r="L55" s="17">
        <v>599</v>
      </c>
      <c r="M55" s="17">
        <f>AVERAGE(Table1436281282294[[#This Row],[Teste 1]:[Teste 3]])</f>
        <v>929.33333333333337</v>
      </c>
      <c r="N55" s="16"/>
      <c r="O55" s="16" t="s">
        <v>17</v>
      </c>
      <c r="P55" s="16" t="s">
        <v>8</v>
      </c>
      <c r="Q55" s="17">
        <v>634</v>
      </c>
      <c r="R55" s="17">
        <v>518</v>
      </c>
      <c r="S55" s="17">
        <v>547</v>
      </c>
      <c r="T55" s="17">
        <f>AVERAGE(Table1436281282294306[[#This Row],[Teste 1]:[Teste 3]])</f>
        <v>566.33333333333337</v>
      </c>
    </row>
    <row r="56" spans="1:20" x14ac:dyDescent="0.25">
      <c r="A56" s="16" t="s">
        <v>17</v>
      </c>
      <c r="B56" s="16" t="s">
        <v>9</v>
      </c>
      <c r="C56" s="17">
        <v>4419</v>
      </c>
      <c r="D56" s="17">
        <v>1305</v>
      </c>
      <c r="E56" s="17">
        <v>1455</v>
      </c>
      <c r="F56" s="17">
        <f>AVERAGE(Table1436281282[[#This Row],[Teste 1]:[Teste 3]])</f>
        <v>2393</v>
      </c>
      <c r="G56" s="16"/>
      <c r="H56" s="16" t="s">
        <v>17</v>
      </c>
      <c r="I56" s="16" t="s">
        <v>9</v>
      </c>
      <c r="J56" s="17">
        <v>4507</v>
      </c>
      <c r="K56" s="17">
        <v>1331</v>
      </c>
      <c r="L56" s="17">
        <v>1484</v>
      </c>
      <c r="M56" s="17">
        <f>AVERAGE(Table1436281282294[[#This Row],[Teste 1]:[Teste 3]])</f>
        <v>2440.6666666666665</v>
      </c>
      <c r="N56" s="16"/>
      <c r="O56" s="16" t="s">
        <v>17</v>
      </c>
      <c r="P56" s="16" t="s">
        <v>9</v>
      </c>
      <c r="Q56" s="17">
        <v>1088</v>
      </c>
      <c r="R56" s="17">
        <v>803</v>
      </c>
      <c r="S56" s="17">
        <v>877</v>
      </c>
      <c r="T56" s="17">
        <f>AVERAGE(Table1436281282294306[[#This Row],[Teste 1]:[Teste 3]])</f>
        <v>922.66666666666663</v>
      </c>
    </row>
    <row r="57" spans="1:20" x14ac:dyDescent="0.25">
      <c r="A57" s="16" t="s">
        <v>17</v>
      </c>
      <c r="B57" s="16" t="s">
        <v>11</v>
      </c>
      <c r="C57" s="17">
        <v>49912</v>
      </c>
      <c r="D57" s="17">
        <v>49860</v>
      </c>
      <c r="E57" s="17">
        <v>50114</v>
      </c>
      <c r="F57" s="17">
        <f>AVERAGE(Table1436281282[[#This Row],[Teste 1]:[Teste 3]])</f>
        <v>49962</v>
      </c>
      <c r="G57" s="16"/>
      <c r="H57" s="16" t="s">
        <v>17</v>
      </c>
      <c r="I57" s="16" t="s">
        <v>11</v>
      </c>
      <c r="J57" s="17">
        <v>49912</v>
      </c>
      <c r="K57" s="17">
        <v>500000</v>
      </c>
      <c r="L57" s="17">
        <v>50040</v>
      </c>
      <c r="M57" s="17">
        <f>AVERAGE(Table1436281282294[[#This Row],[Teste 1]:[Teste 3]])</f>
        <v>199984</v>
      </c>
      <c r="N57" s="16"/>
      <c r="O57" s="16" t="s">
        <v>17</v>
      </c>
      <c r="P57" s="16" t="s">
        <v>11</v>
      </c>
      <c r="Q57" s="17">
        <v>49749</v>
      </c>
      <c r="R57" s="17">
        <v>49865</v>
      </c>
      <c r="S57" s="17">
        <v>49995</v>
      </c>
      <c r="T57" s="17">
        <f>AVERAGE(Table1436281282294306[[#This Row],[Teste 1]:[Teste 3]])</f>
        <v>49869.666666666664</v>
      </c>
    </row>
    <row r="58" spans="1:20" x14ac:dyDescent="0.25">
      <c r="A58" s="16"/>
      <c r="B58" s="16"/>
      <c r="C58" s="17"/>
      <c r="D58" s="17"/>
      <c r="E58" s="17"/>
      <c r="F58" s="17"/>
      <c r="G58" s="16"/>
      <c r="H58" s="16"/>
      <c r="I58" s="16"/>
      <c r="J58" s="17"/>
      <c r="K58" s="17"/>
      <c r="L58" s="17"/>
      <c r="M58" s="17"/>
      <c r="N58" s="16"/>
      <c r="O58" s="16"/>
      <c r="P58" s="16"/>
      <c r="Q58" s="17"/>
      <c r="R58" s="17"/>
      <c r="S58" s="17"/>
      <c r="T58" s="17"/>
    </row>
    <row r="59" spans="1:20" x14ac:dyDescent="0.25">
      <c r="A59" s="16"/>
      <c r="B59" s="16"/>
      <c r="C59" s="17"/>
      <c r="D59" s="17"/>
      <c r="E59" s="17"/>
      <c r="F59" s="17"/>
      <c r="G59" s="16"/>
      <c r="H59" s="16"/>
      <c r="I59" s="16"/>
      <c r="J59" s="17"/>
      <c r="K59" s="17"/>
      <c r="L59" s="17"/>
      <c r="M59" s="17"/>
      <c r="N59" s="16"/>
      <c r="O59" s="16"/>
      <c r="P59" s="16"/>
      <c r="Q59" s="17"/>
      <c r="R59" s="17"/>
      <c r="S59" s="17"/>
      <c r="T59" s="17"/>
    </row>
    <row r="60" spans="1:20" ht="14.25" customHeight="1" x14ac:dyDescent="0.25">
      <c r="A60" s="16"/>
      <c r="B60" s="16"/>
      <c r="C60" s="17"/>
      <c r="D60" s="17"/>
      <c r="E60" s="17"/>
      <c r="F60" s="17"/>
      <c r="G60" s="16"/>
      <c r="H60" s="16"/>
      <c r="I60" s="16"/>
      <c r="J60" s="17"/>
      <c r="K60" s="17"/>
      <c r="L60" s="17"/>
      <c r="M60" s="17"/>
      <c r="N60" s="16"/>
      <c r="O60" s="16"/>
      <c r="P60" s="16"/>
      <c r="Q60" s="17"/>
      <c r="R60" s="17"/>
      <c r="S60" s="17"/>
      <c r="T60" s="17"/>
    </row>
    <row r="61" spans="1:20" ht="14.45" customHeight="1" x14ac:dyDescent="0.25"/>
    <row r="62" spans="1:20" ht="15.75" x14ac:dyDescent="0.25">
      <c r="A62" s="2" t="s">
        <v>73</v>
      </c>
      <c r="H62" s="2" t="s">
        <v>73</v>
      </c>
      <c r="O62" s="2" t="s">
        <v>73</v>
      </c>
    </row>
    <row r="63" spans="1:20" x14ac:dyDescent="0.25">
      <c r="A63" s="16" t="s">
        <v>59</v>
      </c>
      <c r="B63" s="16" t="s">
        <v>58</v>
      </c>
      <c r="C63" s="16" t="s">
        <v>82</v>
      </c>
      <c r="D63" s="16" t="s">
        <v>64</v>
      </c>
      <c r="E63" s="16" t="s">
        <v>63</v>
      </c>
      <c r="F63" s="16" t="s">
        <v>18</v>
      </c>
      <c r="G63" s="16"/>
      <c r="H63" s="16" t="s">
        <v>12</v>
      </c>
      <c r="I63" s="16" t="s">
        <v>58</v>
      </c>
      <c r="J63" s="16" t="s">
        <v>82</v>
      </c>
      <c r="K63" s="16" t="s">
        <v>64</v>
      </c>
      <c r="L63" s="16" t="s">
        <v>63</v>
      </c>
      <c r="M63" s="16" t="s">
        <v>18</v>
      </c>
      <c r="N63" s="16"/>
      <c r="O63" s="16" t="s">
        <v>13</v>
      </c>
      <c r="P63" s="16" t="s">
        <v>58</v>
      </c>
      <c r="Q63" s="16" t="s">
        <v>82</v>
      </c>
      <c r="R63" s="16" t="s">
        <v>64</v>
      </c>
      <c r="S63" s="16" t="s">
        <v>63</v>
      </c>
      <c r="T63" s="16" t="s">
        <v>18</v>
      </c>
    </row>
    <row r="64" spans="1:20" x14ac:dyDescent="0.25">
      <c r="A64" s="16" t="s">
        <v>0</v>
      </c>
      <c r="B64" s="16" t="s">
        <v>1</v>
      </c>
      <c r="C64" s="17">
        <v>7966</v>
      </c>
      <c r="D64" s="17">
        <v>8753</v>
      </c>
      <c r="E64" s="17">
        <v>8657</v>
      </c>
      <c r="F64" s="17">
        <f>AVERAGE(Table1436281283[[#This Row],[Teste 1]:[Teste 3]])</f>
        <v>8458.6666666666661</v>
      </c>
      <c r="G64" s="16"/>
      <c r="H64" s="16" t="s">
        <v>0</v>
      </c>
      <c r="I64" s="16" t="s">
        <v>1</v>
      </c>
      <c r="J64" s="17">
        <v>9957</v>
      </c>
      <c r="K64" s="17">
        <v>10190</v>
      </c>
      <c r="L64" s="17">
        <v>9917</v>
      </c>
      <c r="M64" s="17">
        <f>AVERAGE(Table1436281283295[[#This Row],[Teste 1]:[Teste 3]])</f>
        <v>10021.333333333334</v>
      </c>
      <c r="N64" s="16"/>
      <c r="O64" s="16" t="s">
        <v>0</v>
      </c>
      <c r="P64" s="16" t="s">
        <v>1</v>
      </c>
      <c r="Q64" s="17">
        <v>7487</v>
      </c>
      <c r="R64" s="17">
        <v>7662</v>
      </c>
      <c r="S64" s="17">
        <v>7440</v>
      </c>
      <c r="T64" s="17">
        <f>AVERAGE(Table1436281283295307[[#This Row],[Teste 1]:[Teste 3]])</f>
        <v>7529.666666666667</v>
      </c>
    </row>
    <row r="65" spans="1:20" ht="15.75" customHeight="1" x14ac:dyDescent="0.25">
      <c r="A65" s="16" t="s">
        <v>0</v>
      </c>
      <c r="B65" s="16" t="s">
        <v>2</v>
      </c>
      <c r="C65" s="17">
        <v>13355.4407120298</v>
      </c>
      <c r="D65" s="17">
        <v>11424.654404204201</v>
      </c>
      <c r="E65" s="17">
        <v>11551.345731777699</v>
      </c>
      <c r="F65" s="17">
        <f>AVERAGE(Table1436281283[[#This Row],[Teste 1]:[Teste 3]])</f>
        <v>12110.480282670565</v>
      </c>
      <c r="G65" s="16"/>
      <c r="H65" s="16" t="s">
        <v>0</v>
      </c>
      <c r="I65" s="16" t="s">
        <v>2</v>
      </c>
      <c r="J65" s="17">
        <v>10042.4696</v>
      </c>
      <c r="K65" s="17">
        <v>9813.0997000000007</v>
      </c>
      <c r="L65" s="17">
        <v>10105.91</v>
      </c>
      <c r="M65" s="17">
        <f>AVERAGE(Table1436281283295[[#This Row],[Teste 1]:[Teste 3]])</f>
        <v>9987.1597666666676</v>
      </c>
      <c r="N65" s="16"/>
      <c r="O65" s="16" t="s">
        <v>0</v>
      </c>
      <c r="P65" s="16" t="s">
        <v>2</v>
      </c>
      <c r="Q65" s="17">
        <v>13356.484573260301</v>
      </c>
      <c r="R65" s="17">
        <v>13051.422605063901</v>
      </c>
      <c r="S65" s="17">
        <v>13440.860215053701</v>
      </c>
      <c r="T65" s="17">
        <f>AVERAGE(Table1436281283295307[[#This Row],[Teste 1]:[Teste 3]])</f>
        <v>13282.9224644593</v>
      </c>
    </row>
    <row r="66" spans="1:20" x14ac:dyDescent="0.25">
      <c r="A66" s="16" t="s">
        <v>16</v>
      </c>
      <c r="B66" s="16" t="s">
        <v>4</v>
      </c>
      <c r="C66" s="17">
        <v>49999</v>
      </c>
      <c r="D66" s="17">
        <v>49981</v>
      </c>
      <c r="E66" s="17">
        <v>49960</v>
      </c>
      <c r="F66" s="17">
        <f>AVERAGE(Table1436281283[[#This Row],[Teste 1]:[Teste 3]])</f>
        <v>49980</v>
      </c>
      <c r="G66" s="16"/>
      <c r="H66" s="16" t="s">
        <v>16</v>
      </c>
      <c r="I66" s="16" t="s">
        <v>4</v>
      </c>
      <c r="J66" s="17">
        <v>50000000</v>
      </c>
      <c r="K66" s="17">
        <v>49980</v>
      </c>
      <c r="L66" s="17">
        <v>49708</v>
      </c>
      <c r="M66" s="17">
        <f>AVERAGE(Table1436281283295[[#This Row],[Teste 1]:[Teste 3]])</f>
        <v>16699896</v>
      </c>
      <c r="N66" s="16"/>
      <c r="O66" s="16" t="s">
        <v>16</v>
      </c>
      <c r="P66" s="16" t="s">
        <v>4</v>
      </c>
      <c r="Q66" s="17">
        <v>49728</v>
      </c>
      <c r="R66" s="17">
        <v>49707</v>
      </c>
      <c r="S66" s="17">
        <v>49958</v>
      </c>
      <c r="T66" s="17">
        <f>AVERAGE(Table1436281283295307[[#This Row],[Teste 1]:[Teste 3]])</f>
        <v>49797.666666666664</v>
      </c>
    </row>
    <row r="67" spans="1:20" x14ac:dyDescent="0.25">
      <c r="A67" s="16" t="s">
        <v>16</v>
      </c>
      <c r="B67" s="16" t="s">
        <v>5</v>
      </c>
      <c r="C67" s="17">
        <v>337.06100122002402</v>
      </c>
      <c r="D67" s="17">
        <v>444.03983513735199</v>
      </c>
      <c r="E67" s="17">
        <v>437.01613290632503</v>
      </c>
      <c r="F67" s="17">
        <f>AVERAGE(Table1436281283[[#This Row],[Teste 1]:[Teste 3]])</f>
        <v>406.03898975456701</v>
      </c>
      <c r="G67" s="16"/>
      <c r="H67" s="16" t="s">
        <v>16</v>
      </c>
      <c r="I67" s="16" t="s">
        <v>5</v>
      </c>
      <c r="J67" s="17">
        <v>431.51</v>
      </c>
      <c r="K67" s="17">
        <v>453.93</v>
      </c>
      <c r="L67" s="17">
        <v>439.3</v>
      </c>
      <c r="M67" s="17">
        <f>AVERAGE(Table1436281283295[[#This Row],[Teste 1]:[Teste 3]])</f>
        <v>441.58</v>
      </c>
      <c r="N67" s="16"/>
      <c r="O67" s="16" t="s">
        <v>16</v>
      </c>
      <c r="P67" s="16" t="s">
        <v>5</v>
      </c>
      <c r="Q67" s="17">
        <v>324.44685086872499</v>
      </c>
      <c r="R67" s="17">
        <v>341.29842879272502</v>
      </c>
      <c r="S67" s="17">
        <v>330.29767004283599</v>
      </c>
      <c r="T67" s="17">
        <f>AVERAGE(Table1436281283295307[[#This Row],[Teste 1]:[Teste 3]])</f>
        <v>332.01431656809535</v>
      </c>
    </row>
    <row r="68" spans="1:20" x14ac:dyDescent="0.25">
      <c r="A68" s="16" t="s">
        <v>16</v>
      </c>
      <c r="B68" s="16" t="s">
        <v>6</v>
      </c>
      <c r="C68" s="17">
        <v>76</v>
      </c>
      <c r="D68" s="17">
        <v>89</v>
      </c>
      <c r="E68" s="17">
        <v>78</v>
      </c>
      <c r="F68" s="17">
        <f>AVERAGE(Table1436281283[[#This Row],[Teste 1]:[Teste 3]])</f>
        <v>81</v>
      </c>
      <c r="G68" s="16"/>
      <c r="H68" s="16" t="s">
        <v>16</v>
      </c>
      <c r="I68" s="16" t="s">
        <v>6</v>
      </c>
      <c r="J68" s="17">
        <v>116</v>
      </c>
      <c r="K68" s="17">
        <v>136</v>
      </c>
      <c r="L68" s="17">
        <v>134</v>
      </c>
      <c r="M68" s="17">
        <f>AVERAGE(Table1436281283295[[#This Row],[Teste 1]:[Teste 3]])</f>
        <v>128.66666666666666</v>
      </c>
      <c r="N68" s="16"/>
      <c r="O68" s="16" t="s">
        <v>16</v>
      </c>
      <c r="P68" s="16" t="s">
        <v>6</v>
      </c>
      <c r="Q68" s="17">
        <v>87</v>
      </c>
      <c r="R68" s="17">
        <v>102</v>
      </c>
      <c r="S68" s="17">
        <v>101</v>
      </c>
      <c r="T68" s="17">
        <f>AVERAGE(Table1436281283295307[[#This Row],[Teste 1]:[Teste 3]])</f>
        <v>96.666666666666671</v>
      </c>
    </row>
    <row r="69" spans="1:20" x14ac:dyDescent="0.25">
      <c r="A69" s="16" t="s">
        <v>16</v>
      </c>
      <c r="B69" s="16" t="s">
        <v>7</v>
      </c>
      <c r="C69" s="17">
        <v>283903</v>
      </c>
      <c r="D69" s="17">
        <v>167039</v>
      </c>
      <c r="E69" s="17">
        <v>139775</v>
      </c>
      <c r="F69" s="17">
        <f>AVERAGE(Table1436281283[[#This Row],[Teste 1]:[Teste 3]])</f>
        <v>196905.66666666666</v>
      </c>
      <c r="G69" s="16"/>
      <c r="H69" s="16" t="s">
        <v>16</v>
      </c>
      <c r="I69" s="16" t="s">
        <v>7</v>
      </c>
      <c r="J69" s="17">
        <v>141468</v>
      </c>
      <c r="K69" s="17">
        <v>129807</v>
      </c>
      <c r="L69" s="17">
        <v>95928</v>
      </c>
      <c r="M69" s="17">
        <f>AVERAGE(Table1436281283295[[#This Row],[Teste 1]:[Teste 3]])</f>
        <v>122401</v>
      </c>
      <c r="N69" s="16"/>
      <c r="O69" s="16" t="s">
        <v>16</v>
      </c>
      <c r="P69" s="16" t="s">
        <v>7</v>
      </c>
      <c r="Q69" s="17">
        <v>106367</v>
      </c>
      <c r="R69" s="17">
        <v>97599</v>
      </c>
      <c r="S69" s="17">
        <v>72127</v>
      </c>
      <c r="T69" s="17">
        <f>AVERAGE(Table1436281283295307[[#This Row],[Teste 1]:[Teste 3]])</f>
        <v>92031</v>
      </c>
    </row>
    <row r="70" spans="1:20" x14ac:dyDescent="0.25">
      <c r="A70" s="16" t="s">
        <v>16</v>
      </c>
      <c r="B70" s="16" t="s">
        <v>8</v>
      </c>
      <c r="C70" s="17">
        <v>823</v>
      </c>
      <c r="D70" s="17">
        <v>845</v>
      </c>
      <c r="E70" s="17">
        <v>822</v>
      </c>
      <c r="F70" s="17">
        <f>AVERAGE(Table1436281283[[#This Row],[Teste 1]:[Teste 3]])</f>
        <v>830</v>
      </c>
      <c r="G70" s="16"/>
      <c r="H70" s="16" t="s">
        <v>16</v>
      </c>
      <c r="I70" s="16" t="s">
        <v>8</v>
      </c>
      <c r="J70" s="17">
        <v>920</v>
      </c>
      <c r="K70" s="17">
        <v>963</v>
      </c>
      <c r="L70" s="17">
        <v>858</v>
      </c>
      <c r="M70" s="17">
        <f>AVERAGE(Table1436281283295[[#This Row],[Teste 1]:[Teste 3]])</f>
        <v>913.66666666666663</v>
      </c>
      <c r="N70" s="16"/>
      <c r="O70" s="16" t="s">
        <v>16</v>
      </c>
      <c r="P70" s="16" t="s">
        <v>8</v>
      </c>
      <c r="Q70" s="17">
        <v>692</v>
      </c>
      <c r="R70" s="17">
        <v>724</v>
      </c>
      <c r="S70" s="17">
        <v>645</v>
      </c>
      <c r="T70" s="17">
        <f>AVERAGE(Table1436281283295307[[#This Row],[Teste 1]:[Teste 3]])</f>
        <v>687</v>
      </c>
    </row>
    <row r="71" spans="1:20" x14ac:dyDescent="0.25">
      <c r="A71" s="16" t="s">
        <v>16</v>
      </c>
      <c r="B71" s="16" t="s">
        <v>9</v>
      </c>
      <c r="C71" s="17">
        <v>1950</v>
      </c>
      <c r="D71" s="17">
        <v>1622</v>
      </c>
      <c r="E71" s="17">
        <v>1549</v>
      </c>
      <c r="F71" s="17">
        <f>AVERAGE(Table1436281283[[#This Row],[Teste 1]:[Teste 3]])</f>
        <v>1707</v>
      </c>
      <c r="G71" s="16"/>
      <c r="H71" s="16" t="s">
        <v>16</v>
      </c>
      <c r="I71" s="16" t="s">
        <v>9</v>
      </c>
      <c r="J71" s="17">
        <v>1640</v>
      </c>
      <c r="K71" s="17">
        <v>2121</v>
      </c>
      <c r="L71" s="17">
        <v>1748</v>
      </c>
      <c r="M71" s="17">
        <f>AVERAGE(Table1436281283295[[#This Row],[Teste 1]:[Teste 3]])</f>
        <v>1836.3333333333333</v>
      </c>
      <c r="N71" s="16"/>
      <c r="O71" s="16" t="s">
        <v>16</v>
      </c>
      <c r="P71" s="16" t="s">
        <v>9</v>
      </c>
      <c r="Q71" s="17">
        <v>1233</v>
      </c>
      <c r="R71" s="17">
        <v>1595</v>
      </c>
      <c r="S71" s="17">
        <v>1314</v>
      </c>
      <c r="T71" s="17">
        <f>AVERAGE(Table1436281283295307[[#This Row],[Teste 1]:[Teste 3]])</f>
        <v>1380.6666666666667</v>
      </c>
    </row>
    <row r="72" spans="1:20" x14ac:dyDescent="0.25">
      <c r="A72" s="16" t="s">
        <v>16</v>
      </c>
      <c r="B72" s="16" t="s">
        <v>11</v>
      </c>
      <c r="C72" s="17">
        <v>49999</v>
      </c>
      <c r="D72" s="17">
        <v>49981</v>
      </c>
      <c r="E72" s="17">
        <v>49960</v>
      </c>
      <c r="F72" s="17">
        <f>AVERAGE(Table1436281283[[#This Row],[Teste 1]:[Teste 3]])</f>
        <v>49980</v>
      </c>
      <c r="G72" s="16"/>
      <c r="H72" s="16" t="s">
        <v>16</v>
      </c>
      <c r="I72" s="16" t="s">
        <v>11</v>
      </c>
      <c r="J72" s="17">
        <v>50000000</v>
      </c>
      <c r="K72" s="17">
        <v>49980</v>
      </c>
      <c r="L72" s="17">
        <v>49708</v>
      </c>
      <c r="M72" s="17">
        <f>AVERAGE(Table1436281283295[[#This Row],[Teste 1]:[Teste 3]])</f>
        <v>16699896</v>
      </c>
      <c r="N72" s="16"/>
      <c r="O72" s="16" t="s">
        <v>16</v>
      </c>
      <c r="P72" s="16" t="s">
        <v>11</v>
      </c>
      <c r="Q72" s="17">
        <v>49728</v>
      </c>
      <c r="R72" s="17">
        <v>49707</v>
      </c>
      <c r="S72" s="17">
        <v>49958</v>
      </c>
      <c r="T72" s="17">
        <f>AVERAGE(Table1436281283295307[[#This Row],[Teste 1]:[Teste 3]])</f>
        <v>49797.666666666664</v>
      </c>
    </row>
    <row r="73" spans="1:20" x14ac:dyDescent="0.25">
      <c r="A73" s="16" t="s">
        <v>3</v>
      </c>
      <c r="B73" s="16" t="s">
        <v>4</v>
      </c>
      <c r="C73" s="17">
        <v>6</v>
      </c>
      <c r="D73" s="17">
        <v>6</v>
      </c>
      <c r="E73" s="17">
        <v>6</v>
      </c>
      <c r="F73" s="17">
        <f>AVERAGE(Table1436281283[[#This Row],[Teste 1]:[Teste 3]])</f>
        <v>6</v>
      </c>
      <c r="G73" s="16"/>
      <c r="H73" s="16" t="s">
        <v>3</v>
      </c>
      <c r="I73" s="16" t="s">
        <v>4</v>
      </c>
      <c r="J73" s="17">
        <v>6</v>
      </c>
      <c r="K73" s="17">
        <v>6</v>
      </c>
      <c r="L73" s="17">
        <v>6</v>
      </c>
      <c r="M73" s="17">
        <f>AVERAGE(Table1436281283295[[#This Row],[Teste 1]:[Teste 3]])</f>
        <v>6</v>
      </c>
      <c r="N73" s="16"/>
      <c r="O73" s="16" t="s">
        <v>3</v>
      </c>
      <c r="P73" s="16" t="s">
        <v>4</v>
      </c>
      <c r="Q73" s="17">
        <v>6</v>
      </c>
      <c r="R73" s="17">
        <v>6</v>
      </c>
      <c r="S73" s="17">
        <v>6</v>
      </c>
      <c r="T73" s="17">
        <f>AVERAGE(Table1436281283295307[[#This Row],[Teste 1]:[Teste 3]])</f>
        <v>6</v>
      </c>
    </row>
    <row r="74" spans="1:20" x14ac:dyDescent="0.25">
      <c r="A74" s="16" t="s">
        <v>3</v>
      </c>
      <c r="B74" s="16" t="s">
        <v>5</v>
      </c>
      <c r="C74" s="17">
        <v>2.1666666666666599</v>
      </c>
      <c r="D74" s="17">
        <v>2</v>
      </c>
      <c r="E74" s="17">
        <v>2.3333333333333299</v>
      </c>
      <c r="F74" s="17">
        <f>AVERAGE(Table1436281283[[#This Row],[Teste 1]:[Teste 3]])</f>
        <v>2.166666666666663</v>
      </c>
      <c r="G74" s="16"/>
      <c r="H74" s="16" t="s">
        <v>3</v>
      </c>
      <c r="I74" s="16" t="s">
        <v>5</v>
      </c>
      <c r="J74" s="17">
        <v>1.3332999999999999</v>
      </c>
      <c r="K74" s="17">
        <v>1.333</v>
      </c>
      <c r="L74" s="17">
        <v>1.333</v>
      </c>
      <c r="M74" s="17">
        <f>AVERAGE(Table1436281283295[[#This Row],[Teste 1]:[Teste 3]])</f>
        <v>1.3331</v>
      </c>
      <c r="N74" s="16"/>
      <c r="O74" s="16" t="s">
        <v>3</v>
      </c>
      <c r="P74" s="16" t="s">
        <v>5</v>
      </c>
      <c r="Q74" s="17">
        <v>274.83333333333297</v>
      </c>
      <c r="R74" s="17">
        <v>205.5</v>
      </c>
      <c r="S74" s="17">
        <v>182.5</v>
      </c>
      <c r="T74" s="17">
        <f>AVERAGE(Table1436281283295307[[#This Row],[Teste 1]:[Teste 3]])</f>
        <v>220.94444444444434</v>
      </c>
    </row>
    <row r="75" spans="1:20" x14ac:dyDescent="0.25">
      <c r="A75" s="16" t="s">
        <v>3</v>
      </c>
      <c r="B75" s="16" t="s">
        <v>6</v>
      </c>
      <c r="C75" s="17">
        <v>0</v>
      </c>
      <c r="D75" s="17">
        <v>1</v>
      </c>
      <c r="E75" s="17">
        <v>1</v>
      </c>
      <c r="F75" s="17">
        <f>AVERAGE(Table1436281283[[#This Row],[Teste 1]:[Teste 3]])</f>
        <v>0.66666666666666663</v>
      </c>
      <c r="G75" s="16"/>
      <c r="H75" s="16" t="s">
        <v>3</v>
      </c>
      <c r="I75" s="16" t="s">
        <v>6</v>
      </c>
      <c r="J75" s="17">
        <v>0</v>
      </c>
      <c r="K75" s="17">
        <v>0</v>
      </c>
      <c r="L75" s="17">
        <v>0</v>
      </c>
      <c r="M75" s="17">
        <f>AVERAGE(Table1436281283295[[#This Row],[Teste 1]:[Teste 3]])</f>
        <v>0</v>
      </c>
      <c r="N75" s="16"/>
      <c r="O75" s="16" t="s">
        <v>3</v>
      </c>
      <c r="P75" s="16" t="s">
        <v>6</v>
      </c>
      <c r="Q75" s="17">
        <v>3</v>
      </c>
      <c r="R75" s="17">
        <v>2</v>
      </c>
      <c r="S75" s="17">
        <v>1</v>
      </c>
      <c r="T75" s="17">
        <f>AVERAGE(Table1436281283295307[[#This Row],[Teste 1]:[Teste 3]])</f>
        <v>2</v>
      </c>
    </row>
    <row r="76" spans="1:20" x14ac:dyDescent="0.25">
      <c r="A76" s="16" t="s">
        <v>3</v>
      </c>
      <c r="B76" s="16" t="s">
        <v>7</v>
      </c>
      <c r="C76" s="17">
        <v>9</v>
      </c>
      <c r="D76" s="17">
        <v>7</v>
      </c>
      <c r="E76" s="17">
        <v>9</v>
      </c>
      <c r="F76" s="17">
        <f>AVERAGE(Table1436281283[[#This Row],[Teste 1]:[Teste 3]])</f>
        <v>8.3333333333333339</v>
      </c>
      <c r="G76" s="16"/>
      <c r="H76" s="16" t="s">
        <v>3</v>
      </c>
      <c r="I76" s="16" t="s">
        <v>7</v>
      </c>
      <c r="J76" s="17">
        <v>7</v>
      </c>
      <c r="K76" s="17">
        <v>7</v>
      </c>
      <c r="L76" s="17">
        <v>7</v>
      </c>
      <c r="M76" s="17">
        <f>AVERAGE(Table1436281283295[[#This Row],[Teste 1]:[Teste 3]])</f>
        <v>7</v>
      </c>
      <c r="N76" s="16"/>
      <c r="O76" s="16" t="s">
        <v>3</v>
      </c>
      <c r="P76" s="16" t="s">
        <v>7</v>
      </c>
      <c r="Q76" s="17">
        <v>1615</v>
      </c>
      <c r="R76" s="17">
        <v>1209</v>
      </c>
      <c r="S76" s="17">
        <v>1077</v>
      </c>
      <c r="T76" s="17">
        <f>AVERAGE(Table1436281283295307[[#This Row],[Teste 1]:[Teste 3]])</f>
        <v>1300.3333333333333</v>
      </c>
    </row>
    <row r="77" spans="1:20" x14ac:dyDescent="0.25">
      <c r="A77" s="16" t="s">
        <v>3</v>
      </c>
      <c r="B77" s="16" t="s">
        <v>8</v>
      </c>
      <c r="C77" s="17">
        <v>9</v>
      </c>
      <c r="D77" s="17">
        <v>7</v>
      </c>
      <c r="E77" s="17">
        <v>9</v>
      </c>
      <c r="F77" s="17">
        <f>AVERAGE(Table1436281283[[#This Row],[Teste 1]:[Teste 3]])</f>
        <v>8.3333333333333339</v>
      </c>
      <c r="G77" s="16"/>
      <c r="H77" s="16" t="s">
        <v>3</v>
      </c>
      <c r="I77" s="16" t="s">
        <v>8</v>
      </c>
      <c r="J77" s="17">
        <v>7</v>
      </c>
      <c r="K77" s="17">
        <v>7</v>
      </c>
      <c r="L77" s="17">
        <v>7</v>
      </c>
      <c r="M77" s="17">
        <f>AVERAGE(Table1436281283295[[#This Row],[Teste 1]:[Teste 3]])</f>
        <v>7</v>
      </c>
      <c r="N77" s="16"/>
      <c r="O77" s="16" t="s">
        <v>3</v>
      </c>
      <c r="P77" s="16" t="s">
        <v>8</v>
      </c>
      <c r="Q77" s="17">
        <v>1615</v>
      </c>
      <c r="R77" s="17">
        <v>1209</v>
      </c>
      <c r="S77" s="17">
        <v>1077</v>
      </c>
      <c r="T77" s="17">
        <f>AVERAGE(Table1436281283295307[[#This Row],[Teste 1]:[Teste 3]])</f>
        <v>1300.3333333333333</v>
      </c>
    </row>
    <row r="78" spans="1:20" x14ac:dyDescent="0.25">
      <c r="A78" s="16" t="s">
        <v>3</v>
      </c>
      <c r="B78" s="16" t="s">
        <v>9</v>
      </c>
      <c r="C78" s="17">
        <v>9</v>
      </c>
      <c r="D78" s="17">
        <v>7</v>
      </c>
      <c r="E78" s="17">
        <v>9</v>
      </c>
      <c r="F78" s="17">
        <f>AVERAGE(Table1436281283[[#This Row],[Teste 1]:[Teste 3]])</f>
        <v>8.3333333333333339</v>
      </c>
      <c r="G78" s="16"/>
      <c r="H78" s="16" t="s">
        <v>3</v>
      </c>
      <c r="I78" s="16" t="s">
        <v>9</v>
      </c>
      <c r="J78" s="17">
        <v>7</v>
      </c>
      <c r="K78" s="17">
        <v>7</v>
      </c>
      <c r="L78" s="17">
        <v>7</v>
      </c>
      <c r="M78" s="17">
        <f>AVERAGE(Table1436281283295[[#This Row],[Teste 1]:[Teste 3]])</f>
        <v>7</v>
      </c>
      <c r="N78" s="16"/>
      <c r="O78" s="16" t="s">
        <v>3</v>
      </c>
      <c r="P78" s="16" t="s">
        <v>9</v>
      </c>
      <c r="Q78" s="17">
        <v>1615</v>
      </c>
      <c r="R78" s="17">
        <v>1209</v>
      </c>
      <c r="S78" s="17">
        <v>1077</v>
      </c>
      <c r="T78" s="17">
        <f>AVERAGE(Table1436281283295307[[#This Row],[Teste 1]:[Teste 3]])</f>
        <v>1300.3333333333333</v>
      </c>
    </row>
    <row r="79" spans="1:20" x14ac:dyDescent="0.25">
      <c r="A79" s="16" t="s">
        <v>17</v>
      </c>
      <c r="B79" s="16" t="s">
        <v>4</v>
      </c>
      <c r="C79" s="17">
        <v>50001</v>
      </c>
      <c r="D79" s="17">
        <v>50019</v>
      </c>
      <c r="E79" s="17">
        <v>50040</v>
      </c>
      <c r="F79" s="17">
        <f>AVERAGE(Table1436281283[[#This Row],[Teste 1]:[Teste 3]])</f>
        <v>50020</v>
      </c>
      <c r="G79" s="16"/>
      <c r="H79" s="16" t="s">
        <v>17</v>
      </c>
      <c r="I79" s="16" t="s">
        <v>4</v>
      </c>
      <c r="J79" s="17">
        <v>50000000</v>
      </c>
      <c r="K79" s="17">
        <v>50020</v>
      </c>
      <c r="L79" s="17">
        <v>50292</v>
      </c>
      <c r="M79" s="17">
        <f>AVERAGE(Table1436281283295[[#This Row],[Teste 1]:[Teste 3]])</f>
        <v>16700104</v>
      </c>
      <c r="N79" s="16"/>
      <c r="O79" s="16" t="s">
        <v>17</v>
      </c>
      <c r="P79" s="16" t="s">
        <v>4</v>
      </c>
      <c r="Q79" s="17">
        <v>50272</v>
      </c>
      <c r="R79" s="17">
        <v>50293</v>
      </c>
      <c r="S79" s="17">
        <v>50042</v>
      </c>
      <c r="T79" s="17">
        <f>AVERAGE(Table1436281283295307[[#This Row],[Teste 1]:[Teste 3]])</f>
        <v>50202.333333333336</v>
      </c>
    </row>
    <row r="80" spans="1:20" x14ac:dyDescent="0.25">
      <c r="A80" s="16" t="s">
        <v>17</v>
      </c>
      <c r="B80" s="16" t="s">
        <v>5</v>
      </c>
      <c r="C80" s="17">
        <v>374.81666366672601</v>
      </c>
      <c r="D80" s="17">
        <v>479.56288610327999</v>
      </c>
      <c r="E80" s="17">
        <v>476.68613109512302</v>
      </c>
      <c r="F80" s="17">
        <f>AVERAGE(Table1436281283[[#This Row],[Teste 1]:[Teste 3]])</f>
        <v>443.68856028837632</v>
      </c>
      <c r="G80" s="16"/>
      <c r="H80" s="16" t="s">
        <v>17</v>
      </c>
      <c r="I80" s="16" t="s">
        <v>5</v>
      </c>
      <c r="J80" s="17">
        <v>608.79999999999995</v>
      </c>
      <c r="K80" s="17">
        <v>622.9</v>
      </c>
      <c r="L80" s="17">
        <v>612.28</v>
      </c>
      <c r="M80" s="17">
        <f>AVERAGE(Table1436281283295[[#This Row],[Teste 1]:[Teste 3]])</f>
        <v>614.66</v>
      </c>
      <c r="N80" s="16"/>
      <c r="O80" s="16" t="s">
        <v>17</v>
      </c>
      <c r="P80" s="16" t="s">
        <v>5</v>
      </c>
      <c r="Q80" s="17">
        <v>456.71105187778397</v>
      </c>
      <c r="R80" s="17">
        <v>467.29306265285402</v>
      </c>
      <c r="S80" s="17">
        <v>459.32208944486598</v>
      </c>
      <c r="T80" s="17">
        <f>AVERAGE(Table1436281283295307[[#This Row],[Teste 1]:[Teste 3]])</f>
        <v>461.10873465850131</v>
      </c>
    </row>
    <row r="81" spans="1:20" x14ac:dyDescent="0.25">
      <c r="A81" s="16" t="s">
        <v>17</v>
      </c>
      <c r="B81" s="16" t="s">
        <v>6</v>
      </c>
      <c r="C81" s="17">
        <v>92</v>
      </c>
      <c r="D81" s="17">
        <v>99</v>
      </c>
      <c r="E81" s="17">
        <v>96</v>
      </c>
      <c r="F81" s="17">
        <f>AVERAGE(Table1436281283[[#This Row],[Teste 1]:[Teste 3]])</f>
        <v>95.666666666666671</v>
      </c>
      <c r="G81" s="16"/>
      <c r="H81" s="16" t="s">
        <v>17</v>
      </c>
      <c r="I81" s="16" t="s">
        <v>6</v>
      </c>
      <c r="J81" s="17">
        <v>224</v>
      </c>
      <c r="K81" s="17">
        <v>227</v>
      </c>
      <c r="L81" s="17">
        <v>222</v>
      </c>
      <c r="M81" s="17">
        <f>AVERAGE(Table1436281283295[[#This Row],[Teste 1]:[Teste 3]])</f>
        <v>224.33333333333334</v>
      </c>
      <c r="N81" s="16"/>
      <c r="O81" s="16" t="s">
        <v>17</v>
      </c>
      <c r="P81" s="16" t="s">
        <v>6</v>
      </c>
      <c r="Q81" s="17">
        <v>168</v>
      </c>
      <c r="R81" s="17">
        <v>170</v>
      </c>
      <c r="S81" s="17">
        <v>166</v>
      </c>
      <c r="T81" s="17">
        <f>AVERAGE(Table1436281283295307[[#This Row],[Teste 1]:[Teste 3]])</f>
        <v>168</v>
      </c>
    </row>
    <row r="82" spans="1:20" x14ac:dyDescent="0.25">
      <c r="A82" s="16" t="s">
        <v>17</v>
      </c>
      <c r="B82" s="16" t="s">
        <v>7</v>
      </c>
      <c r="C82" s="17">
        <v>308223</v>
      </c>
      <c r="D82" s="17">
        <v>168703</v>
      </c>
      <c r="E82" s="17">
        <v>196479</v>
      </c>
      <c r="F82" s="17">
        <f>AVERAGE(Table1436281283[[#This Row],[Teste 1]:[Teste 3]])</f>
        <v>224468.33333333334</v>
      </c>
      <c r="G82" s="16"/>
      <c r="H82" s="16" t="s">
        <v>17</v>
      </c>
      <c r="I82" s="16" t="s">
        <v>7</v>
      </c>
      <c r="J82" s="17">
        <v>185808</v>
      </c>
      <c r="K82" s="17">
        <v>126090</v>
      </c>
      <c r="L82" s="17">
        <v>87870</v>
      </c>
      <c r="M82" s="17">
        <f>AVERAGE(Table1436281283295[[#This Row],[Teste 1]:[Teste 3]])</f>
        <v>133256</v>
      </c>
      <c r="N82" s="16"/>
      <c r="O82" s="16" t="s">
        <v>17</v>
      </c>
      <c r="P82" s="16" t="s">
        <v>7</v>
      </c>
      <c r="Q82" s="17">
        <v>139391</v>
      </c>
      <c r="R82" s="17">
        <v>94591</v>
      </c>
      <c r="S82" s="17">
        <v>65919</v>
      </c>
      <c r="T82" s="17">
        <f>AVERAGE(Table1436281283295307[[#This Row],[Teste 1]:[Teste 3]])</f>
        <v>99967</v>
      </c>
    </row>
    <row r="83" spans="1:20" x14ac:dyDescent="0.25">
      <c r="A83" s="16" t="s">
        <v>17</v>
      </c>
      <c r="B83" s="16" t="s">
        <v>8</v>
      </c>
      <c r="C83" s="17">
        <v>838</v>
      </c>
      <c r="D83" s="17">
        <v>894</v>
      </c>
      <c r="E83" s="17">
        <v>868</v>
      </c>
      <c r="F83" s="17">
        <f>AVERAGE(Table1436281283[[#This Row],[Teste 1]:[Teste 3]])</f>
        <v>866.66666666666663</v>
      </c>
      <c r="G83" s="16"/>
      <c r="H83" s="16" t="s">
        <v>17</v>
      </c>
      <c r="I83" s="16" t="s">
        <v>8</v>
      </c>
      <c r="J83" s="17">
        <v>1160</v>
      </c>
      <c r="K83" s="17">
        <v>1212</v>
      </c>
      <c r="L83" s="17">
        <v>1104</v>
      </c>
      <c r="M83" s="17">
        <f>AVERAGE(Table1436281283295[[#This Row],[Teste 1]:[Teste 3]])</f>
        <v>1158.6666666666667</v>
      </c>
      <c r="N83" s="16"/>
      <c r="O83" s="16" t="s">
        <v>17</v>
      </c>
      <c r="P83" s="16" t="s">
        <v>8</v>
      </c>
      <c r="Q83" s="17">
        <v>870</v>
      </c>
      <c r="R83" s="17">
        <v>909</v>
      </c>
      <c r="S83" s="17">
        <v>828</v>
      </c>
      <c r="T83" s="17">
        <f>AVERAGE(Table1436281283295307[[#This Row],[Teste 1]:[Teste 3]])</f>
        <v>869</v>
      </c>
    </row>
    <row r="84" spans="1:20" x14ac:dyDescent="0.25">
      <c r="A84" s="16" t="s">
        <v>17</v>
      </c>
      <c r="B84" s="16" t="s">
        <v>9</v>
      </c>
      <c r="C84" s="17">
        <v>2123</v>
      </c>
      <c r="D84" s="17">
        <v>1764</v>
      </c>
      <c r="E84" s="17">
        <v>1608</v>
      </c>
      <c r="F84" s="17">
        <f>AVERAGE(Table1436281283[[#This Row],[Teste 1]:[Teste 3]])</f>
        <v>1831.6666666666667</v>
      </c>
      <c r="G84" s="16"/>
      <c r="H84" s="16" t="s">
        <v>17</v>
      </c>
      <c r="I84" s="16" t="s">
        <v>9</v>
      </c>
      <c r="J84" s="17">
        <v>2072</v>
      </c>
      <c r="K84" s="17">
        <v>2445</v>
      </c>
      <c r="L84" s="17">
        <v>2158</v>
      </c>
      <c r="M84" s="17">
        <f>AVERAGE(Table1436281283295[[#This Row],[Teste 1]:[Teste 3]])</f>
        <v>2225</v>
      </c>
      <c r="N84" s="16"/>
      <c r="O84" s="16" t="s">
        <v>17</v>
      </c>
      <c r="P84" s="16" t="s">
        <v>9</v>
      </c>
      <c r="Q84" s="17">
        <v>1554</v>
      </c>
      <c r="R84" s="17">
        <v>1834</v>
      </c>
      <c r="S84" s="17">
        <v>1619</v>
      </c>
      <c r="T84" s="17">
        <f>AVERAGE(Table1436281283295307[[#This Row],[Teste 1]:[Teste 3]])</f>
        <v>1669</v>
      </c>
    </row>
    <row r="85" spans="1:20" x14ac:dyDescent="0.25">
      <c r="A85" s="16" t="s">
        <v>17</v>
      </c>
      <c r="B85" s="16" t="s">
        <v>11</v>
      </c>
      <c r="C85" s="17">
        <v>50001</v>
      </c>
      <c r="D85" s="17">
        <v>50019</v>
      </c>
      <c r="E85" s="17">
        <v>50040</v>
      </c>
      <c r="F85" s="17">
        <f>AVERAGE(Table1436281283[[#This Row],[Teste 1]:[Teste 3]])</f>
        <v>50020</v>
      </c>
      <c r="G85" s="16"/>
      <c r="H85" s="16" t="s">
        <v>17</v>
      </c>
      <c r="I85" s="16" t="s">
        <v>11</v>
      </c>
      <c r="J85" s="17">
        <v>50000000</v>
      </c>
      <c r="K85" s="17">
        <v>50020</v>
      </c>
      <c r="L85" s="17">
        <v>50292</v>
      </c>
      <c r="M85" s="17">
        <f>AVERAGE(Table1436281283295[[#This Row],[Teste 1]:[Teste 3]])</f>
        <v>16700104</v>
      </c>
      <c r="N85" s="16"/>
      <c r="O85" s="16" t="s">
        <v>17</v>
      </c>
      <c r="P85" s="16" t="s">
        <v>11</v>
      </c>
      <c r="Q85" s="17">
        <v>50272</v>
      </c>
      <c r="R85" s="17">
        <v>50293</v>
      </c>
      <c r="S85" s="17">
        <v>50042</v>
      </c>
      <c r="T85" s="17">
        <f>AVERAGE(Table1436281283295307[[#This Row],[Teste 1]:[Teste 3]])</f>
        <v>50202.333333333336</v>
      </c>
    </row>
    <row r="86" spans="1:20" x14ac:dyDescent="0.25">
      <c r="A86" s="16"/>
      <c r="B86" s="16"/>
      <c r="C86" s="17"/>
      <c r="D86" s="17"/>
      <c r="E86" s="17"/>
      <c r="F86" s="17"/>
      <c r="G86" s="16"/>
      <c r="H86" s="16"/>
      <c r="I86" s="16"/>
      <c r="J86" s="17"/>
      <c r="K86" s="17"/>
      <c r="L86" s="17"/>
      <c r="M86" s="17"/>
      <c r="N86" s="16"/>
      <c r="O86" s="16"/>
      <c r="P86" s="16"/>
      <c r="Q86" s="17"/>
      <c r="R86" s="17"/>
      <c r="S86" s="17"/>
      <c r="T86" s="17"/>
    </row>
    <row r="87" spans="1:20" x14ac:dyDescent="0.25">
      <c r="A87" s="16"/>
      <c r="B87" s="16"/>
      <c r="C87" s="17"/>
      <c r="D87" s="17"/>
      <c r="E87" s="17"/>
      <c r="F87" s="17"/>
      <c r="G87" s="16"/>
      <c r="H87" s="16"/>
      <c r="I87" s="16"/>
      <c r="J87" s="17"/>
      <c r="K87" s="17"/>
      <c r="L87" s="17"/>
      <c r="M87" s="17"/>
      <c r="N87" s="16"/>
      <c r="O87" s="16"/>
      <c r="P87" s="16"/>
      <c r="Q87" s="17"/>
      <c r="R87" s="17"/>
      <c r="S87" s="17"/>
      <c r="T87" s="17"/>
    </row>
    <row r="88" spans="1:20" x14ac:dyDescent="0.25">
      <c r="A88" s="16"/>
      <c r="B88" s="16"/>
      <c r="C88" s="17"/>
      <c r="D88" s="17"/>
      <c r="E88" s="17"/>
      <c r="F88" s="17"/>
      <c r="G88" s="16"/>
      <c r="H88" s="16"/>
      <c r="I88" s="16"/>
      <c r="J88" s="17"/>
      <c r="K88" s="17"/>
      <c r="L88" s="17"/>
      <c r="M88" s="17"/>
      <c r="N88" s="16"/>
      <c r="O88" s="16"/>
      <c r="P88" s="16"/>
      <c r="Q88" s="17"/>
      <c r="R88" s="17"/>
      <c r="S88" s="17"/>
      <c r="T88" s="17"/>
    </row>
    <row r="91" spans="1:20" ht="15.75" x14ac:dyDescent="0.25">
      <c r="A91" s="2" t="s">
        <v>66</v>
      </c>
      <c r="H91" s="2" t="s">
        <v>66</v>
      </c>
      <c r="O91" s="2" t="s">
        <v>66</v>
      </c>
    </row>
    <row r="92" spans="1:20" ht="15.75" x14ac:dyDescent="0.25">
      <c r="A92" s="2" t="s">
        <v>65</v>
      </c>
      <c r="H92" s="2" t="s">
        <v>65</v>
      </c>
      <c r="O92" s="2" t="s">
        <v>65</v>
      </c>
    </row>
    <row r="93" spans="1:20" x14ac:dyDescent="0.25">
      <c r="A93" s="16" t="s">
        <v>59</v>
      </c>
      <c r="B93" s="16" t="s">
        <v>66</v>
      </c>
      <c r="C93" s="16" t="s">
        <v>82</v>
      </c>
      <c r="D93" s="16" t="s">
        <v>64</v>
      </c>
      <c r="E93" s="16" t="s">
        <v>63</v>
      </c>
      <c r="F93" s="16" t="s">
        <v>18</v>
      </c>
      <c r="G93" s="16"/>
      <c r="H93" s="16" t="s">
        <v>12</v>
      </c>
      <c r="I93" s="16" t="s">
        <v>66</v>
      </c>
      <c r="J93" s="16" t="s">
        <v>82</v>
      </c>
      <c r="K93" s="16" t="s">
        <v>64</v>
      </c>
      <c r="L93" s="16" t="s">
        <v>63</v>
      </c>
      <c r="M93" s="16" t="s">
        <v>18</v>
      </c>
      <c r="N93" s="16"/>
      <c r="O93" s="16" t="s">
        <v>13</v>
      </c>
      <c r="P93" s="16" t="s">
        <v>66</v>
      </c>
      <c r="Q93" s="16" t="s">
        <v>82</v>
      </c>
      <c r="R93" s="16" t="s">
        <v>64</v>
      </c>
      <c r="S93" s="16" t="s">
        <v>63</v>
      </c>
      <c r="T93" s="16" t="s">
        <v>18</v>
      </c>
    </row>
    <row r="94" spans="1:20" x14ac:dyDescent="0.25">
      <c r="A94" s="16" t="s">
        <v>0</v>
      </c>
      <c r="B94" s="16" t="s">
        <v>1</v>
      </c>
      <c r="C94" s="17">
        <v>1662047</v>
      </c>
      <c r="D94" s="17">
        <v>1795160</v>
      </c>
      <c r="E94" s="17">
        <v>1468796</v>
      </c>
      <c r="F94" s="17">
        <f>AVERAGE(Table1436281284[[#This Row],[Teste 1]:[Teste 3]])</f>
        <v>1642001</v>
      </c>
      <c r="G94" s="16"/>
      <c r="H94" s="16" t="s">
        <v>0</v>
      </c>
      <c r="I94" s="16" t="s">
        <v>1</v>
      </c>
      <c r="J94" s="17">
        <v>1667641</v>
      </c>
      <c r="K94" s="17">
        <v>1668856</v>
      </c>
      <c r="L94" s="17">
        <v>1687633</v>
      </c>
      <c r="M94" s="17">
        <f>AVERAGE(Table1436281284296[[#This Row],[Teste 1]:[Teste 3]])</f>
        <v>1674710</v>
      </c>
      <c r="N94" s="16"/>
      <c r="O94" s="16" t="s">
        <v>0</v>
      </c>
      <c r="P94" s="16" t="s">
        <v>1</v>
      </c>
      <c r="Q94" s="17">
        <v>476469</v>
      </c>
      <c r="R94" s="17">
        <v>476816</v>
      </c>
      <c r="S94" s="17">
        <v>482181</v>
      </c>
      <c r="T94" s="17">
        <f>AVERAGE(Table1436281284296308[[#This Row],[Teste 1]:[Teste 3]])</f>
        <v>478488.66666666669</v>
      </c>
    </row>
    <row r="95" spans="1:20" x14ac:dyDescent="0.25">
      <c r="A95" s="16" t="s">
        <v>0</v>
      </c>
      <c r="B95" s="16" t="s">
        <v>2</v>
      </c>
      <c r="C95" s="17">
        <v>592.52463521838297</v>
      </c>
      <c r="D95" s="17">
        <v>557.053410280977</v>
      </c>
      <c r="E95" s="17">
        <v>680.82974082173405</v>
      </c>
      <c r="F95" s="17">
        <f>AVERAGE(Table1436281284[[#This Row],[Teste 1]:[Teste 3]])</f>
        <v>610.13592877369808</v>
      </c>
      <c r="G95" s="16"/>
      <c r="H95" s="16" t="s">
        <v>0</v>
      </c>
      <c r="I95" s="16" t="s">
        <v>2</v>
      </c>
      <c r="J95" s="17">
        <v>599.65</v>
      </c>
      <c r="K95" s="17">
        <v>599.22</v>
      </c>
      <c r="L95" s="17">
        <v>592.54999999999995</v>
      </c>
      <c r="M95" s="17">
        <f>AVERAGE(Table1436281284296[[#This Row],[Teste 1]:[Teste 3]])</f>
        <v>597.14</v>
      </c>
      <c r="N95" s="16"/>
      <c r="O95" s="16" t="s">
        <v>0</v>
      </c>
      <c r="P95" s="16" t="s">
        <v>2</v>
      </c>
      <c r="Q95" s="17">
        <v>2098.7724280068501</v>
      </c>
      <c r="R95" s="17">
        <v>2097.2450588906399</v>
      </c>
      <c r="S95" s="17">
        <v>2073.9100047492502</v>
      </c>
      <c r="T95" s="17">
        <f>AVERAGE(Table1436281284296308[[#This Row],[Teste 1]:[Teste 3]])</f>
        <v>2089.9758305489136</v>
      </c>
    </row>
    <row r="96" spans="1:20" x14ac:dyDescent="0.25">
      <c r="A96" s="16" t="s">
        <v>16</v>
      </c>
      <c r="B96" s="16" t="s">
        <v>4</v>
      </c>
      <c r="C96" s="17">
        <v>500972</v>
      </c>
      <c r="D96" s="17">
        <v>500287</v>
      </c>
      <c r="E96" s="17">
        <v>499670</v>
      </c>
      <c r="F96" s="17">
        <f>AVERAGE(Table1436281284[[#This Row],[Teste 1]:[Teste 3]])</f>
        <v>500309.66666666669</v>
      </c>
      <c r="G96" s="16"/>
      <c r="H96" s="16" t="s">
        <v>16</v>
      </c>
      <c r="I96" s="16" t="s">
        <v>4</v>
      </c>
      <c r="J96" s="17">
        <v>476470</v>
      </c>
      <c r="K96" s="17">
        <v>1795160</v>
      </c>
      <c r="L96" s="17">
        <v>482180</v>
      </c>
      <c r="M96" s="17">
        <f>AVERAGE(Table1436281284296[[#This Row],[Teste 1]:[Teste 3]])</f>
        <v>917936.66666666663</v>
      </c>
      <c r="N96" s="16"/>
      <c r="O96" s="16" t="s">
        <v>16</v>
      </c>
      <c r="P96" s="16" t="s">
        <v>4</v>
      </c>
      <c r="Q96" s="17">
        <v>499967</v>
      </c>
      <c r="R96" s="17">
        <v>500050</v>
      </c>
      <c r="S96" s="17">
        <v>500459</v>
      </c>
      <c r="T96" s="17">
        <f>AVERAGE(Table1436281284296308[[#This Row],[Teste 1]:[Teste 3]])</f>
        <v>500158.66666666669</v>
      </c>
    </row>
    <row r="97" spans="1:20" x14ac:dyDescent="0.25">
      <c r="A97" s="16" t="s">
        <v>16</v>
      </c>
      <c r="B97" s="16" t="s">
        <v>5</v>
      </c>
      <c r="C97" s="17">
        <v>3952.5155557595999</v>
      </c>
      <c r="D97" s="17">
        <v>3303.1012938573199</v>
      </c>
      <c r="E97" s="17">
        <v>2641.2414873816701</v>
      </c>
      <c r="F97" s="17">
        <f>AVERAGE(Table1436281284[[#This Row],[Teste 1]:[Teste 3]])</f>
        <v>3298.95277899953</v>
      </c>
      <c r="G97" s="16"/>
      <c r="H97" s="16" t="s">
        <v>16</v>
      </c>
      <c r="I97" s="16" t="s">
        <v>5</v>
      </c>
      <c r="J97" s="17">
        <v>1448.61</v>
      </c>
      <c r="K97" s="17">
        <v>1438.07</v>
      </c>
      <c r="L97" s="17">
        <v>1453.2338999999999</v>
      </c>
      <c r="M97" s="17">
        <f>AVERAGE(Table1436281284296[[#This Row],[Teste 1]:[Teste 3]])</f>
        <v>1446.6379666666664</v>
      </c>
      <c r="N97" s="16"/>
      <c r="O97" s="16" t="s">
        <v>16</v>
      </c>
      <c r="P97" s="16" t="s">
        <v>5</v>
      </c>
      <c r="Q97" s="17">
        <v>413.88739456804097</v>
      </c>
      <c r="R97" s="17">
        <v>410.87824217578202</v>
      </c>
      <c r="S97" s="17">
        <v>415.209693501365</v>
      </c>
      <c r="T97" s="17">
        <f>AVERAGE(Table1436281284296308[[#This Row],[Teste 1]:[Teste 3]])</f>
        <v>413.32511008172941</v>
      </c>
    </row>
    <row r="98" spans="1:20" x14ac:dyDescent="0.25">
      <c r="A98" s="16" t="s">
        <v>16</v>
      </c>
      <c r="B98" s="16" t="s">
        <v>6</v>
      </c>
      <c r="C98" s="17">
        <v>84</v>
      </c>
      <c r="D98" s="17">
        <v>94</v>
      </c>
      <c r="E98" s="17">
        <v>84</v>
      </c>
      <c r="F98" s="17">
        <f>AVERAGE(Table1436281284[[#This Row],[Teste 1]:[Teste 3]])</f>
        <v>87.333333333333329</v>
      </c>
      <c r="G98" s="16"/>
      <c r="H98" s="16" t="s">
        <v>16</v>
      </c>
      <c r="I98" s="16" t="s">
        <v>6</v>
      </c>
      <c r="J98" s="17">
        <v>378</v>
      </c>
      <c r="K98" s="17">
        <v>364</v>
      </c>
      <c r="L98" s="17">
        <v>378</v>
      </c>
      <c r="M98" s="17">
        <f>AVERAGE(Table1436281284296[[#This Row],[Teste 1]:[Teste 3]])</f>
        <v>373.33333333333331</v>
      </c>
      <c r="N98" s="16"/>
      <c r="O98" s="16" t="s">
        <v>16</v>
      </c>
      <c r="P98" s="16" t="s">
        <v>6</v>
      </c>
      <c r="Q98" s="17">
        <v>108</v>
      </c>
      <c r="R98" s="17">
        <v>104</v>
      </c>
      <c r="S98" s="17">
        <v>108</v>
      </c>
      <c r="T98" s="17">
        <f>AVERAGE(Table1436281284296308[[#This Row],[Teste 1]:[Teste 3]])</f>
        <v>106.66666666666667</v>
      </c>
    </row>
    <row r="99" spans="1:20" x14ac:dyDescent="0.25">
      <c r="A99" s="16" t="s">
        <v>16</v>
      </c>
      <c r="B99" s="16" t="s">
        <v>7</v>
      </c>
      <c r="C99" s="17">
        <v>6291455</v>
      </c>
      <c r="D99" s="17">
        <v>6635519</v>
      </c>
      <c r="E99" s="17">
        <v>4620287</v>
      </c>
      <c r="F99" s="17">
        <f>AVERAGE(Table1436281284[[#This Row],[Teste 1]:[Teste 3]])</f>
        <v>5849087</v>
      </c>
      <c r="G99" s="16"/>
      <c r="H99" s="16" t="s">
        <v>16</v>
      </c>
      <c r="I99" s="16" t="s">
        <v>7</v>
      </c>
      <c r="J99" s="17">
        <v>9476093</v>
      </c>
      <c r="K99" s="17">
        <v>8071165</v>
      </c>
      <c r="L99" s="17">
        <v>6881277</v>
      </c>
      <c r="M99" s="17">
        <f>AVERAGE(Table1436281284296[[#This Row],[Teste 1]:[Teste 3]])</f>
        <v>8142845</v>
      </c>
      <c r="N99" s="16"/>
      <c r="O99" s="16" t="s">
        <v>16</v>
      </c>
      <c r="P99" s="16" t="s">
        <v>7</v>
      </c>
      <c r="Q99" s="17">
        <v>2707455</v>
      </c>
      <c r="R99" s="17">
        <v>2306047</v>
      </c>
      <c r="S99" s="17">
        <v>1966079</v>
      </c>
      <c r="T99" s="17">
        <f>AVERAGE(Table1436281284296308[[#This Row],[Teste 1]:[Teste 3]])</f>
        <v>2326527</v>
      </c>
    </row>
    <row r="100" spans="1:20" x14ac:dyDescent="0.25">
      <c r="A100" s="16" t="s">
        <v>16</v>
      </c>
      <c r="B100" s="16" t="s">
        <v>8</v>
      </c>
      <c r="C100" s="17">
        <v>705</v>
      </c>
      <c r="D100" s="17">
        <v>520</v>
      </c>
      <c r="E100" s="17">
        <v>513</v>
      </c>
      <c r="F100" s="17">
        <f>AVERAGE(Table1436281284[[#This Row],[Teste 1]:[Teste 3]])</f>
        <v>579.33333333333337</v>
      </c>
      <c r="G100" s="16"/>
      <c r="H100" s="16" t="s">
        <v>16</v>
      </c>
      <c r="I100" s="16" t="s">
        <v>8</v>
      </c>
      <c r="J100" s="17">
        <v>2867</v>
      </c>
      <c r="K100" s="17">
        <v>2989</v>
      </c>
      <c r="L100" s="17">
        <v>2923</v>
      </c>
      <c r="M100" s="17">
        <f>AVERAGE(Table1436281284296[[#This Row],[Teste 1]:[Teste 3]])</f>
        <v>2926.3333333333335</v>
      </c>
      <c r="N100" s="16"/>
      <c r="O100" s="16" t="s">
        <v>16</v>
      </c>
      <c r="P100" s="16" t="s">
        <v>8</v>
      </c>
      <c r="Q100" s="17">
        <v>819</v>
      </c>
      <c r="R100" s="17">
        <v>854</v>
      </c>
      <c r="S100" s="17">
        <v>835</v>
      </c>
      <c r="T100" s="17">
        <f>AVERAGE(Table1436281284296308[[#This Row],[Teste 1]:[Teste 3]])</f>
        <v>836</v>
      </c>
    </row>
    <row r="101" spans="1:20" x14ac:dyDescent="0.25">
      <c r="A101" s="16" t="s">
        <v>16</v>
      </c>
      <c r="B101" s="16" t="s">
        <v>9</v>
      </c>
      <c r="C101" s="17">
        <v>61023</v>
      </c>
      <c r="D101" s="17">
        <v>61151</v>
      </c>
      <c r="E101" s="17">
        <v>59903</v>
      </c>
      <c r="F101" s="17">
        <f>AVERAGE(Table1436281284[[#This Row],[Teste 1]:[Teste 3]])</f>
        <v>60692.333333333336</v>
      </c>
      <c r="G101" s="16"/>
      <c r="H101" s="16" t="s">
        <v>16</v>
      </c>
      <c r="I101" s="16" t="s">
        <v>9</v>
      </c>
      <c r="J101" s="17">
        <v>9937</v>
      </c>
      <c r="K101" s="17">
        <v>10077</v>
      </c>
      <c r="L101" s="17">
        <v>10973</v>
      </c>
      <c r="M101" s="17">
        <f>AVERAGE(Table1436281284296[[#This Row],[Teste 1]:[Teste 3]])</f>
        <v>10329</v>
      </c>
      <c r="N101" s="16"/>
      <c r="O101" s="16" t="s">
        <v>16</v>
      </c>
      <c r="P101" s="16" t="s">
        <v>9</v>
      </c>
      <c r="Q101" s="17">
        <v>2839</v>
      </c>
      <c r="R101" s="17">
        <v>2879</v>
      </c>
      <c r="S101" s="17">
        <v>3135</v>
      </c>
      <c r="T101" s="17">
        <f>AVERAGE(Table1436281284296308[[#This Row],[Teste 1]:[Teste 3]])</f>
        <v>2951</v>
      </c>
    </row>
    <row r="102" spans="1:20" x14ac:dyDescent="0.25">
      <c r="A102" s="16" t="s">
        <v>16</v>
      </c>
      <c r="B102" s="16" t="s">
        <v>11</v>
      </c>
      <c r="C102" s="17">
        <v>500972</v>
      </c>
      <c r="D102" s="17">
        <v>500287</v>
      </c>
      <c r="E102" s="17">
        <v>499670</v>
      </c>
      <c r="F102" s="17">
        <f>AVERAGE(Table1436281284[[#This Row],[Teste 1]:[Teste 3]])</f>
        <v>500309.66666666669</v>
      </c>
      <c r="G102" s="16"/>
      <c r="H102" s="16" t="s">
        <v>16</v>
      </c>
      <c r="I102" s="16" t="s">
        <v>11</v>
      </c>
      <c r="J102" s="17">
        <v>476470</v>
      </c>
      <c r="K102" s="17">
        <v>1795160</v>
      </c>
      <c r="L102" s="17">
        <v>482180</v>
      </c>
      <c r="M102" s="17">
        <f>AVERAGE(Table1436281284296[[#This Row],[Teste 1]:[Teste 3]])</f>
        <v>917936.66666666663</v>
      </c>
      <c r="N102" s="16"/>
      <c r="O102" s="16" t="s">
        <v>16</v>
      </c>
      <c r="P102" s="16" t="s">
        <v>11</v>
      </c>
      <c r="Q102" s="17">
        <v>499967</v>
      </c>
      <c r="R102" s="17">
        <v>500050</v>
      </c>
      <c r="S102" s="17">
        <v>500459</v>
      </c>
      <c r="T102" s="17">
        <f>AVERAGE(Table1436281284296308[[#This Row],[Teste 1]:[Teste 3]])</f>
        <v>500158.66666666669</v>
      </c>
    </row>
    <row r="103" spans="1:20" x14ac:dyDescent="0.25">
      <c r="A103" s="16" t="s">
        <v>3</v>
      </c>
      <c r="B103" s="16" t="s">
        <v>4</v>
      </c>
      <c r="C103" s="17">
        <v>1</v>
      </c>
      <c r="D103" s="17">
        <v>1</v>
      </c>
      <c r="E103" s="17">
        <v>1</v>
      </c>
      <c r="F103" s="17">
        <f>AVERAGE(Table1436281284[[#This Row],[Teste 1]:[Teste 3]])</f>
        <v>1</v>
      </c>
      <c r="G103" s="16"/>
      <c r="H103" s="16" t="s">
        <v>3</v>
      </c>
      <c r="I103" s="16" t="s">
        <v>4</v>
      </c>
      <c r="J103" s="17">
        <v>1</v>
      </c>
      <c r="K103" s="17">
        <v>1</v>
      </c>
      <c r="L103" s="17">
        <v>1</v>
      </c>
      <c r="M103" s="17">
        <f>AVERAGE(Table1436281284296[[#This Row],[Teste 1]:[Teste 3]])</f>
        <v>1</v>
      </c>
      <c r="N103" s="16"/>
      <c r="O103" s="16" t="s">
        <v>3</v>
      </c>
      <c r="P103" s="16" t="s">
        <v>4</v>
      </c>
      <c r="Q103" s="17">
        <v>1</v>
      </c>
      <c r="R103" s="17">
        <v>1</v>
      </c>
      <c r="S103" s="17">
        <v>1</v>
      </c>
      <c r="T103" s="17">
        <f>AVERAGE(Table1436281284296308[[#This Row],[Teste 1]:[Teste 3]])</f>
        <v>1</v>
      </c>
    </row>
    <row r="104" spans="1:20" x14ac:dyDescent="0.25">
      <c r="A104" s="16" t="s">
        <v>3</v>
      </c>
      <c r="B104" s="16" t="s">
        <v>5</v>
      </c>
      <c r="C104" s="17">
        <v>2</v>
      </c>
      <c r="D104" s="17">
        <v>3</v>
      </c>
      <c r="E104" s="17">
        <v>2</v>
      </c>
      <c r="F104" s="17">
        <f>AVERAGE(Table1436281284[[#This Row],[Teste 1]:[Teste 3]])</f>
        <v>2.3333333333333335</v>
      </c>
      <c r="G104" s="16"/>
      <c r="H104" s="16" t="s">
        <v>3</v>
      </c>
      <c r="I104" s="16" t="s">
        <v>5</v>
      </c>
      <c r="J104" s="17">
        <v>12</v>
      </c>
      <c r="K104" s="17">
        <v>10</v>
      </c>
      <c r="L104" s="17">
        <v>10</v>
      </c>
      <c r="M104" s="17">
        <f>AVERAGE(Table1436281284296[[#This Row],[Teste 1]:[Teste 3]])</f>
        <v>10.666666666666666</v>
      </c>
      <c r="N104" s="16"/>
      <c r="O104" s="16" t="s">
        <v>3</v>
      </c>
      <c r="P104" s="16" t="s">
        <v>5</v>
      </c>
      <c r="Q104" s="17">
        <v>2291</v>
      </c>
      <c r="R104" s="17">
        <v>1989</v>
      </c>
      <c r="S104" s="17">
        <v>2049</v>
      </c>
      <c r="T104" s="17">
        <f>AVERAGE(Table1436281284296308[[#This Row],[Teste 1]:[Teste 3]])</f>
        <v>2109.6666666666665</v>
      </c>
    </row>
    <row r="105" spans="1:20" x14ac:dyDescent="0.25">
      <c r="A105" s="16" t="s">
        <v>3</v>
      </c>
      <c r="B105" s="16" t="s">
        <v>6</v>
      </c>
      <c r="C105" s="17">
        <v>2</v>
      </c>
      <c r="D105" s="17">
        <v>3</v>
      </c>
      <c r="E105" s="17">
        <v>2</v>
      </c>
      <c r="F105" s="17">
        <f>AVERAGE(Table1436281284[[#This Row],[Teste 1]:[Teste 3]])</f>
        <v>2.3333333333333335</v>
      </c>
      <c r="G105" s="16"/>
      <c r="H105" s="16" t="s">
        <v>3</v>
      </c>
      <c r="I105" s="16" t="s">
        <v>6</v>
      </c>
      <c r="J105" s="17">
        <v>12</v>
      </c>
      <c r="K105" s="17">
        <v>10</v>
      </c>
      <c r="L105" s="17">
        <v>10</v>
      </c>
      <c r="M105" s="17">
        <f>AVERAGE(Table1436281284296[[#This Row],[Teste 1]:[Teste 3]])</f>
        <v>10.666666666666666</v>
      </c>
      <c r="N105" s="16"/>
      <c r="O105" s="16" t="s">
        <v>3</v>
      </c>
      <c r="P105" s="16" t="s">
        <v>6</v>
      </c>
      <c r="Q105" s="17">
        <v>2291</v>
      </c>
      <c r="R105" s="17">
        <v>1989</v>
      </c>
      <c r="S105" s="17">
        <v>2049</v>
      </c>
      <c r="T105" s="17">
        <f>AVERAGE(Table1436281284296308[[#This Row],[Teste 1]:[Teste 3]])</f>
        <v>2109.6666666666665</v>
      </c>
    </row>
    <row r="106" spans="1:20" x14ac:dyDescent="0.25">
      <c r="A106" s="16" t="s">
        <v>3</v>
      </c>
      <c r="B106" s="16" t="s">
        <v>7</v>
      </c>
      <c r="C106" s="17">
        <v>2</v>
      </c>
      <c r="D106" s="17">
        <v>3</v>
      </c>
      <c r="E106" s="17">
        <v>2</v>
      </c>
      <c r="F106" s="17">
        <f>AVERAGE(Table1436281284[[#This Row],[Teste 1]:[Teste 3]])</f>
        <v>2.3333333333333335</v>
      </c>
      <c r="G106" s="16"/>
      <c r="H106" s="16" t="s">
        <v>3</v>
      </c>
      <c r="I106" s="16" t="s">
        <v>7</v>
      </c>
      <c r="J106" s="17">
        <v>12</v>
      </c>
      <c r="K106" s="17">
        <v>10</v>
      </c>
      <c r="L106" s="17">
        <v>10</v>
      </c>
      <c r="M106" s="17">
        <f>AVERAGE(Table1436281284296[[#This Row],[Teste 1]:[Teste 3]])</f>
        <v>10.666666666666666</v>
      </c>
      <c r="N106" s="16"/>
      <c r="O106" s="16" t="s">
        <v>3</v>
      </c>
      <c r="P106" s="16" t="s">
        <v>7</v>
      </c>
      <c r="Q106" s="17">
        <v>2291</v>
      </c>
      <c r="R106" s="17">
        <v>1989</v>
      </c>
      <c r="S106" s="17">
        <v>2049</v>
      </c>
      <c r="T106" s="17">
        <f>AVERAGE(Table1436281284296308[[#This Row],[Teste 1]:[Teste 3]])</f>
        <v>2109.6666666666665</v>
      </c>
    </row>
    <row r="107" spans="1:20" x14ac:dyDescent="0.25">
      <c r="A107" s="16" t="s">
        <v>3</v>
      </c>
      <c r="B107" s="16" t="s">
        <v>8</v>
      </c>
      <c r="C107" s="17">
        <v>2</v>
      </c>
      <c r="D107" s="17">
        <v>3</v>
      </c>
      <c r="E107" s="17">
        <v>2</v>
      </c>
      <c r="F107" s="17">
        <f>AVERAGE(Table1436281284[[#This Row],[Teste 1]:[Teste 3]])</f>
        <v>2.3333333333333335</v>
      </c>
      <c r="G107" s="16"/>
      <c r="H107" s="16" t="s">
        <v>3</v>
      </c>
      <c r="I107" s="16" t="s">
        <v>8</v>
      </c>
      <c r="J107" s="17">
        <v>12</v>
      </c>
      <c r="K107" s="17">
        <v>10</v>
      </c>
      <c r="L107" s="17">
        <v>10</v>
      </c>
      <c r="M107" s="17">
        <f>AVERAGE(Table1436281284296[[#This Row],[Teste 1]:[Teste 3]])</f>
        <v>10.666666666666666</v>
      </c>
      <c r="N107" s="16"/>
      <c r="O107" s="16" t="s">
        <v>3</v>
      </c>
      <c r="P107" s="16" t="s">
        <v>8</v>
      </c>
      <c r="Q107" s="17">
        <v>2291</v>
      </c>
      <c r="R107" s="17">
        <v>1989</v>
      </c>
      <c r="S107" s="17">
        <v>2049</v>
      </c>
      <c r="T107" s="17">
        <f>AVERAGE(Table1436281284296308[[#This Row],[Teste 1]:[Teste 3]])</f>
        <v>2109.6666666666665</v>
      </c>
    </row>
    <row r="108" spans="1:20" x14ac:dyDescent="0.25">
      <c r="A108" s="16" t="s">
        <v>3</v>
      </c>
      <c r="B108" s="16" t="s">
        <v>9</v>
      </c>
      <c r="C108" s="17">
        <v>2</v>
      </c>
      <c r="D108" s="17">
        <v>3</v>
      </c>
      <c r="E108" s="17">
        <v>2</v>
      </c>
      <c r="F108" s="17">
        <f>AVERAGE(Table1436281284[[#This Row],[Teste 1]:[Teste 3]])</f>
        <v>2.3333333333333335</v>
      </c>
      <c r="G108" s="16"/>
      <c r="H108" s="16" t="s">
        <v>3</v>
      </c>
      <c r="I108" s="16" t="s">
        <v>9</v>
      </c>
      <c r="J108" s="17">
        <v>12</v>
      </c>
      <c r="K108" s="17">
        <v>10</v>
      </c>
      <c r="L108" s="17">
        <v>10</v>
      </c>
      <c r="M108" s="17">
        <f>AVERAGE(Table1436281284296[[#This Row],[Teste 1]:[Teste 3]])</f>
        <v>10.666666666666666</v>
      </c>
      <c r="N108" s="16"/>
      <c r="O108" s="16" t="s">
        <v>3</v>
      </c>
      <c r="P108" s="16" t="s">
        <v>9</v>
      </c>
      <c r="Q108" s="17">
        <v>2291</v>
      </c>
      <c r="R108" s="17">
        <v>1989</v>
      </c>
      <c r="S108" s="17">
        <v>2049</v>
      </c>
      <c r="T108" s="17">
        <f>AVERAGE(Table1436281284296308[[#This Row],[Teste 1]:[Teste 3]])</f>
        <v>2109.6666666666665</v>
      </c>
    </row>
    <row r="109" spans="1:20" x14ac:dyDescent="0.25">
      <c r="A109" s="16" t="s">
        <v>17</v>
      </c>
      <c r="B109" s="16" t="s">
        <v>4</v>
      </c>
      <c r="C109" s="17">
        <v>499028</v>
      </c>
      <c r="D109" s="17">
        <v>499713</v>
      </c>
      <c r="E109" s="17">
        <v>500330</v>
      </c>
      <c r="F109" s="17">
        <f>AVERAGE(Table1436281284[[#This Row],[Teste 1]:[Teste 3]])</f>
        <v>499690.33333333331</v>
      </c>
      <c r="G109" s="16"/>
      <c r="H109" s="16" t="s">
        <v>17</v>
      </c>
      <c r="I109" s="16" t="s">
        <v>4</v>
      </c>
      <c r="J109" s="17">
        <v>500032</v>
      </c>
      <c r="K109" s="17">
        <v>499713</v>
      </c>
      <c r="L109" s="17">
        <v>499540</v>
      </c>
      <c r="M109" s="17">
        <f>AVERAGE(Table1436281284296[[#This Row],[Teste 1]:[Teste 3]])</f>
        <v>499761.66666666669</v>
      </c>
      <c r="N109" s="16"/>
      <c r="O109" s="16" t="s">
        <v>17</v>
      </c>
      <c r="P109" s="16" t="s">
        <v>4</v>
      </c>
      <c r="Q109" s="17">
        <v>500033</v>
      </c>
      <c r="R109" s="17">
        <v>499950</v>
      </c>
      <c r="S109" s="17">
        <v>499541</v>
      </c>
      <c r="T109" s="17">
        <f>AVERAGE(Table1436281284296308[[#This Row],[Teste 1]:[Teste 3]])</f>
        <v>499841.33333333331</v>
      </c>
    </row>
    <row r="110" spans="1:20" x14ac:dyDescent="0.25">
      <c r="A110" s="16" t="s">
        <v>17</v>
      </c>
      <c r="B110" s="16" t="s">
        <v>5</v>
      </c>
      <c r="C110" s="17">
        <v>353.38421491379199</v>
      </c>
      <c r="D110" s="17">
        <v>274.94785206708599</v>
      </c>
      <c r="E110" s="17">
        <v>289.05200967361498</v>
      </c>
      <c r="F110" s="17">
        <f>AVERAGE(Table1436281284[[#This Row],[Teste 1]:[Teste 3]])</f>
        <v>305.7946922181643</v>
      </c>
      <c r="G110" s="16"/>
      <c r="H110" s="16" t="s">
        <v>17</v>
      </c>
      <c r="I110" s="16" t="s">
        <v>5</v>
      </c>
      <c r="J110" s="17">
        <v>1855.59</v>
      </c>
      <c r="K110" s="17">
        <v>1868.31</v>
      </c>
      <c r="L110" s="17">
        <v>1888.79</v>
      </c>
      <c r="M110" s="17">
        <f>AVERAGE(Table1436281284296[[#This Row],[Teste 1]:[Teste 3]])</f>
        <v>1870.8966666666665</v>
      </c>
      <c r="N110" s="16"/>
      <c r="O110" s="16" t="s">
        <v>17</v>
      </c>
      <c r="P110" s="16" t="s">
        <v>5</v>
      </c>
      <c r="Q110" s="17">
        <v>530.16840688514503</v>
      </c>
      <c r="R110" s="17">
        <v>533.80157215721499</v>
      </c>
      <c r="S110" s="17">
        <v>539.65298544063398</v>
      </c>
      <c r="T110" s="17">
        <f>AVERAGE(Table1436281284296308[[#This Row],[Teste 1]:[Teste 3]])</f>
        <v>534.54098816099804</v>
      </c>
    </row>
    <row r="111" spans="1:20" x14ac:dyDescent="0.25">
      <c r="A111" s="16" t="s">
        <v>17</v>
      </c>
      <c r="B111" s="16" t="s">
        <v>6</v>
      </c>
      <c r="C111" s="17">
        <v>103</v>
      </c>
      <c r="D111" s="17">
        <v>114</v>
      </c>
      <c r="E111" s="17">
        <v>114</v>
      </c>
      <c r="F111" s="17">
        <f>AVERAGE(Table1436281284[[#This Row],[Teste 1]:[Teste 3]])</f>
        <v>110.33333333333333</v>
      </c>
      <c r="G111" s="16"/>
      <c r="H111" s="16" t="s">
        <v>17</v>
      </c>
      <c r="I111" s="16" t="s">
        <v>6</v>
      </c>
      <c r="J111" s="17">
        <v>606</v>
      </c>
      <c r="K111" s="17">
        <v>595</v>
      </c>
      <c r="L111" s="17">
        <v>567</v>
      </c>
      <c r="M111" s="17">
        <f>AVERAGE(Table1436281284296[[#This Row],[Teste 1]:[Teste 3]])</f>
        <v>589.33333333333337</v>
      </c>
      <c r="N111" s="16"/>
      <c r="O111" s="16" t="s">
        <v>17</v>
      </c>
      <c r="P111" s="16" t="s">
        <v>6</v>
      </c>
      <c r="Q111" s="17">
        <v>173</v>
      </c>
      <c r="R111" s="17">
        <v>170</v>
      </c>
      <c r="S111" s="17">
        <v>162</v>
      </c>
      <c r="T111" s="17">
        <f>AVERAGE(Table1436281284296308[[#This Row],[Teste 1]:[Teste 3]])</f>
        <v>168.33333333333334</v>
      </c>
    </row>
    <row r="112" spans="1:20" x14ac:dyDescent="0.25">
      <c r="A112" s="16" t="s">
        <v>17</v>
      </c>
      <c r="B112" s="16" t="s">
        <v>7</v>
      </c>
      <c r="C112" s="17">
        <v>3074047</v>
      </c>
      <c r="D112" s="17">
        <v>2576383</v>
      </c>
      <c r="E112" s="17">
        <v>7487487</v>
      </c>
      <c r="F112" s="17">
        <f>AVERAGE(Table1436281284[[#This Row],[Teste 1]:[Teste 3]])</f>
        <v>4379305.666666667</v>
      </c>
      <c r="G112" s="16"/>
      <c r="H112" s="16" t="s">
        <v>17</v>
      </c>
      <c r="I112" s="16" t="s">
        <v>7</v>
      </c>
      <c r="J112" s="17">
        <v>6192893</v>
      </c>
      <c r="K112" s="17">
        <v>6970877</v>
      </c>
      <c r="L112" s="17">
        <v>6429693</v>
      </c>
      <c r="M112" s="17">
        <f>AVERAGE(Table1436281284296[[#This Row],[Teste 1]:[Teste 3]])</f>
        <v>6531154.333333333</v>
      </c>
      <c r="N112" s="16"/>
      <c r="O112" s="16" t="s">
        <v>17</v>
      </c>
      <c r="P112" s="16" t="s">
        <v>7</v>
      </c>
      <c r="Q112" s="17">
        <v>2912255</v>
      </c>
      <c r="R112" s="17">
        <v>1991679</v>
      </c>
      <c r="S112" s="17">
        <v>1837055</v>
      </c>
      <c r="T112" s="17">
        <f>AVERAGE(Table1436281284296308[[#This Row],[Teste 1]:[Teste 3]])</f>
        <v>2246996.3333333335</v>
      </c>
    </row>
    <row r="113" spans="1:20" x14ac:dyDescent="0.25">
      <c r="A113" s="16" t="s">
        <v>17</v>
      </c>
      <c r="B113" s="16" t="s">
        <v>8</v>
      </c>
      <c r="C113" s="17">
        <v>518</v>
      </c>
      <c r="D113" s="17">
        <v>428</v>
      </c>
      <c r="E113" s="17">
        <v>398</v>
      </c>
      <c r="F113" s="17">
        <f>AVERAGE(Table1436281284[[#This Row],[Teste 1]:[Teste 3]])</f>
        <v>448</v>
      </c>
      <c r="G113" s="16"/>
      <c r="H113" s="16" t="s">
        <v>17</v>
      </c>
      <c r="I113" s="16" t="s">
        <v>8</v>
      </c>
      <c r="J113" s="17">
        <v>3504</v>
      </c>
      <c r="K113" s="17">
        <v>3605</v>
      </c>
      <c r="L113" s="17">
        <v>3535</v>
      </c>
      <c r="M113" s="17">
        <f>AVERAGE(Table1436281284296[[#This Row],[Teste 1]:[Teste 3]])</f>
        <v>3548</v>
      </c>
      <c r="N113" s="16"/>
      <c r="O113" s="16" t="s">
        <v>17</v>
      </c>
      <c r="P113" s="16" t="s">
        <v>8</v>
      </c>
      <c r="Q113" s="17">
        <v>1001</v>
      </c>
      <c r="R113" s="17">
        <v>1030</v>
      </c>
      <c r="S113" s="17">
        <v>1010</v>
      </c>
      <c r="T113" s="17">
        <f>AVERAGE(Table1436281284296308[[#This Row],[Teste 1]:[Teste 3]])</f>
        <v>1013.6666666666666</v>
      </c>
    </row>
    <row r="114" spans="1:20" x14ac:dyDescent="0.25">
      <c r="A114" s="16" t="s">
        <v>17</v>
      </c>
      <c r="B114" s="16" t="s">
        <v>9</v>
      </c>
      <c r="C114" s="17">
        <v>1192</v>
      </c>
      <c r="D114" s="17">
        <v>750</v>
      </c>
      <c r="E114" s="17">
        <v>622</v>
      </c>
      <c r="F114" s="17">
        <f>AVERAGE(Table1436281284[[#This Row],[Teste 1]:[Teste 3]])</f>
        <v>854.66666666666663</v>
      </c>
      <c r="G114" s="16"/>
      <c r="H114" s="16" t="s">
        <v>17</v>
      </c>
      <c r="I114" s="16" t="s">
        <v>9</v>
      </c>
      <c r="J114" s="17">
        <v>10721</v>
      </c>
      <c r="K114" s="17">
        <v>10805</v>
      </c>
      <c r="L114" s="17">
        <v>11827</v>
      </c>
      <c r="M114" s="17">
        <f>AVERAGE(Table1436281284296[[#This Row],[Teste 1]:[Teste 3]])</f>
        <v>11117.666666666666</v>
      </c>
      <c r="N114" s="16"/>
      <c r="O114" s="16" t="s">
        <v>17</v>
      </c>
      <c r="P114" s="16" t="s">
        <v>9</v>
      </c>
      <c r="Q114" s="17">
        <v>3063</v>
      </c>
      <c r="R114" s="17">
        <v>3087</v>
      </c>
      <c r="S114" s="17">
        <v>3379</v>
      </c>
      <c r="T114" s="17">
        <f>AVERAGE(Table1436281284296308[[#This Row],[Teste 1]:[Teste 3]])</f>
        <v>3176.3333333333335</v>
      </c>
    </row>
    <row r="115" spans="1:20" x14ac:dyDescent="0.25">
      <c r="A115" s="16" t="s">
        <v>17</v>
      </c>
      <c r="B115" s="16" t="s">
        <v>11</v>
      </c>
      <c r="C115" s="17">
        <v>499028</v>
      </c>
      <c r="D115" s="17">
        <v>499713</v>
      </c>
      <c r="E115" s="17">
        <v>500330</v>
      </c>
      <c r="F115" s="17">
        <f>AVERAGE(Table1436281284[[#This Row],[Teste 1]:[Teste 3]])</f>
        <v>499690.33333333331</v>
      </c>
      <c r="G115" s="16"/>
      <c r="H115" s="16" t="s">
        <v>17</v>
      </c>
      <c r="I115" s="16" t="s">
        <v>11</v>
      </c>
      <c r="J115" s="17">
        <v>500032</v>
      </c>
      <c r="K115" s="17">
        <v>499713</v>
      </c>
      <c r="L115" s="17">
        <v>499540</v>
      </c>
      <c r="M115" s="17">
        <f>AVERAGE(Table1436281284296[[#This Row],[Teste 1]:[Teste 3]])</f>
        <v>499761.66666666669</v>
      </c>
      <c r="N115" s="16"/>
      <c r="O115" s="16" t="s">
        <v>17</v>
      </c>
      <c r="P115" s="16" t="s">
        <v>11</v>
      </c>
      <c r="Q115" s="17">
        <v>500033</v>
      </c>
      <c r="R115" s="17">
        <v>499950</v>
      </c>
      <c r="S115" s="17">
        <v>499541</v>
      </c>
      <c r="T115" s="17">
        <f>AVERAGE(Table1436281284296308[[#This Row],[Teste 1]:[Teste 3]])</f>
        <v>499841.33333333331</v>
      </c>
    </row>
    <row r="116" spans="1:20" x14ac:dyDescent="0.25">
      <c r="A116" s="16"/>
      <c r="B116" s="16"/>
      <c r="C116" s="17"/>
      <c r="D116" s="17"/>
      <c r="E116" s="17"/>
      <c r="F116" s="17"/>
      <c r="G116" s="16"/>
      <c r="H116" s="16"/>
      <c r="I116" s="16"/>
      <c r="J116" s="17"/>
      <c r="K116" s="17"/>
      <c r="L116" s="17"/>
      <c r="M116" s="17"/>
      <c r="N116" s="16"/>
      <c r="O116" s="16"/>
      <c r="P116" s="16"/>
      <c r="Q116" s="17"/>
      <c r="R116" s="17"/>
      <c r="S116" s="17"/>
      <c r="T116" s="17"/>
    </row>
    <row r="117" spans="1:20" x14ac:dyDescent="0.25">
      <c r="A117" s="16"/>
      <c r="B117" s="16"/>
      <c r="C117" s="17"/>
      <c r="D117" s="17"/>
      <c r="E117" s="17"/>
      <c r="F117" s="17"/>
      <c r="G117" s="16"/>
      <c r="H117" s="16"/>
      <c r="I117" s="16"/>
      <c r="J117" s="17"/>
      <c r="K117" s="17"/>
      <c r="L117" s="17"/>
      <c r="M117" s="17"/>
      <c r="N117" s="16"/>
      <c r="O117" s="16"/>
      <c r="P117" s="16"/>
      <c r="Q117" s="17"/>
      <c r="R117" s="17"/>
      <c r="S117" s="17"/>
      <c r="T117" s="17"/>
    </row>
    <row r="118" spans="1:20" x14ac:dyDescent="0.25">
      <c r="A118" s="16"/>
      <c r="B118" s="16"/>
      <c r="C118" s="17"/>
      <c r="D118" s="17"/>
      <c r="E118" s="17"/>
      <c r="F118" s="17"/>
      <c r="G118" s="16"/>
      <c r="H118" s="16"/>
      <c r="I118" s="16"/>
      <c r="J118" s="17"/>
      <c r="K118" s="17"/>
      <c r="L118" s="17"/>
      <c r="M118" s="17"/>
      <c r="N118" s="16"/>
      <c r="O118" s="16"/>
      <c r="P118" s="16"/>
      <c r="Q118" s="17"/>
      <c r="R118" s="17"/>
      <c r="S118" s="17"/>
      <c r="T118" s="17"/>
    </row>
    <row r="120" spans="1:20" ht="15.75" x14ac:dyDescent="0.25">
      <c r="A120" s="2" t="s">
        <v>74</v>
      </c>
      <c r="H120" s="2" t="s">
        <v>74</v>
      </c>
      <c r="O120" s="2" t="s">
        <v>74</v>
      </c>
    </row>
    <row r="121" spans="1:20" x14ac:dyDescent="0.25">
      <c r="A121" s="16" t="s">
        <v>59</v>
      </c>
      <c r="B121" s="16" t="s">
        <v>66</v>
      </c>
      <c r="C121" s="16" t="s">
        <v>82</v>
      </c>
      <c r="D121" s="16" t="s">
        <v>64</v>
      </c>
      <c r="E121" s="16" t="s">
        <v>63</v>
      </c>
      <c r="F121" s="16" t="s">
        <v>18</v>
      </c>
      <c r="G121" s="16"/>
      <c r="H121" s="16" t="s">
        <v>12</v>
      </c>
      <c r="I121" s="16" t="s">
        <v>66</v>
      </c>
      <c r="J121" s="16" t="s">
        <v>82</v>
      </c>
      <c r="K121" s="16" t="s">
        <v>64</v>
      </c>
      <c r="L121" s="16" t="s">
        <v>63</v>
      </c>
      <c r="M121" s="16" t="s">
        <v>18</v>
      </c>
      <c r="N121" s="16"/>
      <c r="O121" s="16" t="s">
        <v>13</v>
      </c>
      <c r="P121" s="16" t="s">
        <v>66</v>
      </c>
      <c r="Q121" s="16" t="s">
        <v>82</v>
      </c>
      <c r="R121" s="16" t="s">
        <v>64</v>
      </c>
      <c r="S121" s="16" t="s">
        <v>63</v>
      </c>
      <c r="T121" s="16" t="s">
        <v>18</v>
      </c>
    </row>
    <row r="122" spans="1:20" x14ac:dyDescent="0.25">
      <c r="A122" s="16" t="s">
        <v>0</v>
      </c>
      <c r="B122" s="16" t="s">
        <v>1</v>
      </c>
      <c r="C122" s="17">
        <v>499654</v>
      </c>
      <c r="D122" s="17">
        <v>1217358</v>
      </c>
      <c r="E122" s="17">
        <v>1396347</v>
      </c>
      <c r="F122" s="17">
        <f>AVERAGE(Table1436281282285[[#This Row],[Teste 1]:[Teste 3]])</f>
        <v>1037786.3333333334</v>
      </c>
      <c r="G122" s="16"/>
      <c r="H122" s="16" t="s">
        <v>0</v>
      </c>
      <c r="I122" s="16" t="s">
        <v>1</v>
      </c>
      <c r="J122" s="17">
        <v>1311022</v>
      </c>
      <c r="K122" s="17">
        <v>1264178</v>
      </c>
      <c r="L122" s="17">
        <v>1261323</v>
      </c>
      <c r="M122" s="17">
        <f>AVERAGE(Table1436281282285297[[#This Row],[Teste 1]:[Teste 3]])</f>
        <v>1278841</v>
      </c>
      <c r="N122" s="16"/>
      <c r="O122" s="16" t="s">
        <v>0</v>
      </c>
      <c r="P122" s="16" t="s">
        <v>1</v>
      </c>
      <c r="Q122" s="17">
        <v>304889</v>
      </c>
      <c r="R122" s="17">
        <v>293995</v>
      </c>
      <c r="S122" s="17">
        <v>293331</v>
      </c>
      <c r="T122" s="17">
        <f>AVERAGE(Table1436281282285297309[[#This Row],[Teste 1]:[Teste 3]])</f>
        <v>297405</v>
      </c>
    </row>
    <row r="123" spans="1:20" x14ac:dyDescent="0.25">
      <c r="A123" s="16" t="s">
        <v>0</v>
      </c>
      <c r="B123" s="16" t="s">
        <v>2</v>
      </c>
      <c r="C123" s="17">
        <v>840.14551320288604</v>
      </c>
      <c r="D123" s="17">
        <v>793.45410456617003</v>
      </c>
      <c r="E123" s="17">
        <v>716.154365641205</v>
      </c>
      <c r="F123" s="17">
        <f>AVERAGE(Table1436281282285[[#This Row],[Teste 1]:[Teste 3]])</f>
        <v>783.25132780342028</v>
      </c>
      <c r="G123" s="16"/>
      <c r="H123" s="16" t="s">
        <v>0</v>
      </c>
      <c r="I123" s="16" t="s">
        <v>2</v>
      </c>
      <c r="J123" s="17">
        <v>762.76</v>
      </c>
      <c r="K123" s="17">
        <v>791.03</v>
      </c>
      <c r="L123" s="17">
        <v>792.82</v>
      </c>
      <c r="M123" s="17">
        <f>AVERAGE(Table1436281282285297[[#This Row],[Teste 1]:[Teste 3]])</f>
        <v>782.20333333333338</v>
      </c>
      <c r="N123" s="16"/>
      <c r="O123" s="16" t="s">
        <v>0</v>
      </c>
      <c r="P123" s="16" t="s">
        <v>2</v>
      </c>
      <c r="Q123" s="17">
        <v>3279.8821866318499</v>
      </c>
      <c r="R123" s="17">
        <v>3401.4183914692399</v>
      </c>
      <c r="S123" s="17">
        <v>3409.1180270752102</v>
      </c>
      <c r="T123" s="17">
        <f>AVERAGE(Table1436281282285297309[[#This Row],[Teste 1]:[Teste 3]])</f>
        <v>3363.4728683920998</v>
      </c>
    </row>
    <row r="124" spans="1:20" x14ac:dyDescent="0.25">
      <c r="A124" s="16" t="s">
        <v>16</v>
      </c>
      <c r="B124" s="16" t="s">
        <v>4</v>
      </c>
      <c r="C124" s="17">
        <v>499654</v>
      </c>
      <c r="D124" s="17">
        <v>500176</v>
      </c>
      <c r="E124" s="17">
        <v>499622</v>
      </c>
      <c r="F124" s="17">
        <f>AVERAGE(Table1436281282285[[#This Row],[Teste 1]:[Teste 3]])</f>
        <v>499817.33333333331</v>
      </c>
      <c r="G124" s="16"/>
      <c r="H124" s="16" t="s">
        <v>16</v>
      </c>
      <c r="I124" s="16" t="s">
        <v>4</v>
      </c>
      <c r="J124" s="17">
        <v>400345</v>
      </c>
      <c r="K124" s="17">
        <v>400377</v>
      </c>
      <c r="L124" s="17">
        <v>400315</v>
      </c>
      <c r="M124" s="17">
        <f>AVERAGE(Table1436281282285297[[#This Row],[Teste 1]:[Teste 3]])</f>
        <v>400345.66666666669</v>
      </c>
      <c r="N124" s="16"/>
      <c r="O124" s="16" t="s">
        <v>16</v>
      </c>
      <c r="P124" s="16" t="s">
        <v>4</v>
      </c>
      <c r="Q124" s="17">
        <v>500012</v>
      </c>
      <c r="R124" s="17">
        <v>499680</v>
      </c>
      <c r="S124" s="17">
        <v>499637</v>
      </c>
      <c r="T124" s="17">
        <f>AVERAGE(Table1436281282285297309[[#This Row],[Teste 1]:[Teste 3]])</f>
        <v>499776.33333333331</v>
      </c>
    </row>
    <row r="125" spans="1:20" x14ac:dyDescent="0.25">
      <c r="A125" s="16" t="s">
        <v>16</v>
      </c>
      <c r="B125" s="16" t="s">
        <v>5</v>
      </c>
      <c r="C125" s="17">
        <v>6429.2708874541104</v>
      </c>
      <c r="D125" s="17">
        <v>4519.1733949649697</v>
      </c>
      <c r="E125" s="17">
        <v>7750.4059989351899</v>
      </c>
      <c r="F125" s="17">
        <f>AVERAGE(Table1436281282285[[#This Row],[Teste 1]:[Teste 3]])</f>
        <v>6232.9500937847579</v>
      </c>
      <c r="G125" s="16"/>
      <c r="H125" s="16" t="s">
        <v>16</v>
      </c>
      <c r="I125" s="16" t="s">
        <v>5</v>
      </c>
      <c r="J125" s="17">
        <v>3518.34</v>
      </c>
      <c r="K125" s="17">
        <v>3510.91</v>
      </c>
      <c r="L125" s="17">
        <v>3425.4</v>
      </c>
      <c r="M125" s="17">
        <f>AVERAGE(Table1436281282285297[[#This Row],[Teste 1]:[Teste 3]])</f>
        <v>3484.8833333333332</v>
      </c>
      <c r="N125" s="16"/>
      <c r="O125" s="16" t="s">
        <v>16</v>
      </c>
      <c r="P125" s="16" t="s">
        <v>5</v>
      </c>
      <c r="Q125" s="17">
        <v>818.21854275497299</v>
      </c>
      <c r="R125" s="17">
        <v>816.49003762407904</v>
      </c>
      <c r="S125" s="17">
        <v>796.60511531371696</v>
      </c>
      <c r="T125" s="17">
        <f>AVERAGE(Table1436281282285297309[[#This Row],[Teste 1]:[Teste 3]])</f>
        <v>810.43789856425622</v>
      </c>
    </row>
    <row r="126" spans="1:20" x14ac:dyDescent="0.25">
      <c r="A126" s="16" t="s">
        <v>16</v>
      </c>
      <c r="B126" s="16" t="s">
        <v>6</v>
      </c>
      <c r="C126" s="17">
        <v>88</v>
      </c>
      <c r="D126" s="17">
        <v>88</v>
      </c>
      <c r="E126" s="17">
        <v>91</v>
      </c>
      <c r="F126" s="17">
        <f>AVERAGE(Table1436281282285[[#This Row],[Teste 1]:[Teste 3]])</f>
        <v>89</v>
      </c>
      <c r="G126" s="16"/>
      <c r="H126" s="16" t="s">
        <v>16</v>
      </c>
      <c r="I126" s="16" t="s">
        <v>6</v>
      </c>
      <c r="J126" s="17">
        <v>482</v>
      </c>
      <c r="K126" s="17">
        <v>490</v>
      </c>
      <c r="L126" s="17">
        <v>473</v>
      </c>
      <c r="M126" s="17">
        <f>AVERAGE(Table1436281282285297[[#This Row],[Teste 1]:[Teste 3]])</f>
        <v>481.66666666666669</v>
      </c>
      <c r="N126" s="16"/>
      <c r="O126" s="16" t="s">
        <v>16</v>
      </c>
      <c r="P126" s="16" t="s">
        <v>6</v>
      </c>
      <c r="Q126" s="17">
        <v>112</v>
      </c>
      <c r="R126" s="17">
        <v>114</v>
      </c>
      <c r="S126" s="17">
        <v>110</v>
      </c>
      <c r="T126" s="17">
        <f>AVERAGE(Table1436281282285297309[[#This Row],[Teste 1]:[Teste 3]])</f>
        <v>112</v>
      </c>
    </row>
    <row r="127" spans="1:20" x14ac:dyDescent="0.25">
      <c r="A127" s="16" t="s">
        <v>16</v>
      </c>
      <c r="B127" s="16" t="s">
        <v>7</v>
      </c>
      <c r="C127" s="17">
        <v>8486911</v>
      </c>
      <c r="D127" s="17">
        <v>4710399</v>
      </c>
      <c r="E127" s="17">
        <v>5849087</v>
      </c>
      <c r="F127" s="17">
        <f>AVERAGE(Table1436281282285[[#This Row],[Teste 1]:[Teste 3]])</f>
        <v>6348799</v>
      </c>
      <c r="G127" s="16"/>
      <c r="H127" s="16" t="s">
        <v>16</v>
      </c>
      <c r="I127" s="16" t="s">
        <v>7</v>
      </c>
      <c r="J127" s="17">
        <v>5627285</v>
      </c>
      <c r="K127" s="17">
        <v>5433545</v>
      </c>
      <c r="L127" s="17">
        <v>7221243</v>
      </c>
      <c r="M127" s="17">
        <f>AVERAGE(Table1436281282285297[[#This Row],[Teste 1]:[Teste 3]])</f>
        <v>6094024.333333333</v>
      </c>
      <c r="N127" s="16"/>
      <c r="O127" s="16" t="s">
        <v>16</v>
      </c>
      <c r="P127" s="16" t="s">
        <v>7</v>
      </c>
      <c r="Q127" s="17">
        <v>1308671</v>
      </c>
      <c r="R127" s="17">
        <v>1263615</v>
      </c>
      <c r="S127" s="17">
        <v>1679359</v>
      </c>
      <c r="T127" s="17">
        <f>AVERAGE(Table1436281282285297309[[#This Row],[Teste 1]:[Teste 3]])</f>
        <v>1417215</v>
      </c>
    </row>
    <row r="128" spans="1:20" x14ac:dyDescent="0.25">
      <c r="A128" s="16" t="s">
        <v>16</v>
      </c>
      <c r="B128" s="16" t="s">
        <v>8</v>
      </c>
      <c r="C128" s="17">
        <v>3223</v>
      </c>
      <c r="D128" s="17">
        <v>611</v>
      </c>
      <c r="E128" s="17">
        <v>8415</v>
      </c>
      <c r="F128" s="17">
        <f>AVERAGE(Table1436281282285[[#This Row],[Teste 1]:[Teste 3]])</f>
        <v>4083</v>
      </c>
      <c r="G128" s="16"/>
      <c r="H128" s="16" t="s">
        <v>16</v>
      </c>
      <c r="I128" s="16" t="s">
        <v>8</v>
      </c>
      <c r="J128" s="17">
        <v>10522</v>
      </c>
      <c r="K128" s="17">
        <v>10272</v>
      </c>
      <c r="L128" s="17">
        <v>10298</v>
      </c>
      <c r="M128" s="17">
        <f>AVERAGE(Table1436281282285297[[#This Row],[Teste 1]:[Teste 3]])</f>
        <v>10364</v>
      </c>
      <c r="N128" s="16"/>
      <c r="O128" s="16" t="s">
        <v>16</v>
      </c>
      <c r="P128" s="16" t="s">
        <v>8</v>
      </c>
      <c r="Q128" s="17">
        <v>2447</v>
      </c>
      <c r="R128" s="17">
        <v>2389</v>
      </c>
      <c r="S128" s="17">
        <v>2395</v>
      </c>
      <c r="T128" s="17">
        <f>AVERAGE(Table1436281282285297309[[#This Row],[Teste 1]:[Teste 3]])</f>
        <v>2410.3333333333335</v>
      </c>
    </row>
    <row r="129" spans="1:22" x14ac:dyDescent="0.25">
      <c r="A129" s="16" t="s">
        <v>16</v>
      </c>
      <c r="B129" s="16" t="s">
        <v>9</v>
      </c>
      <c r="C129" s="17">
        <v>65919</v>
      </c>
      <c r="D129" s="17">
        <v>67519</v>
      </c>
      <c r="E129" s="17">
        <v>73727</v>
      </c>
      <c r="F129" s="17">
        <f>AVERAGE(Table1436281282285[[#This Row],[Teste 1]:[Teste 3]])</f>
        <v>69055</v>
      </c>
      <c r="G129" s="16"/>
      <c r="H129" s="16" t="s">
        <v>16</v>
      </c>
      <c r="I129" s="16" t="s">
        <v>9</v>
      </c>
      <c r="J129" s="17">
        <v>41069</v>
      </c>
      <c r="K129" s="17">
        <v>43890</v>
      </c>
      <c r="L129" s="17">
        <v>42996</v>
      </c>
      <c r="M129" s="17">
        <f>AVERAGE(Table1436281282285297[[#This Row],[Teste 1]:[Teste 3]])</f>
        <v>42651.666666666664</v>
      </c>
      <c r="N129" s="16"/>
      <c r="O129" s="16" t="s">
        <v>16</v>
      </c>
      <c r="P129" s="16" t="s">
        <v>9</v>
      </c>
      <c r="Q129" s="17">
        <v>9551</v>
      </c>
      <c r="R129" s="17">
        <v>10207</v>
      </c>
      <c r="S129" s="17">
        <v>9999</v>
      </c>
      <c r="T129" s="17">
        <f>AVERAGE(Table1436281282285297309[[#This Row],[Teste 1]:[Teste 3]])</f>
        <v>9919</v>
      </c>
    </row>
    <row r="130" spans="1:22" x14ac:dyDescent="0.25">
      <c r="A130" s="16" t="s">
        <v>16</v>
      </c>
      <c r="B130" s="16" t="s">
        <v>11</v>
      </c>
      <c r="C130" s="17">
        <v>499654</v>
      </c>
      <c r="D130" s="17">
        <v>500176</v>
      </c>
      <c r="E130" s="17">
        <v>499622</v>
      </c>
      <c r="F130" s="17">
        <f>AVERAGE(Table1436281282285[[#This Row],[Teste 1]:[Teste 3]])</f>
        <v>499817.33333333331</v>
      </c>
      <c r="G130" s="16"/>
      <c r="H130" s="16" t="s">
        <v>16</v>
      </c>
      <c r="I130" s="16" t="s">
        <v>11</v>
      </c>
      <c r="J130" s="17">
        <v>400345</v>
      </c>
      <c r="K130" s="17">
        <v>400377</v>
      </c>
      <c r="L130" s="17">
        <v>400315</v>
      </c>
      <c r="M130" s="17">
        <f>AVERAGE(Table1436281282285297[[#This Row],[Teste 1]:[Teste 3]])</f>
        <v>400345.66666666669</v>
      </c>
      <c r="N130" s="16"/>
      <c r="O130" s="16" t="s">
        <v>16</v>
      </c>
      <c r="P130" s="16" t="s">
        <v>11</v>
      </c>
      <c r="Q130" s="17">
        <v>500012</v>
      </c>
      <c r="R130" s="17">
        <v>499680</v>
      </c>
      <c r="S130" s="17">
        <v>499637</v>
      </c>
      <c r="T130" s="17">
        <f>AVERAGE(Table1436281282285297309[[#This Row],[Teste 1]:[Teste 3]])</f>
        <v>499776.33333333331</v>
      </c>
    </row>
    <row r="131" spans="1:22" x14ac:dyDescent="0.25">
      <c r="A131" s="16" t="s">
        <v>3</v>
      </c>
      <c r="B131" s="16" t="s">
        <v>4</v>
      </c>
      <c r="C131" s="17">
        <v>3</v>
      </c>
      <c r="D131" s="17">
        <v>3</v>
      </c>
      <c r="E131" s="17">
        <v>3</v>
      </c>
      <c r="F131" s="17">
        <f>AVERAGE(Table1436281282285[[#This Row],[Teste 1]:[Teste 3]])</f>
        <v>3</v>
      </c>
      <c r="G131" s="16"/>
      <c r="H131" s="16" t="s">
        <v>3</v>
      </c>
      <c r="I131" s="16" t="s">
        <v>4</v>
      </c>
      <c r="J131" s="17">
        <v>3</v>
      </c>
      <c r="K131" s="17">
        <v>3</v>
      </c>
      <c r="L131" s="17">
        <v>3</v>
      </c>
      <c r="M131" s="17">
        <f>AVERAGE(Table1436281282285297[[#This Row],[Teste 1]:[Teste 3]])</f>
        <v>3</v>
      </c>
      <c r="N131" s="16"/>
      <c r="O131" s="16" t="s">
        <v>3</v>
      </c>
      <c r="P131" s="16" t="s">
        <v>4</v>
      </c>
      <c r="Q131" s="17">
        <v>3</v>
      </c>
      <c r="R131" s="17">
        <v>3</v>
      </c>
      <c r="S131" s="17">
        <v>3</v>
      </c>
      <c r="T131" s="17">
        <f>AVERAGE(Table1436281282285297309[[#This Row],[Teste 1]:[Teste 3]])</f>
        <v>3</v>
      </c>
    </row>
    <row r="132" spans="1:22" x14ac:dyDescent="0.25">
      <c r="A132" s="16" t="s">
        <v>3</v>
      </c>
      <c r="B132" s="16" t="s">
        <v>5</v>
      </c>
      <c r="C132" s="17">
        <v>1.3333333333333299</v>
      </c>
      <c r="D132" s="17">
        <v>0.66666666666666596</v>
      </c>
      <c r="E132" s="17">
        <v>1.3333333333333299</v>
      </c>
      <c r="F132" s="17">
        <f>AVERAGE(Table1436281282285[[#This Row],[Teste 1]:[Teste 3]])</f>
        <v>1.1111111111111087</v>
      </c>
      <c r="G132" s="16"/>
      <c r="H132" s="16" t="s">
        <v>3</v>
      </c>
      <c r="I132" s="16" t="s">
        <v>5</v>
      </c>
      <c r="J132" s="17">
        <v>1.3333299999999999</v>
      </c>
      <c r="K132" s="17">
        <v>0.33329999999999999</v>
      </c>
      <c r="L132" s="17">
        <v>1.3332999999999999</v>
      </c>
      <c r="M132" s="17">
        <f>AVERAGE(Table1436281282285297[[#This Row],[Teste 1]:[Teste 3]])</f>
        <v>0.99997666666666662</v>
      </c>
      <c r="N132" s="16"/>
      <c r="O132" s="16" t="s">
        <v>3</v>
      </c>
      <c r="P132" s="16" t="s">
        <v>5</v>
      </c>
      <c r="Q132" s="17">
        <v>804.66666666666595</v>
      </c>
      <c r="R132" s="17">
        <v>1505.6666666666599</v>
      </c>
      <c r="S132" s="17">
        <v>792.33333333333303</v>
      </c>
      <c r="T132" s="17">
        <f>AVERAGE(Table1436281282285297309[[#This Row],[Teste 1]:[Teste 3]])</f>
        <v>1034.2222222222197</v>
      </c>
    </row>
    <row r="133" spans="1:22" x14ac:dyDescent="0.25">
      <c r="A133" s="16" t="s">
        <v>3</v>
      </c>
      <c r="B133" s="16" t="s">
        <v>6</v>
      </c>
      <c r="C133" s="17">
        <v>1</v>
      </c>
      <c r="D133" s="17">
        <v>0</v>
      </c>
      <c r="E133" s="17">
        <v>0</v>
      </c>
      <c r="F133" s="17">
        <f>AVERAGE(Table1436281282285[[#This Row],[Teste 1]:[Teste 3]])</f>
        <v>0.33333333333333331</v>
      </c>
      <c r="G133" s="16"/>
      <c r="H133" s="16" t="s">
        <v>3</v>
      </c>
      <c r="I133" s="16" t="s">
        <v>6</v>
      </c>
      <c r="J133" s="17">
        <v>0</v>
      </c>
      <c r="K133" s="17">
        <v>0</v>
      </c>
      <c r="L133" s="17">
        <v>0</v>
      </c>
      <c r="M133" s="17">
        <f>AVERAGE(Table1436281282285297[[#This Row],[Teste 1]:[Teste 3]])</f>
        <v>0</v>
      </c>
      <c r="N133" s="16"/>
      <c r="O133" s="16" t="s">
        <v>3</v>
      </c>
      <c r="P133" s="16" t="s">
        <v>6</v>
      </c>
      <c r="Q133" s="17">
        <v>2</v>
      </c>
      <c r="R133" s="17">
        <v>1</v>
      </c>
      <c r="S133" s="17">
        <v>2</v>
      </c>
      <c r="T133" s="17">
        <f>AVERAGE(Table1436281282285297309[[#This Row],[Teste 1]:[Teste 3]])</f>
        <v>1.6666666666666667</v>
      </c>
    </row>
    <row r="134" spans="1:22" x14ac:dyDescent="0.25">
      <c r="A134" s="16" t="s">
        <v>3</v>
      </c>
      <c r="B134" s="16" t="s">
        <v>7</v>
      </c>
      <c r="C134" s="17">
        <v>2</v>
      </c>
      <c r="D134" s="17">
        <v>2</v>
      </c>
      <c r="E134" s="17">
        <v>3</v>
      </c>
      <c r="F134" s="17">
        <f>AVERAGE(Table1436281282285[[#This Row],[Teste 1]:[Teste 3]])</f>
        <v>2.3333333333333335</v>
      </c>
      <c r="G134" s="16"/>
      <c r="H134" s="16" t="s">
        <v>3</v>
      </c>
      <c r="I134" s="16" t="s">
        <v>7</v>
      </c>
      <c r="J134" s="17">
        <v>3</v>
      </c>
      <c r="K134" s="17">
        <v>3</v>
      </c>
      <c r="L134" s="17">
        <v>3</v>
      </c>
      <c r="M134" s="17">
        <f>AVERAGE(Table1436281282285297[[#This Row],[Teste 1]:[Teste 3]])</f>
        <v>3</v>
      </c>
      <c r="N134" s="16"/>
      <c r="O134" s="16" t="s">
        <v>3</v>
      </c>
      <c r="P134" s="16" t="s">
        <v>7</v>
      </c>
      <c r="Q134" s="17">
        <v>2407</v>
      </c>
      <c r="R134" s="17">
        <v>4511</v>
      </c>
      <c r="S134" s="17">
        <v>2369</v>
      </c>
      <c r="T134" s="17">
        <f>AVERAGE(Table1436281282285297309[[#This Row],[Teste 1]:[Teste 3]])</f>
        <v>3095.6666666666665</v>
      </c>
      <c r="V134" s="15"/>
    </row>
    <row r="135" spans="1:22" x14ac:dyDescent="0.25">
      <c r="A135" s="16" t="s">
        <v>3</v>
      </c>
      <c r="B135" s="16" t="s">
        <v>8</v>
      </c>
      <c r="C135" s="17">
        <v>2</v>
      </c>
      <c r="D135" s="17">
        <v>2</v>
      </c>
      <c r="E135" s="17">
        <v>3</v>
      </c>
      <c r="F135" s="17">
        <f>AVERAGE(Table1436281282285[[#This Row],[Teste 1]:[Teste 3]])</f>
        <v>2.3333333333333335</v>
      </c>
      <c r="G135" s="16"/>
      <c r="H135" s="16" t="s">
        <v>3</v>
      </c>
      <c r="I135" s="16" t="s">
        <v>8</v>
      </c>
      <c r="J135" s="17">
        <v>3</v>
      </c>
      <c r="K135" s="17">
        <v>3</v>
      </c>
      <c r="L135" s="17">
        <v>3</v>
      </c>
      <c r="M135" s="17">
        <f>AVERAGE(Table1436281282285297[[#This Row],[Teste 1]:[Teste 3]])</f>
        <v>3</v>
      </c>
      <c r="N135" s="16"/>
      <c r="O135" s="16" t="s">
        <v>3</v>
      </c>
      <c r="P135" s="16" t="s">
        <v>8</v>
      </c>
      <c r="Q135" s="17">
        <v>2407</v>
      </c>
      <c r="R135" s="17">
        <v>4511</v>
      </c>
      <c r="S135" s="17">
        <v>2369</v>
      </c>
      <c r="T135" s="17">
        <f>AVERAGE(Table1436281282285297309[[#This Row],[Teste 1]:[Teste 3]])</f>
        <v>3095.6666666666665</v>
      </c>
      <c r="V135" s="15"/>
    </row>
    <row r="136" spans="1:22" x14ac:dyDescent="0.25">
      <c r="A136" s="16" t="s">
        <v>3</v>
      </c>
      <c r="B136" s="16" t="s">
        <v>9</v>
      </c>
      <c r="C136" s="17">
        <v>2</v>
      </c>
      <c r="D136" s="17">
        <v>2</v>
      </c>
      <c r="E136" s="17">
        <v>3</v>
      </c>
      <c r="F136" s="17">
        <f>AVERAGE(Table1436281282285[[#This Row],[Teste 1]:[Teste 3]])</f>
        <v>2.3333333333333335</v>
      </c>
      <c r="G136" s="16"/>
      <c r="H136" s="16" t="s">
        <v>3</v>
      </c>
      <c r="I136" s="16" t="s">
        <v>9</v>
      </c>
      <c r="J136" s="17">
        <v>3</v>
      </c>
      <c r="K136" s="17">
        <v>3</v>
      </c>
      <c r="L136" s="17">
        <v>3</v>
      </c>
      <c r="M136" s="17">
        <f>AVERAGE(Table1436281282285297[[#This Row],[Teste 1]:[Teste 3]])</f>
        <v>3</v>
      </c>
      <c r="N136" s="16"/>
      <c r="O136" s="16" t="s">
        <v>3</v>
      </c>
      <c r="P136" s="16" t="s">
        <v>9</v>
      </c>
      <c r="Q136" s="17">
        <v>2407</v>
      </c>
      <c r="R136" s="17">
        <v>4511</v>
      </c>
      <c r="S136" s="17">
        <v>2369</v>
      </c>
      <c r="T136" s="17">
        <f>AVERAGE(Table1436281282285297309[[#This Row],[Teste 1]:[Teste 3]])</f>
        <v>3095.6666666666665</v>
      </c>
    </row>
    <row r="137" spans="1:22" x14ac:dyDescent="0.25">
      <c r="A137" s="16" t="s">
        <v>17</v>
      </c>
      <c r="B137" s="16" t="s">
        <v>4</v>
      </c>
      <c r="C137" s="17">
        <v>500346</v>
      </c>
      <c r="D137" s="17">
        <v>499824</v>
      </c>
      <c r="E137" s="17">
        <v>500378</v>
      </c>
      <c r="F137" s="17">
        <f>AVERAGE(Table1436281282285[[#This Row],[Teste 1]:[Teste 3]])</f>
        <v>500182.66666666669</v>
      </c>
      <c r="G137" s="16"/>
      <c r="H137" s="16" t="s">
        <v>17</v>
      </c>
      <c r="I137" s="16" t="s">
        <v>4</v>
      </c>
      <c r="J137" s="17">
        <v>500345</v>
      </c>
      <c r="K137" s="17">
        <v>500377</v>
      </c>
      <c r="L137" s="17">
        <v>500315</v>
      </c>
      <c r="M137" s="17">
        <f>AVERAGE(Table1436281282285297[[#This Row],[Teste 1]:[Teste 3]])</f>
        <v>500345.66666666669</v>
      </c>
      <c r="N137" s="16"/>
      <c r="O137" s="16" t="s">
        <v>17</v>
      </c>
      <c r="P137" s="16" t="s">
        <v>4</v>
      </c>
      <c r="Q137" s="17">
        <v>499988</v>
      </c>
      <c r="R137" s="17">
        <v>500320</v>
      </c>
      <c r="S137" s="17">
        <v>500363</v>
      </c>
      <c r="T137" s="17">
        <f>AVERAGE(Table1436281282285297309[[#This Row],[Teste 1]:[Teste 3]])</f>
        <v>500223.66666666669</v>
      </c>
      <c r="V137" s="15"/>
    </row>
    <row r="138" spans="1:22" x14ac:dyDescent="0.25">
      <c r="A138" s="16" t="s">
        <v>17</v>
      </c>
      <c r="B138" s="16" t="s">
        <v>5</v>
      </c>
      <c r="C138" s="17">
        <v>575.58380600624298</v>
      </c>
      <c r="D138" s="17">
        <v>293.495786516853</v>
      </c>
      <c r="E138" s="17">
        <v>575.36941072549098</v>
      </c>
      <c r="F138" s="17">
        <f>AVERAGE(Table1436281282285[[#This Row],[Teste 1]:[Teste 3]])</f>
        <v>481.4830010828623</v>
      </c>
      <c r="G138" s="16"/>
      <c r="H138" s="16" t="s">
        <v>17</v>
      </c>
      <c r="I138" s="16" t="s">
        <v>5</v>
      </c>
      <c r="J138" s="17">
        <v>4277.2</v>
      </c>
      <c r="K138" s="17">
        <v>3997.04</v>
      </c>
      <c r="L138" s="17">
        <v>4075.82</v>
      </c>
      <c r="M138" s="17">
        <f>AVERAGE(Table1436281282285297[[#This Row],[Teste 1]:[Teste 3]])</f>
        <v>4116.6866666666665</v>
      </c>
      <c r="N138" s="16"/>
      <c r="O138" s="16" t="s">
        <v>17</v>
      </c>
      <c r="P138" s="16" t="s">
        <v>5</v>
      </c>
      <c r="Q138" s="17">
        <v>994.69716473195297</v>
      </c>
      <c r="R138" s="17">
        <v>929.54296450271795</v>
      </c>
      <c r="S138" s="17">
        <v>947.86523583878102</v>
      </c>
      <c r="T138" s="17">
        <f>AVERAGE(Table1436281282285297309[[#This Row],[Teste 1]:[Teste 3]])</f>
        <v>957.36845502448398</v>
      </c>
    </row>
    <row r="139" spans="1:22" x14ac:dyDescent="0.25">
      <c r="A139" s="16" t="s">
        <v>17</v>
      </c>
      <c r="B139" s="16" t="s">
        <v>6</v>
      </c>
      <c r="C139" s="17">
        <v>113</v>
      </c>
      <c r="D139" s="17">
        <v>116</v>
      </c>
      <c r="E139" s="17">
        <v>113</v>
      </c>
      <c r="F139" s="17">
        <f>AVERAGE(Table1436281282285[[#This Row],[Teste 1]:[Teste 3]])</f>
        <v>114</v>
      </c>
      <c r="G139" s="16"/>
      <c r="H139" s="16" t="s">
        <v>17</v>
      </c>
      <c r="I139" s="16" t="s">
        <v>6</v>
      </c>
      <c r="J139" s="17">
        <v>800</v>
      </c>
      <c r="K139" s="17">
        <v>727</v>
      </c>
      <c r="L139" s="17">
        <v>774</v>
      </c>
      <c r="M139" s="17">
        <f>AVERAGE(Table1436281282285297[[#This Row],[Teste 1]:[Teste 3]])</f>
        <v>767</v>
      </c>
      <c r="N139" s="16"/>
      <c r="O139" s="16" t="s">
        <v>17</v>
      </c>
      <c r="P139" s="16" t="s">
        <v>6</v>
      </c>
      <c r="Q139" s="17">
        <v>186</v>
      </c>
      <c r="R139" s="17">
        <v>169</v>
      </c>
      <c r="S139" s="17">
        <v>180</v>
      </c>
      <c r="T139" s="17">
        <f>AVERAGE(Table1436281282285297309[[#This Row],[Teste 1]:[Teste 3]])</f>
        <v>178.33333333333334</v>
      </c>
    </row>
    <row r="140" spans="1:22" x14ac:dyDescent="0.25">
      <c r="A140" s="16" t="s">
        <v>17</v>
      </c>
      <c r="B140" s="16" t="s">
        <v>7</v>
      </c>
      <c r="C140" s="17">
        <v>2822143</v>
      </c>
      <c r="D140" s="17">
        <v>2502655</v>
      </c>
      <c r="E140" s="17">
        <v>3047423</v>
      </c>
      <c r="F140" s="17">
        <f>AVERAGE(Table1436281282285[[#This Row],[Teste 1]:[Teste 3]])</f>
        <v>2790740.3333333335</v>
      </c>
      <c r="G140" s="16"/>
      <c r="H140" s="16" t="s">
        <v>17</v>
      </c>
      <c r="I140" s="16" t="s">
        <v>7</v>
      </c>
      <c r="J140" s="17">
        <v>5627285</v>
      </c>
      <c r="K140" s="17">
        <v>4260092</v>
      </c>
      <c r="L140" s="17">
        <v>4221244</v>
      </c>
      <c r="M140" s="17">
        <f>AVERAGE(Table1436281282285297[[#This Row],[Teste 1]:[Teste 3]])</f>
        <v>4702873.666666667</v>
      </c>
      <c r="N140" s="16"/>
      <c r="O140" s="16" t="s">
        <v>17</v>
      </c>
      <c r="P140" s="16" t="s">
        <v>7</v>
      </c>
      <c r="Q140" s="17">
        <v>1308671</v>
      </c>
      <c r="R140" s="17">
        <v>990719</v>
      </c>
      <c r="S140" s="17">
        <v>1679359</v>
      </c>
      <c r="T140" s="17">
        <f>AVERAGE(Table1436281282285297309[[#This Row],[Teste 1]:[Teste 3]])</f>
        <v>1326249.6666666667</v>
      </c>
    </row>
    <row r="141" spans="1:22" x14ac:dyDescent="0.25">
      <c r="A141" s="16" t="s">
        <v>17</v>
      </c>
      <c r="B141" s="16" t="s">
        <v>8</v>
      </c>
      <c r="C141" s="17">
        <v>1566</v>
      </c>
      <c r="D141" s="17">
        <v>461</v>
      </c>
      <c r="E141" s="17">
        <v>1506</v>
      </c>
      <c r="F141" s="17">
        <f>AVERAGE(Table1436281282285[[#This Row],[Teste 1]:[Teste 3]])</f>
        <v>1177.6666666666667</v>
      </c>
      <c r="G141" s="16"/>
      <c r="H141" s="16" t="s">
        <v>17</v>
      </c>
      <c r="I141" s="16" t="s">
        <v>8</v>
      </c>
      <c r="J141" s="17">
        <v>11683</v>
      </c>
      <c r="K141" s="17">
        <v>10754</v>
      </c>
      <c r="L141" s="17">
        <v>11227</v>
      </c>
      <c r="M141" s="17">
        <f>AVERAGE(Table1436281282285297[[#This Row],[Teste 1]:[Teste 3]])</f>
        <v>11221.333333333334</v>
      </c>
      <c r="N141" s="16"/>
      <c r="O141" s="16" t="s">
        <v>17</v>
      </c>
      <c r="P141" s="16" t="s">
        <v>8</v>
      </c>
      <c r="Q141" s="17">
        <v>2717</v>
      </c>
      <c r="R141" s="17">
        <v>2501</v>
      </c>
      <c r="S141" s="17">
        <v>2611</v>
      </c>
      <c r="T141" s="17">
        <f>AVERAGE(Table1436281282285297309[[#This Row],[Teste 1]:[Teste 3]])</f>
        <v>2609.6666666666665</v>
      </c>
    </row>
    <row r="142" spans="1:22" x14ac:dyDescent="0.25">
      <c r="A142" s="16" t="s">
        <v>17</v>
      </c>
      <c r="B142" s="16" t="s">
        <v>9</v>
      </c>
      <c r="C142" s="17">
        <v>5939</v>
      </c>
      <c r="D142" s="17">
        <v>960</v>
      </c>
      <c r="E142" s="17">
        <v>6443</v>
      </c>
      <c r="F142" s="17">
        <f>AVERAGE(Table1436281282285[[#This Row],[Teste 1]:[Teste 3]])</f>
        <v>4447.333333333333</v>
      </c>
      <c r="G142" s="16"/>
      <c r="H142" s="16" t="s">
        <v>17</v>
      </c>
      <c r="I142" s="16" t="s">
        <v>9</v>
      </c>
      <c r="J142" s="17">
        <v>42789</v>
      </c>
      <c r="K142" s="17">
        <v>44234</v>
      </c>
      <c r="L142" s="17">
        <v>44165</v>
      </c>
      <c r="M142" s="17">
        <f>AVERAGE(Table1436281282285297[[#This Row],[Teste 1]:[Teste 3]])</f>
        <v>43729.333333333336</v>
      </c>
      <c r="N142" s="16"/>
      <c r="O142" s="16" t="s">
        <v>17</v>
      </c>
      <c r="P142" s="16" t="s">
        <v>9</v>
      </c>
      <c r="Q142" s="17">
        <v>9951</v>
      </c>
      <c r="R142" s="17">
        <v>10287</v>
      </c>
      <c r="S142" s="17">
        <v>10271</v>
      </c>
      <c r="T142" s="17">
        <f>AVERAGE(Table1436281282285297309[[#This Row],[Teste 1]:[Teste 3]])</f>
        <v>10169.666666666666</v>
      </c>
    </row>
    <row r="143" spans="1:22" x14ac:dyDescent="0.25">
      <c r="A143" s="16" t="s">
        <v>17</v>
      </c>
      <c r="B143" s="16" t="s">
        <v>11</v>
      </c>
      <c r="C143" s="17">
        <v>500346</v>
      </c>
      <c r="D143" s="17">
        <v>499824</v>
      </c>
      <c r="E143" s="17">
        <v>500378</v>
      </c>
      <c r="F143" s="17">
        <f>AVERAGE(Table1436281282285[[#This Row],[Teste 1]:[Teste 3]])</f>
        <v>500182.66666666669</v>
      </c>
      <c r="G143" s="16"/>
      <c r="H143" s="16" t="s">
        <v>17</v>
      </c>
      <c r="I143" s="16" t="s">
        <v>11</v>
      </c>
      <c r="J143" s="17">
        <v>500345</v>
      </c>
      <c r="K143" s="17">
        <v>500377</v>
      </c>
      <c r="L143" s="17">
        <v>500315</v>
      </c>
      <c r="M143" s="17">
        <f>AVERAGE(Table1436281282285297[[#This Row],[Teste 1]:[Teste 3]])</f>
        <v>500345.66666666669</v>
      </c>
      <c r="N143" s="16"/>
      <c r="O143" s="16" t="s">
        <v>17</v>
      </c>
      <c r="P143" s="16" t="s">
        <v>11</v>
      </c>
      <c r="Q143" s="17">
        <v>499988</v>
      </c>
      <c r="R143" s="17">
        <v>500320</v>
      </c>
      <c r="S143" s="17">
        <v>500363</v>
      </c>
      <c r="T143" s="17">
        <f>AVERAGE(Table1436281282285297309[[#This Row],[Teste 1]:[Teste 3]])</f>
        <v>500223.66666666669</v>
      </c>
    </row>
    <row r="144" spans="1:22" x14ac:dyDescent="0.25">
      <c r="A144" s="16"/>
      <c r="B144" s="16"/>
      <c r="C144" s="17"/>
      <c r="D144" s="17"/>
      <c r="E144" s="17"/>
      <c r="F144" s="17"/>
      <c r="G144" s="16"/>
      <c r="H144" s="16"/>
      <c r="I144" s="16"/>
      <c r="J144" s="17"/>
      <c r="K144" s="17"/>
      <c r="L144" s="17"/>
      <c r="M144" s="17"/>
      <c r="N144" s="16"/>
      <c r="O144" s="16"/>
      <c r="P144" s="16"/>
      <c r="Q144" s="17"/>
      <c r="R144" s="17"/>
      <c r="S144" s="17"/>
      <c r="T144" s="17"/>
    </row>
    <row r="145" spans="1:20" x14ac:dyDescent="0.25">
      <c r="A145" s="16"/>
      <c r="B145" s="16"/>
      <c r="C145" s="17"/>
      <c r="D145" s="17"/>
      <c r="E145" s="17"/>
      <c r="F145" s="17"/>
      <c r="G145" s="16"/>
      <c r="H145" s="16"/>
      <c r="I145" s="16"/>
      <c r="J145" s="17"/>
      <c r="K145" s="17"/>
      <c r="L145" s="17"/>
      <c r="M145" s="17"/>
      <c r="N145" s="16"/>
      <c r="O145" s="16"/>
      <c r="P145" s="16"/>
      <c r="Q145" s="17"/>
      <c r="R145" s="17"/>
      <c r="S145" s="17"/>
      <c r="T145" s="17"/>
    </row>
    <row r="146" spans="1:20" x14ac:dyDescent="0.25">
      <c r="A146" s="16"/>
      <c r="B146" s="16"/>
      <c r="C146" s="17"/>
      <c r="D146" s="17"/>
      <c r="E146" s="17"/>
      <c r="F146" s="17"/>
      <c r="G146" s="16"/>
      <c r="H146" s="16"/>
      <c r="I146" s="16"/>
      <c r="J146" s="17"/>
      <c r="K146" s="17"/>
      <c r="L146" s="17"/>
      <c r="M146" s="17"/>
      <c r="N146" s="16"/>
      <c r="O146" s="16"/>
      <c r="P146" s="16"/>
      <c r="Q146" s="17"/>
      <c r="R146" s="17"/>
      <c r="S146" s="17"/>
      <c r="T146" s="17"/>
    </row>
    <row r="148" spans="1:20" ht="15.75" x14ac:dyDescent="0.25">
      <c r="A148" s="2" t="s">
        <v>73</v>
      </c>
      <c r="H148" s="2" t="s">
        <v>73</v>
      </c>
      <c r="O148" s="2" t="s">
        <v>73</v>
      </c>
    </row>
    <row r="149" spans="1:20" x14ac:dyDescent="0.25">
      <c r="A149" s="16" t="s">
        <v>59</v>
      </c>
      <c r="B149" s="16" t="s">
        <v>66</v>
      </c>
      <c r="C149" s="16" t="s">
        <v>82</v>
      </c>
      <c r="D149" s="16" t="s">
        <v>64</v>
      </c>
      <c r="E149" s="16" t="s">
        <v>63</v>
      </c>
      <c r="F149" s="16" t="s">
        <v>18</v>
      </c>
      <c r="G149" s="16"/>
      <c r="H149" s="16" t="s">
        <v>12</v>
      </c>
      <c r="I149" s="16" t="s">
        <v>66</v>
      </c>
      <c r="J149" s="16" t="s">
        <v>82</v>
      </c>
      <c r="K149" s="16" t="s">
        <v>64</v>
      </c>
      <c r="L149" s="16" t="s">
        <v>63</v>
      </c>
      <c r="M149" s="16" t="s">
        <v>18</v>
      </c>
      <c r="N149" s="16"/>
      <c r="O149" s="16" t="s">
        <v>13</v>
      </c>
      <c r="P149" s="16" t="s">
        <v>66</v>
      </c>
      <c r="Q149" s="16" t="s">
        <v>82</v>
      </c>
      <c r="R149" s="16" t="s">
        <v>64</v>
      </c>
      <c r="S149" s="16" t="s">
        <v>63</v>
      </c>
      <c r="T149" s="16" t="s">
        <v>18</v>
      </c>
    </row>
    <row r="150" spans="1:20" x14ac:dyDescent="0.25">
      <c r="A150" s="16" t="s">
        <v>0</v>
      </c>
      <c r="B150" s="16" t="s">
        <v>1</v>
      </c>
      <c r="C150" s="17">
        <v>1038638</v>
      </c>
      <c r="D150" s="17">
        <v>971849</v>
      </c>
      <c r="E150" s="17">
        <v>948797</v>
      </c>
      <c r="F150" s="17">
        <f>AVERAGE(Table1436281283286[[#This Row],[Teste 1]:[Teste 3]])</f>
        <v>986428</v>
      </c>
      <c r="G150" s="16"/>
      <c r="H150" s="16" t="s">
        <v>0</v>
      </c>
      <c r="I150" s="16" t="s">
        <v>1</v>
      </c>
      <c r="J150" s="17">
        <v>826189</v>
      </c>
      <c r="K150" s="17">
        <v>758978</v>
      </c>
      <c r="L150" s="17">
        <v>764526</v>
      </c>
      <c r="M150" s="17">
        <f>AVERAGE(Table1436281283286298[[#This Row],[Teste 1]:[Teste 3]])</f>
        <v>783231</v>
      </c>
      <c r="N150" s="16"/>
      <c r="O150" s="16" t="s">
        <v>0</v>
      </c>
      <c r="P150" s="16" t="s">
        <v>1</v>
      </c>
      <c r="Q150" s="17">
        <v>236054</v>
      </c>
      <c r="R150" s="17">
        <v>216851</v>
      </c>
      <c r="S150" s="17">
        <v>218436</v>
      </c>
      <c r="T150" s="17">
        <f>AVERAGE(Table1436281283286298310[[#This Row],[Teste 1]:[Teste 3]])</f>
        <v>223780.33333333334</v>
      </c>
    </row>
    <row r="151" spans="1:20" x14ac:dyDescent="0.25">
      <c r="A151" s="16" t="s">
        <v>0</v>
      </c>
      <c r="B151" s="16" t="s">
        <v>2</v>
      </c>
      <c r="C151" s="17">
        <v>962.799358390507</v>
      </c>
      <c r="D151" s="17">
        <v>1268.5127037436</v>
      </c>
      <c r="E151" s="17">
        <v>1053.9662330298199</v>
      </c>
      <c r="F151" s="17">
        <f>AVERAGE(Table1436281283286[[#This Row],[Teste 1]:[Teste 3]])</f>
        <v>1095.0927650546421</v>
      </c>
      <c r="G151" s="16"/>
      <c r="H151" s="16" t="s">
        <v>0</v>
      </c>
      <c r="I151" s="16" t="s">
        <v>2</v>
      </c>
      <c r="J151" s="17">
        <v>1210.3800000000001</v>
      </c>
      <c r="K151" s="17">
        <v>1317.56</v>
      </c>
      <c r="L151" s="17">
        <v>1308</v>
      </c>
      <c r="M151" s="17">
        <f>AVERAGE(Table1436281283286298[[#This Row],[Teste 1]:[Teste 3]])</f>
        <v>1278.6466666666668</v>
      </c>
      <c r="N151" s="16"/>
      <c r="O151" s="16" t="s">
        <v>0</v>
      </c>
      <c r="P151" s="16" t="s">
        <v>2</v>
      </c>
      <c r="Q151" s="17">
        <v>4236.3188084082403</v>
      </c>
      <c r="R151" s="17">
        <v>4611.4613259795897</v>
      </c>
      <c r="S151" s="17">
        <v>4577.9999633759999</v>
      </c>
      <c r="T151" s="17">
        <f>AVERAGE(Table1436281283286298310[[#This Row],[Teste 1]:[Teste 3]])</f>
        <v>4475.2600325879439</v>
      </c>
    </row>
    <row r="152" spans="1:20" x14ac:dyDescent="0.25">
      <c r="A152" s="16" t="s">
        <v>16</v>
      </c>
      <c r="B152" s="16" t="s">
        <v>4</v>
      </c>
      <c r="C152" s="17">
        <v>498615</v>
      </c>
      <c r="D152" s="17">
        <v>498731</v>
      </c>
      <c r="E152" s="17">
        <v>499822</v>
      </c>
      <c r="F152" s="17">
        <f>AVERAGE(Table1436281283286[[#This Row],[Teste 1]:[Teste 3]])</f>
        <v>499056</v>
      </c>
      <c r="G152" s="16"/>
      <c r="H152" s="16" t="s">
        <v>16</v>
      </c>
      <c r="I152" s="16" t="s">
        <v>4</v>
      </c>
      <c r="J152" s="17">
        <v>498731</v>
      </c>
      <c r="K152" s="17">
        <v>500512</v>
      </c>
      <c r="L152" s="17">
        <v>499706</v>
      </c>
      <c r="M152" s="17">
        <f>AVERAGE(Table1436281283286298[[#This Row],[Teste 1]:[Teste 3]])</f>
        <v>499649.66666666669</v>
      </c>
      <c r="N152" s="16"/>
      <c r="O152" s="16" t="s">
        <v>16</v>
      </c>
      <c r="P152" s="16" t="s">
        <v>4</v>
      </c>
      <c r="Q152" s="17">
        <v>500513</v>
      </c>
      <c r="R152" s="17">
        <v>500268</v>
      </c>
      <c r="S152" s="17">
        <v>499707</v>
      </c>
      <c r="T152" s="17">
        <f>AVERAGE(Table1436281283286298310[[#This Row],[Teste 1]:[Teste 3]])</f>
        <v>500162.66666666669</v>
      </c>
    </row>
    <row r="153" spans="1:20" x14ac:dyDescent="0.25">
      <c r="A153" s="16" t="s">
        <v>16</v>
      </c>
      <c r="B153" s="16" t="s">
        <v>5</v>
      </c>
      <c r="C153" s="17">
        <v>11589.9605507255</v>
      </c>
      <c r="D153" s="17">
        <v>2781.6266644744301</v>
      </c>
      <c r="E153" s="17">
        <v>10301.594617683801</v>
      </c>
      <c r="F153" s="17">
        <f>AVERAGE(Table1436281283286[[#This Row],[Teste 1]:[Teste 3]])</f>
        <v>8224.3939442945775</v>
      </c>
      <c r="G153" s="16"/>
      <c r="H153" s="16" t="s">
        <v>16</v>
      </c>
      <c r="I153" s="16" t="s">
        <v>5</v>
      </c>
      <c r="J153" s="17">
        <v>4447.42</v>
      </c>
      <c r="K153" s="17">
        <v>1317.37</v>
      </c>
      <c r="L153" s="17">
        <v>4091.02</v>
      </c>
      <c r="M153" s="17">
        <f>AVERAGE(Table1436281283286298[[#This Row],[Teste 1]:[Teste 3]])</f>
        <v>3285.27</v>
      </c>
      <c r="N153" s="16"/>
      <c r="O153" s="16" t="s">
        <v>16</v>
      </c>
      <c r="P153" s="16" t="s">
        <v>5</v>
      </c>
      <c r="Q153" s="17">
        <v>1270.6899880722301</v>
      </c>
      <c r="R153" s="17">
        <v>1177.53396579433</v>
      </c>
      <c r="S153" s="17">
        <v>1168.8601860690301</v>
      </c>
      <c r="T153" s="17">
        <f>AVERAGE(Table1436281283286298310[[#This Row],[Teste 1]:[Teste 3]])</f>
        <v>1205.6947133118633</v>
      </c>
    </row>
    <row r="154" spans="1:20" x14ac:dyDescent="0.25">
      <c r="A154" s="16" t="s">
        <v>16</v>
      </c>
      <c r="B154" s="16" t="s">
        <v>6</v>
      </c>
      <c r="C154" s="17">
        <v>81</v>
      </c>
      <c r="D154" s="17">
        <v>89</v>
      </c>
      <c r="E154" s="17">
        <v>76</v>
      </c>
      <c r="F154" s="17">
        <f>AVERAGE(Table1436281283286[[#This Row],[Teste 1]:[Teste 3]])</f>
        <v>82</v>
      </c>
      <c r="G154" s="16"/>
      <c r="H154" s="16" t="s">
        <v>16</v>
      </c>
      <c r="I154" s="16" t="s">
        <v>6</v>
      </c>
      <c r="J154" s="17">
        <v>396</v>
      </c>
      <c r="K154" s="17">
        <v>378</v>
      </c>
      <c r="L154" s="17">
        <v>357</v>
      </c>
      <c r="M154" s="17">
        <f>AVERAGE(Table1436281283286298[[#This Row],[Teste 1]:[Teste 3]])</f>
        <v>377</v>
      </c>
      <c r="N154" s="16"/>
      <c r="O154" s="16" t="s">
        <v>16</v>
      </c>
      <c r="P154" s="16" t="s">
        <v>6</v>
      </c>
      <c r="Q154" s="17">
        <v>113</v>
      </c>
      <c r="R154" s="17">
        <v>108</v>
      </c>
      <c r="S154" s="17">
        <v>102</v>
      </c>
      <c r="T154" s="17">
        <f>AVERAGE(Table1436281283286298310[[#This Row],[Teste 1]:[Teste 3]])</f>
        <v>107.66666666666667</v>
      </c>
    </row>
    <row r="155" spans="1:20" x14ac:dyDescent="0.25">
      <c r="A155" s="16" t="s">
        <v>16</v>
      </c>
      <c r="B155" s="16" t="s">
        <v>7</v>
      </c>
      <c r="C155" s="17">
        <v>5808127</v>
      </c>
      <c r="D155" s="17">
        <v>4980735</v>
      </c>
      <c r="E155" s="17">
        <v>6897663</v>
      </c>
      <c r="F155" s="17">
        <f>AVERAGE(Table1436281283286[[#This Row],[Teste 1]:[Teste 3]])</f>
        <v>5895508.333333333</v>
      </c>
      <c r="G155" s="16"/>
      <c r="H155" s="16" t="s">
        <v>16</v>
      </c>
      <c r="I155" s="16" t="s">
        <v>7</v>
      </c>
      <c r="J155" s="17">
        <v>2017789</v>
      </c>
      <c r="K155" s="17">
        <v>5881341</v>
      </c>
      <c r="L155" s="17">
        <v>3243517</v>
      </c>
      <c r="M155" s="17">
        <f>AVERAGE(Table1436281283286298[[#This Row],[Teste 1]:[Teste 3]])</f>
        <v>3714215.6666666665</v>
      </c>
      <c r="N155" s="16"/>
      <c r="O155" s="16" t="s">
        <v>16</v>
      </c>
      <c r="P155" s="16" t="s">
        <v>7</v>
      </c>
      <c r="Q155" s="17">
        <v>576511</v>
      </c>
      <c r="R155" s="17">
        <v>1680383</v>
      </c>
      <c r="S155" s="17">
        <v>926719</v>
      </c>
      <c r="T155" s="17">
        <f>AVERAGE(Table1436281283286298310[[#This Row],[Teste 1]:[Teste 3]])</f>
        <v>1061204.3333333333</v>
      </c>
    </row>
    <row r="156" spans="1:20" x14ac:dyDescent="0.25">
      <c r="A156" s="16" t="s">
        <v>16</v>
      </c>
      <c r="B156" s="16" t="s">
        <v>8</v>
      </c>
      <c r="C156" s="17">
        <v>14751</v>
      </c>
      <c r="D156" s="17">
        <v>487</v>
      </c>
      <c r="E156" s="17">
        <v>5343</v>
      </c>
      <c r="F156" s="17">
        <f>AVERAGE(Table1436281283286[[#This Row],[Teste 1]:[Teste 3]])</f>
        <v>6860.333333333333</v>
      </c>
      <c r="G156" s="16"/>
      <c r="H156" s="16" t="s">
        <v>16</v>
      </c>
      <c r="I156" s="16" t="s">
        <v>8</v>
      </c>
      <c r="J156" s="17">
        <v>15075</v>
      </c>
      <c r="K156" s="17">
        <v>13360</v>
      </c>
      <c r="L156" s="17">
        <v>140455</v>
      </c>
      <c r="M156" s="17">
        <f>AVERAGE(Table1436281283286298[[#This Row],[Teste 1]:[Teste 3]])</f>
        <v>56296.666666666664</v>
      </c>
      <c r="N156" s="16"/>
      <c r="O156" s="16" t="s">
        <v>16</v>
      </c>
      <c r="P156" s="16" t="s">
        <v>8</v>
      </c>
      <c r="Q156" s="17">
        <v>4307</v>
      </c>
      <c r="R156" s="17">
        <v>3817</v>
      </c>
      <c r="S156" s="17">
        <v>4013</v>
      </c>
      <c r="T156" s="17">
        <f>AVERAGE(Table1436281283286298310[[#This Row],[Teste 1]:[Teste 3]])</f>
        <v>4045.6666666666665</v>
      </c>
    </row>
    <row r="157" spans="1:20" x14ac:dyDescent="0.25">
      <c r="A157" s="16" t="s">
        <v>16</v>
      </c>
      <c r="B157" s="16" t="s">
        <v>9</v>
      </c>
      <c r="C157" s="17">
        <v>139007</v>
      </c>
      <c r="D157" s="17">
        <v>43999</v>
      </c>
      <c r="E157" s="17">
        <v>91583</v>
      </c>
      <c r="F157" s="17">
        <f>AVERAGE(Table1436281283286[[#This Row],[Teste 1]:[Teste 3]])</f>
        <v>91529.666666666672</v>
      </c>
      <c r="G157" s="16"/>
      <c r="H157" s="16" t="s">
        <v>16</v>
      </c>
      <c r="I157" s="16" t="s">
        <v>9</v>
      </c>
      <c r="J157" s="17">
        <v>49781</v>
      </c>
      <c r="K157" s="17">
        <v>46309</v>
      </c>
      <c r="L157" s="17">
        <v>49221</v>
      </c>
      <c r="M157" s="17">
        <f>AVERAGE(Table1436281283286298[[#This Row],[Teste 1]:[Teste 3]])</f>
        <v>48437</v>
      </c>
      <c r="N157" s="16"/>
      <c r="O157" s="16" t="s">
        <v>16</v>
      </c>
      <c r="P157" s="16" t="s">
        <v>9</v>
      </c>
      <c r="Q157" s="17">
        <v>14223</v>
      </c>
      <c r="R157" s="17">
        <v>13231</v>
      </c>
      <c r="S157" s="17">
        <v>14063</v>
      </c>
      <c r="T157" s="17">
        <f>AVERAGE(Table1436281283286298310[[#This Row],[Teste 1]:[Teste 3]])</f>
        <v>13839</v>
      </c>
    </row>
    <row r="158" spans="1:20" x14ac:dyDescent="0.25">
      <c r="A158" s="16" t="s">
        <v>16</v>
      </c>
      <c r="B158" s="16" t="s">
        <v>11</v>
      </c>
      <c r="C158" s="17">
        <v>498615</v>
      </c>
      <c r="D158" s="17">
        <v>498731</v>
      </c>
      <c r="E158" s="17">
        <v>499822</v>
      </c>
      <c r="F158" s="17">
        <f>AVERAGE(Table1436281283286[[#This Row],[Teste 1]:[Teste 3]])</f>
        <v>499056</v>
      </c>
      <c r="G158" s="16"/>
      <c r="H158" s="16" t="s">
        <v>16</v>
      </c>
      <c r="I158" s="16" t="s">
        <v>11</v>
      </c>
      <c r="J158" s="17">
        <v>498731</v>
      </c>
      <c r="K158" s="17">
        <v>500512</v>
      </c>
      <c r="L158" s="17">
        <v>499706</v>
      </c>
      <c r="M158" s="17">
        <f>AVERAGE(Table1436281283286298[[#This Row],[Teste 1]:[Teste 3]])</f>
        <v>499649.66666666669</v>
      </c>
      <c r="N158" s="16"/>
      <c r="O158" s="16" t="s">
        <v>16</v>
      </c>
      <c r="P158" s="16" t="s">
        <v>11</v>
      </c>
      <c r="Q158" s="17">
        <v>500513</v>
      </c>
      <c r="R158" s="17">
        <v>500268</v>
      </c>
      <c r="S158" s="17">
        <v>499707</v>
      </c>
      <c r="T158" s="17">
        <f>AVERAGE(Table1436281283286298310[[#This Row],[Teste 1]:[Teste 3]])</f>
        <v>500162.66666666669</v>
      </c>
    </row>
    <row r="159" spans="1:20" x14ac:dyDescent="0.25">
      <c r="A159" s="16" t="s">
        <v>3</v>
      </c>
      <c r="B159" s="16" t="s">
        <v>4</v>
      </c>
      <c r="C159" s="17">
        <v>6</v>
      </c>
      <c r="D159" s="17">
        <v>6</v>
      </c>
      <c r="E159" s="17">
        <v>6</v>
      </c>
      <c r="F159" s="17">
        <f>AVERAGE(Table1436281283286[[#This Row],[Teste 1]:[Teste 3]])</f>
        <v>6</v>
      </c>
      <c r="G159" s="16"/>
      <c r="H159" s="16" t="s">
        <v>3</v>
      </c>
      <c r="I159" s="16" t="s">
        <v>4</v>
      </c>
      <c r="J159" s="17">
        <v>6</v>
      </c>
      <c r="K159" s="17">
        <v>6</v>
      </c>
      <c r="L159" s="17">
        <v>6</v>
      </c>
      <c r="M159" s="17">
        <f>AVERAGE(Table1436281283286298[[#This Row],[Teste 1]:[Teste 3]])</f>
        <v>6</v>
      </c>
      <c r="N159" s="16"/>
      <c r="O159" s="16" t="s">
        <v>3</v>
      </c>
      <c r="P159" s="16" t="s">
        <v>4</v>
      </c>
      <c r="Q159" s="17">
        <v>6</v>
      </c>
      <c r="R159" s="17">
        <v>6</v>
      </c>
      <c r="S159" s="17">
        <v>6</v>
      </c>
      <c r="T159" s="17">
        <f>AVERAGE(Table1436281283286298310[[#This Row],[Teste 1]:[Teste 3]])</f>
        <v>6</v>
      </c>
    </row>
    <row r="160" spans="1:20" x14ac:dyDescent="0.25">
      <c r="A160" s="16" t="s">
        <v>3</v>
      </c>
      <c r="B160" s="16" t="s">
        <v>5</v>
      </c>
      <c r="C160" s="17">
        <v>0.83333333333333304</v>
      </c>
      <c r="D160" s="17">
        <v>0.5</v>
      </c>
      <c r="E160" s="17">
        <v>5.5</v>
      </c>
      <c r="F160" s="17">
        <f>AVERAGE(Table1436281283286[[#This Row],[Teste 1]:[Teste 3]])</f>
        <v>2.2777777777777777</v>
      </c>
      <c r="G160" s="16"/>
      <c r="H160" s="16" t="s">
        <v>3</v>
      </c>
      <c r="I160" s="16" t="s">
        <v>5</v>
      </c>
      <c r="J160" s="17">
        <v>8.33</v>
      </c>
      <c r="K160" s="17">
        <v>7</v>
      </c>
      <c r="L160" s="17">
        <v>8.33</v>
      </c>
      <c r="M160" s="17">
        <f>AVERAGE(Table1436281283286298[[#This Row],[Teste 1]:[Teste 3]])</f>
        <v>7.8866666666666667</v>
      </c>
      <c r="N160" s="16"/>
      <c r="O160" s="16" t="s">
        <v>3</v>
      </c>
      <c r="P160" s="16" t="s">
        <v>5</v>
      </c>
      <c r="Q160" s="17">
        <v>1710.5</v>
      </c>
      <c r="R160" s="17">
        <v>3306.6666666666601</v>
      </c>
      <c r="S160" s="17">
        <v>1140.1666666666599</v>
      </c>
      <c r="T160" s="17">
        <f>AVERAGE(Table1436281283286298310[[#This Row],[Teste 1]:[Teste 3]])</f>
        <v>2052.4444444444403</v>
      </c>
    </row>
    <row r="161" spans="1:20" x14ac:dyDescent="0.25">
      <c r="A161" s="16" t="s">
        <v>3</v>
      </c>
      <c r="B161" s="16" t="s">
        <v>6</v>
      </c>
      <c r="C161" s="17">
        <v>0</v>
      </c>
      <c r="D161" s="17">
        <v>0</v>
      </c>
      <c r="E161" s="17">
        <v>1</v>
      </c>
      <c r="F161" s="17">
        <f>AVERAGE(Table1436281283286[[#This Row],[Teste 1]:[Teste 3]])</f>
        <v>0.33333333333333331</v>
      </c>
      <c r="G161" s="16"/>
      <c r="H161" s="16" t="s">
        <v>3</v>
      </c>
      <c r="I161" s="16" t="s">
        <v>6</v>
      </c>
      <c r="J161" s="17">
        <v>1</v>
      </c>
      <c r="K161" s="17">
        <v>1</v>
      </c>
      <c r="L161" s="17">
        <v>1</v>
      </c>
      <c r="M161" s="17">
        <f>AVERAGE(Table1436281283286298[[#This Row],[Teste 1]:[Teste 3]])</f>
        <v>1</v>
      </c>
      <c r="N161" s="16"/>
      <c r="O161" s="16" t="s">
        <v>3</v>
      </c>
      <c r="P161" s="16" t="s">
        <v>6</v>
      </c>
      <c r="Q161" s="17">
        <v>2</v>
      </c>
      <c r="R161" s="17">
        <v>1</v>
      </c>
      <c r="S161" s="17">
        <v>2</v>
      </c>
      <c r="T161" s="17">
        <f>AVERAGE(Table1436281283286298310[[#This Row],[Teste 1]:[Teste 3]])</f>
        <v>1.6666666666666667</v>
      </c>
    </row>
    <row r="162" spans="1:20" x14ac:dyDescent="0.25">
      <c r="A162" s="16" t="s">
        <v>3</v>
      </c>
      <c r="B162" s="16" t="s">
        <v>7</v>
      </c>
      <c r="C162" s="17">
        <v>2</v>
      </c>
      <c r="D162" s="17">
        <v>2</v>
      </c>
      <c r="E162" s="17">
        <v>27</v>
      </c>
      <c r="F162" s="17">
        <f>AVERAGE(Table1436281283286[[#This Row],[Teste 1]:[Teste 3]])</f>
        <v>10.333333333333334</v>
      </c>
      <c r="G162" s="16"/>
      <c r="H162" s="16" t="s">
        <v>3</v>
      </c>
      <c r="I162" s="16" t="s">
        <v>7</v>
      </c>
      <c r="J162" s="17">
        <v>11</v>
      </c>
      <c r="K162" s="17">
        <v>11</v>
      </c>
      <c r="L162" s="17">
        <v>11</v>
      </c>
      <c r="M162" s="17">
        <f>AVERAGE(Table1436281283286298[[#This Row],[Teste 1]:[Teste 3]])</f>
        <v>11</v>
      </c>
      <c r="N162" s="16"/>
      <c r="O162" s="16" t="s">
        <v>3</v>
      </c>
      <c r="P162" s="16" t="s">
        <v>7</v>
      </c>
      <c r="Q162" s="17">
        <v>10247</v>
      </c>
      <c r="R162" s="17">
        <v>19823</v>
      </c>
      <c r="S162" s="17">
        <v>6827</v>
      </c>
      <c r="T162" s="17">
        <f>AVERAGE(Table1436281283286298310[[#This Row],[Teste 1]:[Teste 3]])</f>
        <v>12299</v>
      </c>
    </row>
    <row r="163" spans="1:20" x14ac:dyDescent="0.25">
      <c r="A163" s="16" t="s">
        <v>3</v>
      </c>
      <c r="B163" s="16" t="s">
        <v>8</v>
      </c>
      <c r="C163" s="17">
        <v>2</v>
      </c>
      <c r="D163" s="17">
        <v>2</v>
      </c>
      <c r="E163" s="17">
        <v>27</v>
      </c>
      <c r="F163" s="17">
        <f>AVERAGE(Table1436281283286[[#This Row],[Teste 1]:[Teste 3]])</f>
        <v>10.333333333333334</v>
      </c>
      <c r="G163" s="16"/>
      <c r="H163" s="16" t="s">
        <v>3</v>
      </c>
      <c r="I163" s="16" t="s">
        <v>8</v>
      </c>
      <c r="J163" s="17">
        <v>11</v>
      </c>
      <c r="K163" s="17">
        <v>11</v>
      </c>
      <c r="L163" s="17">
        <v>11</v>
      </c>
      <c r="M163" s="17">
        <f>AVERAGE(Table1436281283286298[[#This Row],[Teste 1]:[Teste 3]])</f>
        <v>11</v>
      </c>
      <c r="N163" s="16"/>
      <c r="O163" s="16" t="s">
        <v>3</v>
      </c>
      <c r="P163" s="16" t="s">
        <v>8</v>
      </c>
      <c r="Q163" s="17">
        <v>10247</v>
      </c>
      <c r="R163" s="17">
        <v>19823</v>
      </c>
      <c r="S163" s="17">
        <v>6827</v>
      </c>
      <c r="T163" s="17">
        <f>AVERAGE(Table1436281283286298310[[#This Row],[Teste 1]:[Teste 3]])</f>
        <v>12299</v>
      </c>
    </row>
    <row r="164" spans="1:20" x14ac:dyDescent="0.25">
      <c r="A164" s="16" t="s">
        <v>3</v>
      </c>
      <c r="B164" s="16" t="s">
        <v>9</v>
      </c>
      <c r="C164" s="17">
        <v>2</v>
      </c>
      <c r="D164" s="17">
        <v>2</v>
      </c>
      <c r="E164" s="17">
        <v>27</v>
      </c>
      <c r="F164" s="17">
        <f>AVERAGE(Table1436281283286[[#This Row],[Teste 1]:[Teste 3]])</f>
        <v>10.333333333333334</v>
      </c>
      <c r="G164" s="16"/>
      <c r="H164" s="16" t="s">
        <v>3</v>
      </c>
      <c r="I164" s="16" t="s">
        <v>9</v>
      </c>
      <c r="J164" s="17">
        <v>11</v>
      </c>
      <c r="K164" s="17">
        <v>11</v>
      </c>
      <c r="L164" s="17">
        <v>11</v>
      </c>
      <c r="M164" s="17">
        <f>AVERAGE(Table1436281283286298[[#This Row],[Teste 1]:[Teste 3]])</f>
        <v>11</v>
      </c>
      <c r="N164" s="16"/>
      <c r="O164" s="16" t="s">
        <v>3</v>
      </c>
      <c r="P164" s="16" t="s">
        <v>9</v>
      </c>
      <c r="Q164" s="17">
        <v>10247</v>
      </c>
      <c r="R164" s="17">
        <v>19823</v>
      </c>
      <c r="S164" s="17">
        <v>6827</v>
      </c>
      <c r="T164" s="17">
        <f>AVERAGE(Table1436281283286298310[[#This Row],[Teste 1]:[Teste 3]])</f>
        <v>12299</v>
      </c>
    </row>
    <row r="165" spans="1:20" x14ac:dyDescent="0.25">
      <c r="A165" s="16" t="s">
        <v>17</v>
      </c>
      <c r="B165" s="16" t="s">
        <v>4</v>
      </c>
      <c r="C165" s="17">
        <v>501385</v>
      </c>
      <c r="D165" s="17">
        <v>501269</v>
      </c>
      <c r="E165" s="17">
        <v>500178</v>
      </c>
      <c r="F165" s="17">
        <f>AVERAGE(Table1436281283286[[#This Row],[Teste 1]:[Teste 3]])</f>
        <v>500944</v>
      </c>
      <c r="G165" s="16"/>
      <c r="H165" s="16" t="s">
        <v>17</v>
      </c>
      <c r="I165" s="16" t="s">
        <v>4</v>
      </c>
      <c r="J165" s="17">
        <v>501269</v>
      </c>
      <c r="K165" s="17">
        <v>499486</v>
      </c>
      <c r="L165" s="17">
        <v>500294</v>
      </c>
      <c r="M165" s="17">
        <f>AVERAGE(Table1436281283286298[[#This Row],[Teste 1]:[Teste 3]])</f>
        <v>500349.66666666669</v>
      </c>
      <c r="N165" s="16"/>
      <c r="O165" s="16" t="s">
        <v>17</v>
      </c>
      <c r="P165" s="16" t="s">
        <v>4</v>
      </c>
      <c r="Q165" s="17">
        <v>499487</v>
      </c>
      <c r="R165" s="17">
        <v>499732</v>
      </c>
      <c r="S165" s="17">
        <v>500293</v>
      </c>
      <c r="T165" s="17">
        <f>AVERAGE(Table1436281283286298310[[#This Row],[Teste 1]:[Teste 3]])</f>
        <v>499837.33333333331</v>
      </c>
    </row>
    <row r="166" spans="1:20" x14ac:dyDescent="0.25">
      <c r="A166" s="16" t="s">
        <v>17</v>
      </c>
      <c r="B166" s="16" t="s">
        <v>5</v>
      </c>
      <c r="C166" s="17">
        <v>617.37912582147396</v>
      </c>
      <c r="D166" s="17">
        <v>272.952767875132</v>
      </c>
      <c r="E166" s="17">
        <v>653.75457936974396</v>
      </c>
      <c r="F166" s="17">
        <f>AVERAGE(Table1436281283286[[#This Row],[Teste 1]:[Teste 3]])</f>
        <v>514.69549102211658</v>
      </c>
      <c r="G166" s="16"/>
      <c r="H166" s="16" t="s">
        <v>17</v>
      </c>
      <c r="I166" s="16" t="s">
        <v>5</v>
      </c>
      <c r="J166" s="17">
        <v>5372.79</v>
      </c>
      <c r="K166" s="17">
        <v>4884.8900000000003</v>
      </c>
      <c r="L166" s="17">
        <v>4986.78</v>
      </c>
      <c r="M166" s="17">
        <f>AVERAGE(Table1436281283286298[[#This Row],[Teste 1]:[Teste 3]])</f>
        <v>5081.4866666666667</v>
      </c>
      <c r="N166" s="16"/>
      <c r="O166" s="16" t="s">
        <v>17</v>
      </c>
      <c r="P166" s="16" t="s">
        <v>5</v>
      </c>
      <c r="Q166" s="17">
        <v>1535.08546368574</v>
      </c>
      <c r="R166" s="17">
        <v>1395.6824718048799</v>
      </c>
      <c r="S166" s="17">
        <v>1424.7936968936201</v>
      </c>
      <c r="T166" s="17">
        <f>AVERAGE(Table1436281283286298310[[#This Row],[Teste 1]:[Teste 3]])</f>
        <v>1451.8538774614135</v>
      </c>
    </row>
    <row r="167" spans="1:20" x14ac:dyDescent="0.25">
      <c r="A167" s="16" t="s">
        <v>17</v>
      </c>
      <c r="B167" s="16" t="s">
        <v>6</v>
      </c>
      <c r="C167" s="17">
        <v>98</v>
      </c>
      <c r="D167" s="17">
        <v>113</v>
      </c>
      <c r="E167" s="17">
        <v>101</v>
      </c>
      <c r="F167" s="17">
        <f>AVERAGE(Table1436281283286[[#This Row],[Teste 1]:[Teste 3]])</f>
        <v>104</v>
      </c>
      <c r="G167" s="16"/>
      <c r="H167" s="16" t="s">
        <v>17</v>
      </c>
      <c r="I167" s="16" t="s">
        <v>6</v>
      </c>
      <c r="J167" s="17">
        <v>623</v>
      </c>
      <c r="K167" s="17">
        <v>627</v>
      </c>
      <c r="L167" s="17">
        <v>599</v>
      </c>
      <c r="M167" s="17">
        <f>AVERAGE(Table1436281283286298[[#This Row],[Teste 1]:[Teste 3]])</f>
        <v>616.33333333333337</v>
      </c>
      <c r="N167" s="16"/>
      <c r="O167" s="16" t="s">
        <v>17</v>
      </c>
      <c r="P167" s="16" t="s">
        <v>6</v>
      </c>
      <c r="Q167" s="17">
        <v>178</v>
      </c>
      <c r="R167" s="17">
        <v>179</v>
      </c>
      <c r="S167" s="17">
        <v>171</v>
      </c>
      <c r="T167" s="17">
        <f>AVERAGE(Table1436281283286298310[[#This Row],[Teste 1]:[Teste 3]])</f>
        <v>176</v>
      </c>
    </row>
    <row r="168" spans="1:20" x14ac:dyDescent="0.25">
      <c r="A168" s="16" t="s">
        <v>17</v>
      </c>
      <c r="B168" s="16" t="s">
        <v>7</v>
      </c>
      <c r="C168" s="17">
        <v>4603903</v>
      </c>
      <c r="D168" s="17">
        <v>1808383</v>
      </c>
      <c r="E168" s="17">
        <v>2381823</v>
      </c>
      <c r="F168" s="17">
        <f>AVERAGE(Table1436281283286[[#This Row],[Teste 1]:[Teste 3]])</f>
        <v>2931369.6666666665</v>
      </c>
      <c r="G168" s="16"/>
      <c r="H168" s="16" t="s">
        <v>17</v>
      </c>
      <c r="I168" s="16" t="s">
        <v>7</v>
      </c>
      <c r="J168" s="17">
        <v>2026749</v>
      </c>
      <c r="K168" s="17">
        <v>2881341</v>
      </c>
      <c r="L168" s="17">
        <v>2101949</v>
      </c>
      <c r="M168" s="17">
        <f>AVERAGE(Table1436281283286298[[#This Row],[Teste 1]:[Teste 3]])</f>
        <v>2336679.6666666665</v>
      </c>
      <c r="N168" s="16"/>
      <c r="O168" s="16" t="s">
        <v>17</v>
      </c>
      <c r="P168" s="16" t="s">
        <v>7</v>
      </c>
      <c r="Q168" s="17">
        <v>579071</v>
      </c>
      <c r="R168" s="17">
        <v>1680383</v>
      </c>
      <c r="S168" s="17">
        <v>886271</v>
      </c>
      <c r="T168" s="17">
        <f>AVERAGE(Table1436281283286298310[[#This Row],[Teste 1]:[Teste 3]])</f>
        <v>1048575</v>
      </c>
    </row>
    <row r="169" spans="1:20" x14ac:dyDescent="0.25">
      <c r="A169" s="16" t="s">
        <v>17</v>
      </c>
      <c r="B169" s="16" t="s">
        <v>8</v>
      </c>
      <c r="C169" s="17">
        <v>977</v>
      </c>
      <c r="D169" s="17">
        <v>462</v>
      </c>
      <c r="E169" s="17">
        <v>1221</v>
      </c>
      <c r="F169" s="17">
        <f>AVERAGE(Table1436281283286[[#This Row],[Teste 1]:[Teste 3]])</f>
        <v>886.66666666666663</v>
      </c>
      <c r="G169" s="16"/>
      <c r="H169" s="16" t="s">
        <v>17</v>
      </c>
      <c r="I169" s="16" t="s">
        <v>8</v>
      </c>
      <c r="J169" s="17">
        <v>18267</v>
      </c>
      <c r="K169" s="17">
        <v>16335</v>
      </c>
      <c r="L169" s="17">
        <v>17483</v>
      </c>
      <c r="M169" s="17">
        <f>AVERAGE(Table1436281283286298[[#This Row],[Teste 1]:[Teste 3]])</f>
        <v>17361.666666666668</v>
      </c>
      <c r="N169" s="16"/>
      <c r="O169" s="16" t="s">
        <v>17</v>
      </c>
      <c r="P169" s="16" t="s">
        <v>8</v>
      </c>
      <c r="Q169" s="17">
        <v>5219</v>
      </c>
      <c r="R169" s="17">
        <v>4667</v>
      </c>
      <c r="S169" s="17">
        <v>4995</v>
      </c>
      <c r="T169" s="17">
        <f>AVERAGE(Table1436281283286298310[[#This Row],[Teste 1]:[Teste 3]])</f>
        <v>4960.333333333333</v>
      </c>
    </row>
    <row r="170" spans="1:20" x14ac:dyDescent="0.25">
      <c r="A170" s="16" t="s">
        <v>17</v>
      </c>
      <c r="B170" s="16" t="s">
        <v>9</v>
      </c>
      <c r="C170" s="17">
        <v>11031</v>
      </c>
      <c r="D170" s="17">
        <v>973</v>
      </c>
      <c r="E170" s="17">
        <v>12007</v>
      </c>
      <c r="F170" s="17">
        <f>AVERAGE(Table1436281283286[[#This Row],[Teste 1]:[Teste 3]])</f>
        <v>8003.666666666667</v>
      </c>
      <c r="G170" s="16"/>
      <c r="H170" s="16" t="s">
        <v>17</v>
      </c>
      <c r="I170" s="16" t="s">
        <v>9</v>
      </c>
      <c r="J170" s="17">
        <v>55241</v>
      </c>
      <c r="K170" s="17">
        <v>51573</v>
      </c>
      <c r="L170" s="17">
        <v>54653</v>
      </c>
      <c r="M170" s="17">
        <f>AVERAGE(Table1436281283286298[[#This Row],[Teste 1]:[Teste 3]])</f>
        <v>53822.333333333336</v>
      </c>
      <c r="N170" s="16"/>
      <c r="O170" s="16" t="s">
        <v>17</v>
      </c>
      <c r="P170" s="16" t="s">
        <v>9</v>
      </c>
      <c r="Q170" s="17">
        <v>15783</v>
      </c>
      <c r="R170" s="17">
        <v>14735</v>
      </c>
      <c r="S170" s="17">
        <v>15615</v>
      </c>
      <c r="T170" s="17">
        <f>AVERAGE(Table1436281283286298310[[#This Row],[Teste 1]:[Teste 3]])</f>
        <v>15377.666666666666</v>
      </c>
    </row>
    <row r="171" spans="1:20" x14ac:dyDescent="0.25">
      <c r="A171" s="16" t="s">
        <v>17</v>
      </c>
      <c r="B171" s="16" t="s">
        <v>11</v>
      </c>
      <c r="C171" s="17">
        <v>501385</v>
      </c>
      <c r="D171" s="17">
        <v>501269</v>
      </c>
      <c r="E171" s="17">
        <v>500178</v>
      </c>
      <c r="F171" s="17">
        <f>AVERAGE(Table1436281283286[[#This Row],[Teste 1]:[Teste 3]])</f>
        <v>500944</v>
      </c>
      <c r="G171" s="16"/>
      <c r="H171" s="16" t="s">
        <v>17</v>
      </c>
      <c r="I171" s="16" t="s">
        <v>11</v>
      </c>
      <c r="J171" s="17">
        <v>501269</v>
      </c>
      <c r="K171" s="17">
        <v>499486</v>
      </c>
      <c r="L171" s="17">
        <v>500294</v>
      </c>
      <c r="M171" s="17">
        <f>AVERAGE(Table1436281283286298[[#This Row],[Teste 1]:[Teste 3]])</f>
        <v>500349.66666666669</v>
      </c>
      <c r="N171" s="16"/>
      <c r="O171" s="16" t="s">
        <v>17</v>
      </c>
      <c r="P171" s="16" t="s">
        <v>11</v>
      </c>
      <c r="Q171" s="17">
        <v>499487</v>
      </c>
      <c r="R171" s="17">
        <v>499732</v>
      </c>
      <c r="S171" s="17">
        <v>500293</v>
      </c>
      <c r="T171" s="17">
        <f>AVERAGE(Table1436281283286298310[[#This Row],[Teste 1]:[Teste 3]])</f>
        <v>499837.33333333331</v>
      </c>
    </row>
    <row r="172" spans="1:20" x14ac:dyDescent="0.25">
      <c r="A172" s="16"/>
      <c r="B172" s="16"/>
      <c r="C172" s="17"/>
      <c r="D172" s="17"/>
      <c r="E172" s="17"/>
      <c r="F172" s="17"/>
      <c r="G172" s="16"/>
      <c r="H172" s="16"/>
      <c r="I172" s="16"/>
      <c r="J172" s="17"/>
      <c r="K172" s="17"/>
      <c r="L172" s="17"/>
      <c r="M172" s="17"/>
      <c r="N172" s="16"/>
      <c r="O172" s="16"/>
      <c r="P172" s="16"/>
      <c r="Q172" s="17"/>
      <c r="R172" s="17"/>
      <c r="S172" s="17"/>
      <c r="T172" s="17"/>
    </row>
    <row r="173" spans="1:20" x14ac:dyDescent="0.25">
      <c r="A173" s="16"/>
      <c r="B173" s="16"/>
      <c r="C173" s="17"/>
      <c r="D173" s="17"/>
      <c r="E173" s="17"/>
      <c r="F173" s="17"/>
      <c r="G173" s="16"/>
      <c r="H173" s="16"/>
      <c r="I173" s="16"/>
      <c r="J173" s="17"/>
      <c r="K173" s="17"/>
      <c r="L173" s="17"/>
      <c r="M173" s="17"/>
      <c r="N173" s="16"/>
      <c r="O173" s="16"/>
      <c r="P173" s="16"/>
      <c r="Q173" s="17"/>
      <c r="R173" s="17"/>
      <c r="S173" s="17"/>
      <c r="T173" s="17"/>
    </row>
    <row r="174" spans="1:20" x14ac:dyDescent="0.25">
      <c r="A174" s="16"/>
      <c r="B174" s="16"/>
      <c r="C174" s="17"/>
      <c r="D174" s="17"/>
      <c r="E174" s="17"/>
      <c r="F174" s="17"/>
      <c r="G174" s="16"/>
      <c r="H174" s="16"/>
      <c r="I174" s="16"/>
      <c r="J174" s="17"/>
      <c r="K174" s="17"/>
      <c r="L174" s="17"/>
      <c r="M174" s="17"/>
      <c r="N174" s="16"/>
      <c r="O174" s="16"/>
      <c r="P174" s="16"/>
      <c r="Q174" s="17"/>
      <c r="R174" s="17"/>
      <c r="S174" s="17"/>
      <c r="T174" s="17"/>
    </row>
    <row r="177" spans="1:22" ht="15.75" x14ac:dyDescent="0.25">
      <c r="A177" s="2" t="s">
        <v>81</v>
      </c>
      <c r="H177" s="2" t="s">
        <v>81</v>
      </c>
      <c r="O177" s="2" t="s">
        <v>81</v>
      </c>
    </row>
    <row r="178" spans="1:22" ht="15.75" x14ac:dyDescent="0.25">
      <c r="A178" s="2" t="s">
        <v>65</v>
      </c>
      <c r="H178" s="2" t="s">
        <v>65</v>
      </c>
      <c r="O178" s="2" t="s">
        <v>65</v>
      </c>
      <c r="V178" s="15"/>
    </row>
    <row r="179" spans="1:22" x14ac:dyDescent="0.25">
      <c r="A179" s="16" t="s">
        <v>59</v>
      </c>
      <c r="B179" s="16" t="s">
        <v>81</v>
      </c>
      <c r="C179" s="16" t="s">
        <v>82</v>
      </c>
      <c r="D179" s="16" t="s">
        <v>64</v>
      </c>
      <c r="E179" s="16" t="s">
        <v>63</v>
      </c>
      <c r="F179" s="16" t="s">
        <v>18</v>
      </c>
      <c r="G179" s="16"/>
      <c r="H179" s="16" t="s">
        <v>12</v>
      </c>
      <c r="I179" s="16" t="s">
        <v>81</v>
      </c>
      <c r="J179" s="16" t="s">
        <v>82</v>
      </c>
      <c r="K179" s="16" t="s">
        <v>64</v>
      </c>
      <c r="L179" s="16" t="s">
        <v>63</v>
      </c>
      <c r="M179" s="16" t="s">
        <v>18</v>
      </c>
      <c r="N179" s="16"/>
      <c r="O179" s="16" t="s">
        <v>13</v>
      </c>
      <c r="P179" s="16" t="s">
        <v>81</v>
      </c>
      <c r="Q179" s="16" t="s">
        <v>82</v>
      </c>
      <c r="R179" s="16" t="s">
        <v>64</v>
      </c>
      <c r="S179" s="16" t="s">
        <v>63</v>
      </c>
      <c r="T179" s="16" t="s">
        <v>18</v>
      </c>
    </row>
    <row r="180" spans="1:22" x14ac:dyDescent="0.25">
      <c r="A180" s="16" t="s">
        <v>0</v>
      </c>
      <c r="B180" s="16" t="s">
        <v>1</v>
      </c>
      <c r="C180" s="17">
        <v>107073003</v>
      </c>
      <c r="D180" s="17">
        <v>100154973</v>
      </c>
      <c r="E180" s="17">
        <v>103073003</v>
      </c>
      <c r="F180" s="17">
        <f>AVERAGE(Table1436281287[[#This Row],[Teste 1]:[Teste 3]])</f>
        <v>103433659.66666667</v>
      </c>
      <c r="G180" s="16"/>
      <c r="H180" s="16" t="s">
        <v>0</v>
      </c>
      <c r="I180" s="16" t="s">
        <v>1</v>
      </c>
      <c r="J180" s="17">
        <v>33352025</v>
      </c>
      <c r="K180" s="17">
        <v>34608204</v>
      </c>
      <c r="L180" s="17">
        <v>33999795</v>
      </c>
      <c r="M180" s="17">
        <f>AVERAGE(Table1436281287299[[#This Row],[Teste 1]:[Teste 3]])</f>
        <v>33986674.666666664</v>
      </c>
      <c r="N180" s="16"/>
      <c r="O180" s="16" t="s">
        <v>0</v>
      </c>
      <c r="P180" s="16" t="s">
        <v>1</v>
      </c>
      <c r="Q180" s="17">
        <v>7189339</v>
      </c>
      <c r="R180" s="17">
        <v>7690712</v>
      </c>
      <c r="S180" s="17">
        <v>7555510</v>
      </c>
      <c r="T180" s="17">
        <f>AVERAGE(Table1436281287299311[[#This Row],[Teste 1]:[Teste 3]])</f>
        <v>7478520.333333333</v>
      </c>
      <c r="V180" s="15"/>
    </row>
    <row r="181" spans="1:22" x14ac:dyDescent="0.25">
      <c r="A181" s="16" t="s">
        <v>0</v>
      </c>
      <c r="B181" s="16" t="s">
        <v>2</v>
      </c>
      <c r="C181" s="17">
        <v>93.394223752181404</v>
      </c>
      <c r="D181" s="17">
        <v>99.845266794690204</v>
      </c>
      <c r="E181" s="17">
        <v>96.8454664946902</v>
      </c>
      <c r="F181" s="17">
        <f>AVERAGE(Table1436281287[[#This Row],[Teste 1]:[Teste 3]])</f>
        <v>96.694985680520588</v>
      </c>
      <c r="G181" s="16"/>
      <c r="H181" s="16" t="s">
        <v>0</v>
      </c>
      <c r="I181" s="16" t="s">
        <v>2</v>
      </c>
      <c r="J181" s="17">
        <v>309.08999999999997</v>
      </c>
      <c r="K181" s="17">
        <v>288.95</v>
      </c>
      <c r="L181" s="17">
        <v>294.12</v>
      </c>
      <c r="M181" s="17">
        <f>AVERAGE(Table1436281287299[[#This Row],[Teste 1]:[Teste 3]])</f>
        <v>297.38666666666666</v>
      </c>
      <c r="N181" s="16"/>
      <c r="O181" s="16" t="s">
        <v>0</v>
      </c>
      <c r="P181" s="16" t="s">
        <v>2</v>
      </c>
      <c r="Q181" s="17">
        <v>1390.94845854396</v>
      </c>
      <c r="R181" s="17">
        <v>1300.26972795236</v>
      </c>
      <c r="S181" s="17">
        <v>1323.53739191662</v>
      </c>
      <c r="T181" s="17">
        <f>AVERAGE(Table1436281287299311[[#This Row],[Teste 1]:[Teste 3]])</f>
        <v>1338.25185947098</v>
      </c>
    </row>
    <row r="182" spans="1:22" x14ac:dyDescent="0.25">
      <c r="A182" s="16" t="s">
        <v>16</v>
      </c>
      <c r="B182" s="16" t="s">
        <v>4</v>
      </c>
      <c r="C182" s="17">
        <v>4999119</v>
      </c>
      <c r="D182" s="17">
        <v>5001927</v>
      </c>
      <c r="E182" s="17">
        <v>5001125</v>
      </c>
      <c r="F182" s="17">
        <f>AVERAGE(Table1436281287[[#This Row],[Teste 1]:[Teste 3]])</f>
        <v>5000723.666666667</v>
      </c>
      <c r="G182" s="16"/>
      <c r="H182" s="16" t="s">
        <v>16</v>
      </c>
      <c r="I182" s="16" t="s">
        <v>4</v>
      </c>
      <c r="J182" s="17">
        <v>5000904</v>
      </c>
      <c r="K182" s="17">
        <v>40229137</v>
      </c>
      <c r="L182" s="17">
        <v>4999797</v>
      </c>
      <c r="M182" s="17">
        <f>AVERAGE(Table1436281287299[[#This Row],[Teste 1]:[Teste 3]])</f>
        <v>16743279.333333334</v>
      </c>
      <c r="N182" s="16"/>
      <c r="O182" s="16" t="s">
        <v>16</v>
      </c>
      <c r="P182" s="16" t="s">
        <v>4</v>
      </c>
      <c r="Q182" s="17">
        <v>4998492</v>
      </c>
      <c r="R182" s="17">
        <v>4999536</v>
      </c>
      <c r="S182" s="17">
        <v>5000128</v>
      </c>
      <c r="T182" s="17">
        <f>AVERAGE(Table1436281287299311[[#This Row],[Teste 1]:[Teste 3]])</f>
        <v>4999385.333333333</v>
      </c>
    </row>
    <row r="183" spans="1:22" x14ac:dyDescent="0.25">
      <c r="A183" s="16" t="s">
        <v>16</v>
      </c>
      <c r="B183" s="16" t="s">
        <v>5</v>
      </c>
      <c r="C183" s="17">
        <v>21090.052418235999</v>
      </c>
      <c r="D183" s="17">
        <v>19661.252995895298</v>
      </c>
      <c r="E183" s="17">
        <v>18761.252995895298</v>
      </c>
      <c r="F183" s="17">
        <f>AVERAGE(Table1436281287[[#This Row],[Teste 1]:[Teste 3]])</f>
        <v>19837.519470008865</v>
      </c>
      <c r="G183" s="16"/>
      <c r="H183" s="16" t="s">
        <v>16</v>
      </c>
      <c r="I183" s="16" t="s">
        <v>5</v>
      </c>
      <c r="J183" s="17">
        <v>2890.24</v>
      </c>
      <c r="K183" s="17">
        <v>3109.7</v>
      </c>
      <c r="L183" s="17">
        <v>3052.42</v>
      </c>
      <c r="M183" s="17">
        <f>AVERAGE(Table1436281287299[[#This Row],[Teste 1]:[Teste 3]])</f>
        <v>3017.4533333333334</v>
      </c>
      <c r="N183" s="16"/>
      <c r="O183" s="16" t="s">
        <v>16</v>
      </c>
      <c r="P183" s="16" t="s">
        <v>5</v>
      </c>
      <c r="Q183" s="17">
        <v>642.27576317017201</v>
      </c>
      <c r="R183" s="17">
        <v>691.04498657475403</v>
      </c>
      <c r="S183" s="17">
        <v>678.31482074058897</v>
      </c>
      <c r="T183" s="17">
        <f>AVERAGE(Table1436281287299311[[#This Row],[Teste 1]:[Teste 3]])</f>
        <v>670.54519016183838</v>
      </c>
    </row>
    <row r="184" spans="1:22" x14ac:dyDescent="0.25">
      <c r="A184" s="16" t="s">
        <v>16</v>
      </c>
      <c r="B184" s="16" t="s">
        <v>6</v>
      </c>
      <c r="C184" s="17">
        <v>75</v>
      </c>
      <c r="D184" s="17">
        <v>80</v>
      </c>
      <c r="E184" s="17">
        <v>78</v>
      </c>
      <c r="F184" s="17">
        <f>AVERAGE(Table1436281287[[#This Row],[Teste 1]:[Teste 3]])</f>
        <v>77.666666666666671</v>
      </c>
      <c r="G184" s="16"/>
      <c r="H184" s="16" t="s">
        <v>16</v>
      </c>
      <c r="I184" s="16" t="s">
        <v>6</v>
      </c>
      <c r="J184" s="17">
        <v>432</v>
      </c>
      <c r="K184" s="17">
        <v>459</v>
      </c>
      <c r="L184" s="17">
        <v>468</v>
      </c>
      <c r="M184" s="17">
        <f>AVERAGE(Table1436281287299[[#This Row],[Teste 1]:[Teste 3]])</f>
        <v>453</v>
      </c>
      <c r="N184" s="16"/>
      <c r="O184" s="16" t="s">
        <v>16</v>
      </c>
      <c r="P184" s="16" t="s">
        <v>6</v>
      </c>
      <c r="Q184" s="17">
        <v>96</v>
      </c>
      <c r="R184" s="17">
        <v>102</v>
      </c>
      <c r="S184" s="17">
        <v>104</v>
      </c>
      <c r="T184" s="17">
        <f>AVERAGE(Table1436281287299311[[#This Row],[Teste 1]:[Teste 3]])</f>
        <v>100.66666666666667</v>
      </c>
    </row>
    <row r="185" spans="1:22" x14ac:dyDescent="0.25">
      <c r="A185" s="16" t="s">
        <v>16</v>
      </c>
      <c r="B185" s="16" t="s">
        <v>7</v>
      </c>
      <c r="C185" s="17">
        <v>6361087</v>
      </c>
      <c r="D185" s="17">
        <v>6909951</v>
      </c>
      <c r="E185" s="17">
        <v>6506412</v>
      </c>
      <c r="F185" s="17">
        <f>AVERAGE(Table1436281287[[#This Row],[Teste 1]:[Teste 3]])</f>
        <v>6592483.333333333</v>
      </c>
      <c r="G185" s="16"/>
      <c r="H185" s="16" t="s">
        <v>16</v>
      </c>
      <c r="I185" s="16" t="s">
        <v>7</v>
      </c>
      <c r="J185" s="17">
        <v>12754939</v>
      </c>
      <c r="K185" s="17">
        <v>13215739</v>
      </c>
      <c r="L185" s="17">
        <v>6064124</v>
      </c>
      <c r="M185" s="17">
        <f>AVERAGE(Table1436281287299[[#This Row],[Teste 1]:[Teste 3]])</f>
        <v>10678267.333333334</v>
      </c>
      <c r="N185" s="16"/>
      <c r="O185" s="16" t="s">
        <v>16</v>
      </c>
      <c r="P185" s="16" t="s">
        <v>7</v>
      </c>
      <c r="Q185" s="17">
        <v>2834431</v>
      </c>
      <c r="R185" s="17">
        <v>2936831</v>
      </c>
      <c r="S185" s="17">
        <v>1347583</v>
      </c>
      <c r="T185" s="17">
        <f>AVERAGE(Table1436281287299311[[#This Row],[Teste 1]:[Teste 3]])</f>
        <v>2372948.3333333335</v>
      </c>
    </row>
    <row r="186" spans="1:22" x14ac:dyDescent="0.25">
      <c r="A186" s="16" t="s">
        <v>16</v>
      </c>
      <c r="B186" s="16" t="s">
        <v>8</v>
      </c>
      <c r="C186" s="17">
        <v>65599</v>
      </c>
      <c r="D186" s="17">
        <v>61151</v>
      </c>
      <c r="E186" s="17">
        <v>63354</v>
      </c>
      <c r="F186" s="17">
        <f>AVERAGE(Table1436281287[[#This Row],[Teste 1]:[Teste 3]])</f>
        <v>63368</v>
      </c>
      <c r="G186" s="16"/>
      <c r="H186" s="16" t="s">
        <v>16</v>
      </c>
      <c r="I186" s="16" t="s">
        <v>8</v>
      </c>
      <c r="J186" s="17">
        <v>4761</v>
      </c>
      <c r="K186" s="17">
        <v>5684</v>
      </c>
      <c r="L186" s="17">
        <v>5611</v>
      </c>
      <c r="M186" s="17">
        <f>AVERAGE(Table1436281287299[[#This Row],[Teste 1]:[Teste 3]])</f>
        <v>5352</v>
      </c>
      <c r="N186" s="16"/>
      <c r="O186" s="16" t="s">
        <v>16</v>
      </c>
      <c r="P186" s="16" t="s">
        <v>8</v>
      </c>
      <c r="Q186" s="17">
        <v>1058</v>
      </c>
      <c r="R186" s="17">
        <v>1263</v>
      </c>
      <c r="S186" s="17">
        <v>1247</v>
      </c>
      <c r="T186" s="17">
        <f>AVERAGE(Table1436281287299311[[#This Row],[Teste 1]:[Teste 3]])</f>
        <v>1189.3333333333333</v>
      </c>
    </row>
    <row r="187" spans="1:22" x14ac:dyDescent="0.25">
      <c r="A187" s="16" t="s">
        <v>16</v>
      </c>
      <c r="B187" s="16" t="s">
        <v>9</v>
      </c>
      <c r="C187" s="17">
        <v>72191</v>
      </c>
      <c r="D187" s="17">
        <v>68863</v>
      </c>
      <c r="E187" s="17">
        <v>69987</v>
      </c>
      <c r="F187" s="17">
        <f>AVERAGE(Table1436281287[[#This Row],[Teste 1]:[Teste 3]])</f>
        <v>70347</v>
      </c>
      <c r="G187" s="16"/>
      <c r="H187" s="16" t="s">
        <v>16</v>
      </c>
      <c r="I187" s="16" t="s">
        <v>9</v>
      </c>
      <c r="J187" s="17">
        <v>23233</v>
      </c>
      <c r="K187" s="17">
        <v>22765</v>
      </c>
      <c r="L187" s="17">
        <v>22495</v>
      </c>
      <c r="M187" s="17">
        <f>AVERAGE(Table1436281287299[[#This Row],[Teste 1]:[Teste 3]])</f>
        <v>22831</v>
      </c>
      <c r="N187" s="16"/>
      <c r="O187" s="16" t="s">
        <v>16</v>
      </c>
      <c r="P187" s="16" t="s">
        <v>9</v>
      </c>
      <c r="Q187" s="17">
        <v>5163</v>
      </c>
      <c r="R187" s="17">
        <v>5059</v>
      </c>
      <c r="S187" s="17">
        <v>4999</v>
      </c>
      <c r="T187" s="17">
        <f>AVERAGE(Table1436281287299311[[#This Row],[Teste 1]:[Teste 3]])</f>
        <v>5073.666666666667</v>
      </c>
    </row>
    <row r="188" spans="1:22" x14ac:dyDescent="0.25">
      <c r="A188" s="16" t="s">
        <v>16</v>
      </c>
      <c r="B188" s="16" t="s">
        <v>11</v>
      </c>
      <c r="C188" s="17">
        <v>4999119</v>
      </c>
      <c r="D188" s="17">
        <v>5001927</v>
      </c>
      <c r="E188" s="17">
        <v>5001125</v>
      </c>
      <c r="F188" s="17">
        <f>AVERAGE(Table1436281287[[#This Row],[Teste 1]:[Teste 3]])</f>
        <v>5000723.666666667</v>
      </c>
      <c r="G188" s="16"/>
      <c r="H188" s="16" t="s">
        <v>16</v>
      </c>
      <c r="I188" s="16" t="s">
        <v>11</v>
      </c>
      <c r="J188" s="17">
        <v>5000904</v>
      </c>
      <c r="K188" s="17">
        <v>40229137</v>
      </c>
      <c r="L188" s="17">
        <v>4999797</v>
      </c>
      <c r="M188" s="17">
        <f>AVERAGE(Table1436281287299[[#This Row],[Teste 1]:[Teste 3]])</f>
        <v>16743279.333333334</v>
      </c>
      <c r="N188" s="16"/>
      <c r="O188" s="16" t="s">
        <v>16</v>
      </c>
      <c r="P188" s="16" t="s">
        <v>11</v>
      </c>
      <c r="Q188" s="17">
        <v>4998492</v>
      </c>
      <c r="R188" s="17">
        <v>4999536</v>
      </c>
      <c r="S188" s="17">
        <v>5000128</v>
      </c>
      <c r="T188" s="17">
        <f>AVERAGE(Table1436281287299311[[#This Row],[Teste 1]:[Teste 3]])</f>
        <v>4999385.333333333</v>
      </c>
    </row>
    <row r="189" spans="1:22" x14ac:dyDescent="0.25">
      <c r="A189" s="16" t="s">
        <v>3</v>
      </c>
      <c r="B189" s="16" t="s">
        <v>4</v>
      </c>
      <c r="C189" s="17">
        <v>1</v>
      </c>
      <c r="D189" s="17">
        <v>1</v>
      </c>
      <c r="E189" s="17">
        <v>1</v>
      </c>
      <c r="F189" s="17">
        <f>AVERAGE(Table1436281287[[#This Row],[Teste 1]:[Teste 3]])</f>
        <v>1</v>
      </c>
      <c r="G189" s="16"/>
      <c r="H189" s="16" t="s">
        <v>3</v>
      </c>
      <c r="I189" s="16" t="s">
        <v>4</v>
      </c>
      <c r="J189" s="17">
        <v>1</v>
      </c>
      <c r="K189" s="17">
        <v>1</v>
      </c>
      <c r="L189" s="17">
        <v>1</v>
      </c>
      <c r="M189" s="17">
        <f>AVERAGE(Table1436281287299[[#This Row],[Teste 1]:[Teste 3]])</f>
        <v>1</v>
      </c>
      <c r="N189" s="16"/>
      <c r="O189" s="16" t="s">
        <v>3</v>
      </c>
      <c r="P189" s="16" t="s">
        <v>4</v>
      </c>
      <c r="Q189" s="17">
        <v>1</v>
      </c>
      <c r="R189" s="17">
        <v>1</v>
      </c>
      <c r="S189" s="17">
        <v>1</v>
      </c>
      <c r="T189" s="17">
        <f>AVERAGE(Table1436281287299311[[#This Row],[Teste 1]:[Teste 3]])</f>
        <v>1</v>
      </c>
    </row>
    <row r="190" spans="1:22" x14ac:dyDescent="0.25">
      <c r="A190" s="16" t="s">
        <v>3</v>
      </c>
      <c r="B190" s="16" t="s">
        <v>5</v>
      </c>
      <c r="C190" s="17">
        <v>2</v>
      </c>
      <c r="D190" s="17">
        <v>2</v>
      </c>
      <c r="E190" s="17">
        <v>2</v>
      </c>
      <c r="F190" s="17">
        <f>AVERAGE(Table1436281287[[#This Row],[Teste 1]:[Teste 3]])</f>
        <v>2</v>
      </c>
      <c r="G190" s="16"/>
      <c r="H190" s="16" t="s">
        <v>3</v>
      </c>
      <c r="I190" s="16" t="s">
        <v>5</v>
      </c>
      <c r="J190" s="17">
        <v>9</v>
      </c>
      <c r="K190" s="17">
        <v>9</v>
      </c>
      <c r="L190" s="17">
        <v>10</v>
      </c>
      <c r="M190" s="17">
        <f>AVERAGE(Table1436281287299[[#This Row],[Teste 1]:[Teste 3]])</f>
        <v>9.3333333333333339</v>
      </c>
      <c r="N190" s="16"/>
      <c r="O190" s="16" t="s">
        <v>3</v>
      </c>
      <c r="P190" s="16" t="s">
        <v>5</v>
      </c>
      <c r="Q190" s="17">
        <v>23816</v>
      </c>
      <c r="R190" s="17">
        <v>44720</v>
      </c>
      <c r="S190" s="17">
        <v>10588</v>
      </c>
      <c r="T190" s="17">
        <f>AVERAGE(Table1436281287299311[[#This Row],[Teste 1]:[Teste 3]])</f>
        <v>26374.666666666668</v>
      </c>
    </row>
    <row r="191" spans="1:22" x14ac:dyDescent="0.25">
      <c r="A191" s="16" t="s">
        <v>3</v>
      </c>
      <c r="B191" s="16" t="s">
        <v>6</v>
      </c>
      <c r="C191" s="17">
        <v>2</v>
      </c>
      <c r="D191" s="17">
        <v>2</v>
      </c>
      <c r="E191" s="17">
        <v>2</v>
      </c>
      <c r="F191" s="17">
        <f>AVERAGE(Table1436281287[[#This Row],[Teste 1]:[Teste 3]])</f>
        <v>2</v>
      </c>
      <c r="G191" s="16"/>
      <c r="H191" s="16" t="s">
        <v>3</v>
      </c>
      <c r="I191" s="16" t="s">
        <v>6</v>
      </c>
      <c r="J191" s="17">
        <v>9</v>
      </c>
      <c r="K191" s="17">
        <v>9</v>
      </c>
      <c r="L191" s="17">
        <v>10</v>
      </c>
      <c r="M191" s="17">
        <f>AVERAGE(Table1436281287299[[#This Row],[Teste 1]:[Teste 3]])</f>
        <v>9.3333333333333339</v>
      </c>
      <c r="N191" s="16"/>
      <c r="O191" s="16" t="s">
        <v>3</v>
      </c>
      <c r="P191" s="16" t="s">
        <v>6</v>
      </c>
      <c r="Q191" s="17">
        <v>23808</v>
      </c>
      <c r="R191" s="17">
        <v>44704</v>
      </c>
      <c r="S191" s="17">
        <v>10584</v>
      </c>
      <c r="T191" s="17">
        <f>AVERAGE(Table1436281287299311[[#This Row],[Teste 1]:[Teste 3]])</f>
        <v>26365.333333333332</v>
      </c>
    </row>
    <row r="192" spans="1:22" x14ac:dyDescent="0.25">
      <c r="A192" s="16" t="s">
        <v>3</v>
      </c>
      <c r="B192" s="16" t="s">
        <v>7</v>
      </c>
      <c r="C192" s="17">
        <v>2</v>
      </c>
      <c r="D192" s="17">
        <v>2</v>
      </c>
      <c r="E192" s="17">
        <v>2</v>
      </c>
      <c r="F192" s="17">
        <f>AVERAGE(Table1436281287[[#This Row],[Teste 1]:[Teste 3]])</f>
        <v>2</v>
      </c>
      <c r="G192" s="16"/>
      <c r="H192" s="16" t="s">
        <v>3</v>
      </c>
      <c r="I192" s="16" t="s">
        <v>7</v>
      </c>
      <c r="J192" s="17">
        <v>9</v>
      </c>
      <c r="K192" s="17">
        <v>9</v>
      </c>
      <c r="L192" s="17">
        <v>10</v>
      </c>
      <c r="M192" s="17">
        <f>AVERAGE(Table1436281287299[[#This Row],[Teste 1]:[Teste 3]])</f>
        <v>9.3333333333333339</v>
      </c>
      <c r="N192" s="16"/>
      <c r="O192" s="16" t="s">
        <v>3</v>
      </c>
      <c r="P192" s="16" t="s">
        <v>7</v>
      </c>
      <c r="Q192" s="17">
        <v>23823</v>
      </c>
      <c r="R192" s="17">
        <v>44735</v>
      </c>
      <c r="S192" s="17">
        <v>10591</v>
      </c>
      <c r="T192" s="17">
        <f>AVERAGE(Table1436281287299311[[#This Row],[Teste 1]:[Teste 3]])</f>
        <v>26383</v>
      </c>
    </row>
    <row r="193" spans="1:20" x14ac:dyDescent="0.25">
      <c r="A193" s="16" t="s">
        <v>3</v>
      </c>
      <c r="B193" s="16" t="s">
        <v>8</v>
      </c>
      <c r="C193" s="17">
        <v>2</v>
      </c>
      <c r="D193" s="17">
        <v>2</v>
      </c>
      <c r="E193" s="17">
        <v>2</v>
      </c>
      <c r="F193" s="17">
        <f>AVERAGE(Table1436281287[[#This Row],[Teste 1]:[Teste 3]])</f>
        <v>2</v>
      </c>
      <c r="G193" s="16"/>
      <c r="H193" s="16" t="s">
        <v>3</v>
      </c>
      <c r="I193" s="16" t="s">
        <v>8</v>
      </c>
      <c r="J193" s="17">
        <v>9</v>
      </c>
      <c r="K193" s="17">
        <v>9</v>
      </c>
      <c r="L193" s="17">
        <v>10</v>
      </c>
      <c r="M193" s="17">
        <f>AVERAGE(Table1436281287299[[#This Row],[Teste 1]:[Teste 3]])</f>
        <v>9.3333333333333339</v>
      </c>
      <c r="N193" s="16"/>
      <c r="O193" s="16" t="s">
        <v>3</v>
      </c>
      <c r="P193" s="16" t="s">
        <v>8</v>
      </c>
      <c r="Q193" s="17">
        <v>23823</v>
      </c>
      <c r="R193" s="17">
        <v>44735</v>
      </c>
      <c r="S193" s="17">
        <v>10591</v>
      </c>
      <c r="T193" s="17">
        <f>AVERAGE(Table1436281287299311[[#This Row],[Teste 1]:[Teste 3]])</f>
        <v>26383</v>
      </c>
    </row>
    <row r="194" spans="1:20" x14ac:dyDescent="0.25">
      <c r="A194" s="16" t="s">
        <v>3</v>
      </c>
      <c r="B194" s="16" t="s">
        <v>9</v>
      </c>
      <c r="C194" s="17">
        <v>2</v>
      </c>
      <c r="D194" s="17">
        <v>2</v>
      </c>
      <c r="E194" s="17">
        <v>2</v>
      </c>
      <c r="F194" s="17">
        <f>AVERAGE(Table1436281287[[#This Row],[Teste 1]:[Teste 3]])</f>
        <v>2</v>
      </c>
      <c r="G194" s="16"/>
      <c r="H194" s="16" t="s">
        <v>3</v>
      </c>
      <c r="I194" s="16" t="s">
        <v>9</v>
      </c>
      <c r="J194" s="17">
        <v>9</v>
      </c>
      <c r="K194" s="17">
        <v>9</v>
      </c>
      <c r="L194" s="17">
        <v>10</v>
      </c>
      <c r="M194" s="17">
        <f>AVERAGE(Table1436281287299[[#This Row],[Teste 1]:[Teste 3]])</f>
        <v>9.3333333333333339</v>
      </c>
      <c r="N194" s="16"/>
      <c r="O194" s="16" t="s">
        <v>3</v>
      </c>
      <c r="P194" s="16" t="s">
        <v>9</v>
      </c>
      <c r="Q194" s="17">
        <v>23823</v>
      </c>
      <c r="R194" s="17">
        <v>44735</v>
      </c>
      <c r="S194" s="17">
        <v>10591</v>
      </c>
      <c r="T194" s="17">
        <f>AVERAGE(Table1436281287299311[[#This Row],[Teste 1]:[Teste 3]])</f>
        <v>26383</v>
      </c>
    </row>
    <row r="195" spans="1:20" x14ac:dyDescent="0.25">
      <c r="A195" s="16" t="s">
        <v>17</v>
      </c>
      <c r="B195" s="16" t="s">
        <v>4</v>
      </c>
      <c r="C195" s="17">
        <v>5000881</v>
      </c>
      <c r="D195" s="17">
        <v>4998073</v>
      </c>
      <c r="E195" s="17">
        <v>5000028</v>
      </c>
      <c r="F195" s="17">
        <f>AVERAGE(Table1436281287[[#This Row],[Teste 1]:[Teste 3]])</f>
        <v>4999660.666666667</v>
      </c>
      <c r="G195" s="16"/>
      <c r="H195" s="16" t="s">
        <v>17</v>
      </c>
      <c r="I195" s="16" t="s">
        <v>4</v>
      </c>
      <c r="J195" s="17">
        <v>4999096</v>
      </c>
      <c r="K195" s="17">
        <v>4999724</v>
      </c>
      <c r="L195" s="17">
        <v>5000203</v>
      </c>
      <c r="M195" s="17">
        <f>AVERAGE(Table1436281287299[[#This Row],[Teste 1]:[Teste 3]])</f>
        <v>4999674.333333333</v>
      </c>
      <c r="N195" s="16"/>
      <c r="O195" s="16" t="s">
        <v>17</v>
      </c>
      <c r="P195" s="16" t="s">
        <v>4</v>
      </c>
      <c r="Q195" s="17">
        <v>5001508</v>
      </c>
      <c r="R195" s="17">
        <v>5000464</v>
      </c>
      <c r="S195" s="17">
        <v>4999872</v>
      </c>
      <c r="T195" s="17">
        <f>AVERAGE(Table1436281287299311[[#This Row],[Teste 1]:[Teste 3]])</f>
        <v>5000614.666666667</v>
      </c>
    </row>
    <row r="196" spans="1:20" x14ac:dyDescent="0.25">
      <c r="A196" s="16" t="s">
        <v>17</v>
      </c>
      <c r="B196" s="16" t="s">
        <v>5</v>
      </c>
      <c r="C196" s="17">
        <v>317.89220779298603</v>
      </c>
      <c r="D196" s="17">
        <v>350.80968705339001</v>
      </c>
      <c r="E196" s="17">
        <v>341.65412705339003</v>
      </c>
      <c r="F196" s="17">
        <f>AVERAGE(Table1436281287[[#This Row],[Teste 1]:[Teste 3]])</f>
        <v>336.78534063325537</v>
      </c>
      <c r="G196" s="16"/>
      <c r="H196" s="16" t="s">
        <v>17</v>
      </c>
      <c r="I196" s="16" t="s">
        <v>5</v>
      </c>
      <c r="J196" s="17">
        <v>3544.04</v>
      </c>
      <c r="K196" s="17">
        <v>3772.48</v>
      </c>
      <c r="L196" s="17">
        <v>3709.62</v>
      </c>
      <c r="M196" s="17">
        <f>AVERAGE(Table1436281287299[[#This Row],[Teste 1]:[Teste 3]])</f>
        <v>3675.3799999999997</v>
      </c>
      <c r="N196" s="16"/>
      <c r="O196" s="16" t="s">
        <v>17</v>
      </c>
      <c r="P196" s="16" t="s">
        <v>5</v>
      </c>
      <c r="Q196" s="17">
        <v>787.56484704213199</v>
      </c>
      <c r="R196" s="17">
        <v>838.32903086593501</v>
      </c>
      <c r="S196" s="17">
        <v>824.35966360738803</v>
      </c>
      <c r="T196" s="17">
        <f>AVERAGE(Table1436281287299311[[#This Row],[Teste 1]:[Teste 3]])</f>
        <v>816.75118050515175</v>
      </c>
    </row>
    <row r="197" spans="1:20" x14ac:dyDescent="0.25">
      <c r="A197" s="16" t="s">
        <v>17</v>
      </c>
      <c r="B197" s="16" t="s">
        <v>6</v>
      </c>
      <c r="C197" s="17">
        <v>112</v>
      </c>
      <c r="D197" s="17">
        <v>99</v>
      </c>
      <c r="E197" s="17">
        <v>101</v>
      </c>
      <c r="F197" s="17">
        <f>AVERAGE(Table1436281287[[#This Row],[Teste 1]:[Teste 3]])</f>
        <v>104</v>
      </c>
      <c r="G197" s="16"/>
      <c r="H197" s="16" t="s">
        <v>17</v>
      </c>
      <c r="I197" s="16" t="s">
        <v>6</v>
      </c>
      <c r="J197" s="17">
        <v>693</v>
      </c>
      <c r="K197" s="17">
        <v>747</v>
      </c>
      <c r="L197" s="17">
        <v>765</v>
      </c>
      <c r="M197" s="17">
        <f>AVERAGE(Table1436281287299[[#This Row],[Teste 1]:[Teste 3]])</f>
        <v>735</v>
      </c>
      <c r="N197" s="16"/>
      <c r="O197" s="16" t="s">
        <v>17</v>
      </c>
      <c r="P197" s="16" t="s">
        <v>6</v>
      </c>
      <c r="Q197" s="17">
        <v>154</v>
      </c>
      <c r="R197" s="17">
        <v>166</v>
      </c>
      <c r="S197" s="17">
        <v>170</v>
      </c>
      <c r="T197" s="17">
        <f>AVERAGE(Table1436281287299311[[#This Row],[Teste 1]:[Teste 3]])</f>
        <v>163.33333333333334</v>
      </c>
    </row>
    <row r="198" spans="1:20" x14ac:dyDescent="0.25">
      <c r="A198" s="16" t="s">
        <v>17</v>
      </c>
      <c r="B198" s="16" t="s">
        <v>7</v>
      </c>
      <c r="C198" s="17">
        <v>3067903</v>
      </c>
      <c r="D198" s="17">
        <v>152959</v>
      </c>
      <c r="E198" s="17">
        <v>256525</v>
      </c>
      <c r="F198" s="17">
        <f>AVERAGE(Table1436281287[[#This Row],[Teste 1]:[Teste 3]])</f>
        <v>1159129</v>
      </c>
      <c r="G198" s="16"/>
      <c r="H198" s="16" t="s">
        <v>17</v>
      </c>
      <c r="I198" s="16" t="s">
        <v>7</v>
      </c>
      <c r="J198" s="17">
        <v>8077819</v>
      </c>
      <c r="K198" s="17">
        <v>8510972</v>
      </c>
      <c r="L198" s="17">
        <v>10008572</v>
      </c>
      <c r="M198" s="17">
        <f>AVERAGE(Table1436281287299[[#This Row],[Teste 1]:[Teste 3]])</f>
        <v>8865787.666666666</v>
      </c>
      <c r="N198" s="16"/>
      <c r="O198" s="16" t="s">
        <v>17</v>
      </c>
      <c r="P198" s="16" t="s">
        <v>7</v>
      </c>
      <c r="Q198" s="17">
        <v>1795071</v>
      </c>
      <c r="R198" s="17">
        <v>1891327</v>
      </c>
      <c r="S198" s="17">
        <v>2224127</v>
      </c>
      <c r="T198" s="17">
        <f>AVERAGE(Table1436281287299311[[#This Row],[Teste 1]:[Teste 3]])</f>
        <v>1970175</v>
      </c>
    </row>
    <row r="199" spans="1:20" x14ac:dyDescent="0.25">
      <c r="A199" s="16" t="s">
        <v>17</v>
      </c>
      <c r="B199" s="16" t="s">
        <v>8</v>
      </c>
      <c r="C199" s="17">
        <v>479</v>
      </c>
      <c r="D199" s="17">
        <v>532</v>
      </c>
      <c r="E199" s="17">
        <v>501</v>
      </c>
      <c r="F199" s="17">
        <f>AVERAGE(Table1436281287[[#This Row],[Teste 1]:[Teste 3]])</f>
        <v>504</v>
      </c>
      <c r="G199" s="16"/>
      <c r="H199" s="16" t="s">
        <v>17</v>
      </c>
      <c r="I199" s="16" t="s">
        <v>8</v>
      </c>
      <c r="J199" s="17">
        <v>5697</v>
      </c>
      <c r="K199" s="17">
        <v>6719</v>
      </c>
      <c r="L199" s="17">
        <v>6624</v>
      </c>
      <c r="M199" s="17">
        <f>AVERAGE(Table1436281287299[[#This Row],[Teste 1]:[Teste 3]])</f>
        <v>6346.666666666667</v>
      </c>
      <c r="N199" s="16"/>
      <c r="O199" s="16" t="s">
        <v>17</v>
      </c>
      <c r="P199" s="16" t="s">
        <v>8</v>
      </c>
      <c r="Q199" s="17">
        <v>1266</v>
      </c>
      <c r="R199" s="17">
        <v>1493</v>
      </c>
      <c r="S199" s="17">
        <v>1472</v>
      </c>
      <c r="T199" s="17">
        <f>AVERAGE(Table1436281287299311[[#This Row],[Teste 1]:[Teste 3]])</f>
        <v>1410.3333333333333</v>
      </c>
    </row>
    <row r="200" spans="1:20" x14ac:dyDescent="0.25">
      <c r="A200" s="16" t="s">
        <v>17</v>
      </c>
      <c r="B200" s="16" t="s">
        <v>9</v>
      </c>
      <c r="C200" s="17">
        <v>700</v>
      </c>
      <c r="D200" s="17">
        <v>1261</v>
      </c>
      <c r="E200" s="17">
        <v>937</v>
      </c>
      <c r="F200" s="17">
        <f>AVERAGE(Table1436281287[[#This Row],[Teste 1]:[Teste 3]])</f>
        <v>966</v>
      </c>
      <c r="G200" s="16"/>
      <c r="H200" s="16" t="s">
        <v>17</v>
      </c>
      <c r="I200" s="16" t="s">
        <v>9</v>
      </c>
      <c r="J200" s="17">
        <v>24638</v>
      </c>
      <c r="K200" s="17">
        <v>24026</v>
      </c>
      <c r="L200" s="17">
        <v>23828</v>
      </c>
      <c r="M200" s="17">
        <f>AVERAGE(Table1436281287299[[#This Row],[Teste 1]:[Teste 3]])</f>
        <v>24164</v>
      </c>
      <c r="N200" s="16"/>
      <c r="O200" s="16" t="s">
        <v>17</v>
      </c>
      <c r="P200" s="16" t="s">
        <v>9</v>
      </c>
      <c r="Q200" s="17">
        <v>5475</v>
      </c>
      <c r="R200" s="17">
        <v>5339</v>
      </c>
      <c r="S200" s="17">
        <v>5295</v>
      </c>
      <c r="T200" s="17">
        <f>AVERAGE(Table1436281287299311[[#This Row],[Teste 1]:[Teste 3]])</f>
        <v>5369.666666666667</v>
      </c>
    </row>
    <row r="201" spans="1:20" x14ac:dyDescent="0.25">
      <c r="A201" s="16" t="s">
        <v>17</v>
      </c>
      <c r="B201" s="16" t="s">
        <v>11</v>
      </c>
      <c r="C201" s="17">
        <v>5000881</v>
      </c>
      <c r="D201" s="17">
        <v>4998073</v>
      </c>
      <c r="E201" s="17">
        <v>5000028</v>
      </c>
      <c r="F201" s="17">
        <f>AVERAGE(Table1436281287[[#This Row],[Teste 1]:[Teste 3]])</f>
        <v>4999660.666666667</v>
      </c>
      <c r="G201" s="16"/>
      <c r="H201" s="16" t="s">
        <v>17</v>
      </c>
      <c r="I201" s="16" t="s">
        <v>11</v>
      </c>
      <c r="J201" s="17">
        <v>4999096</v>
      </c>
      <c r="K201" s="17">
        <v>4999724</v>
      </c>
      <c r="L201" s="17">
        <v>5000203</v>
      </c>
      <c r="M201" s="17">
        <f>AVERAGE(Table1436281287299[[#This Row],[Teste 1]:[Teste 3]])</f>
        <v>4999674.333333333</v>
      </c>
      <c r="N201" s="16"/>
      <c r="O201" s="16" t="s">
        <v>17</v>
      </c>
      <c r="P201" s="16" t="s">
        <v>11</v>
      </c>
      <c r="Q201" s="17">
        <v>5001508</v>
      </c>
      <c r="R201" s="17">
        <v>5000464</v>
      </c>
      <c r="S201" s="17">
        <v>4999872</v>
      </c>
      <c r="T201" s="17">
        <f>AVERAGE(Table1436281287299311[[#This Row],[Teste 1]:[Teste 3]])</f>
        <v>5000614.666666667</v>
      </c>
    </row>
    <row r="202" spans="1:20" x14ac:dyDescent="0.25">
      <c r="A202" s="16"/>
      <c r="B202" s="16"/>
      <c r="C202" s="17"/>
      <c r="D202" s="17"/>
      <c r="E202" s="17"/>
      <c r="F202" s="17"/>
      <c r="G202" s="16"/>
      <c r="H202" s="16"/>
      <c r="I202" s="16"/>
      <c r="J202" s="17"/>
      <c r="K202" s="17"/>
      <c r="L202" s="17"/>
      <c r="M202" s="17"/>
      <c r="N202" s="16"/>
      <c r="O202" s="16"/>
      <c r="P202" s="16"/>
      <c r="Q202" s="17"/>
      <c r="R202" s="17"/>
      <c r="S202" s="17"/>
      <c r="T202" s="17"/>
    </row>
    <row r="203" spans="1:20" x14ac:dyDescent="0.25">
      <c r="A203" s="16"/>
      <c r="B203" s="16"/>
      <c r="C203" s="17"/>
      <c r="D203" s="17"/>
      <c r="E203" s="17"/>
      <c r="F203" s="17"/>
      <c r="G203" s="16"/>
      <c r="H203" s="16"/>
      <c r="I203" s="16"/>
      <c r="J203" s="17"/>
      <c r="K203" s="17"/>
      <c r="L203" s="17"/>
      <c r="M203" s="17"/>
      <c r="N203" s="16"/>
      <c r="O203" s="16"/>
      <c r="P203" s="16"/>
      <c r="Q203" s="17"/>
      <c r="R203" s="17"/>
      <c r="S203" s="17"/>
      <c r="T203" s="17"/>
    </row>
    <row r="204" spans="1:20" x14ac:dyDescent="0.25">
      <c r="A204" s="16"/>
      <c r="B204" s="16"/>
      <c r="C204" s="17"/>
      <c r="D204" s="17"/>
      <c r="E204" s="17"/>
      <c r="F204" s="17"/>
      <c r="G204" s="16"/>
      <c r="H204" s="16"/>
      <c r="I204" s="16"/>
      <c r="J204" s="17"/>
      <c r="K204" s="17"/>
      <c r="L204" s="17"/>
      <c r="M204" s="17"/>
      <c r="N204" s="16"/>
      <c r="O204" s="16"/>
      <c r="P204" s="16"/>
      <c r="Q204" s="17"/>
      <c r="R204" s="17"/>
      <c r="S204" s="17"/>
      <c r="T204" s="17"/>
    </row>
    <row r="206" spans="1:20" ht="15.75" x14ac:dyDescent="0.25">
      <c r="A206" s="2" t="s">
        <v>74</v>
      </c>
      <c r="H206" s="2" t="s">
        <v>74</v>
      </c>
      <c r="O206" s="2" t="s">
        <v>74</v>
      </c>
    </row>
    <row r="207" spans="1:20" x14ac:dyDescent="0.25">
      <c r="A207" s="16" t="s">
        <v>59</v>
      </c>
      <c r="B207" s="16" t="s">
        <v>81</v>
      </c>
      <c r="C207" s="16" t="s">
        <v>82</v>
      </c>
      <c r="D207" s="16" t="s">
        <v>64</v>
      </c>
      <c r="E207" s="16" t="s">
        <v>63</v>
      </c>
      <c r="F207" s="16" t="s">
        <v>18</v>
      </c>
      <c r="G207" s="16"/>
      <c r="H207" s="16" t="s">
        <v>12</v>
      </c>
      <c r="I207" s="16" t="s">
        <v>81</v>
      </c>
      <c r="J207" s="16" t="s">
        <v>82</v>
      </c>
      <c r="K207" s="16" t="s">
        <v>64</v>
      </c>
      <c r="L207" s="16" t="s">
        <v>63</v>
      </c>
      <c r="M207" s="16" t="s">
        <v>18</v>
      </c>
      <c r="N207" s="16"/>
      <c r="O207" s="16" t="s">
        <v>13</v>
      </c>
      <c r="P207" s="16" t="s">
        <v>81</v>
      </c>
      <c r="Q207" s="16" t="s">
        <v>82</v>
      </c>
      <c r="R207" s="16" t="s">
        <v>64</v>
      </c>
      <c r="S207" s="16" t="s">
        <v>63</v>
      </c>
      <c r="T207" s="16" t="s">
        <v>18</v>
      </c>
    </row>
    <row r="208" spans="1:20" x14ac:dyDescent="0.25">
      <c r="A208" s="16" t="s">
        <v>0</v>
      </c>
      <c r="B208" s="16" t="s">
        <v>1</v>
      </c>
      <c r="C208" s="17">
        <v>85795164</v>
      </c>
      <c r="D208" s="17">
        <v>86229791</v>
      </c>
      <c r="E208" s="17">
        <v>85707043</v>
      </c>
      <c r="F208" s="17">
        <f>AVERAGE(Table1436281282288[[#This Row],[Teste 1]:[Teste 3]])</f>
        <v>85910666</v>
      </c>
      <c r="G208" s="16"/>
      <c r="H208" s="16" t="s">
        <v>0</v>
      </c>
      <c r="I208" s="16" t="s">
        <v>1</v>
      </c>
      <c r="J208" s="17">
        <v>18490192</v>
      </c>
      <c r="K208" s="17">
        <v>18517707</v>
      </c>
      <c r="L208" s="17">
        <v>18531525</v>
      </c>
      <c r="M208" s="17">
        <f>AVERAGE(Table1436281282288300[[#This Row],[Teste 1]:[Teste 3]])</f>
        <v>18513141.333333332</v>
      </c>
      <c r="N208" s="16"/>
      <c r="O208" s="16" t="s">
        <v>0</v>
      </c>
      <c r="P208" s="16" t="s">
        <v>1</v>
      </c>
      <c r="Q208" s="17">
        <v>4865840</v>
      </c>
      <c r="R208" s="17">
        <v>5109923</v>
      </c>
      <c r="S208" s="17">
        <v>4876717</v>
      </c>
      <c r="T208" s="17">
        <f>AVERAGE(Table1436281282288300312[[#This Row],[Teste 1]:[Teste 3]])</f>
        <v>4950826.666666667</v>
      </c>
    </row>
    <row r="209" spans="1:20" x14ac:dyDescent="0.25">
      <c r="A209" s="16" t="s">
        <v>0</v>
      </c>
      <c r="B209" s="16" t="s">
        <v>2</v>
      </c>
      <c r="C209" s="17">
        <v>125.213792326033</v>
      </c>
      <c r="D209" s="17">
        <v>112.07019413505</v>
      </c>
      <c r="E209" s="17">
        <v>132.08810704705499</v>
      </c>
      <c r="F209" s="17">
        <f>AVERAGE(Table1436281282288[[#This Row],[Teste 1]:[Teste 3]])</f>
        <v>123.12403116937934</v>
      </c>
      <c r="G209" s="16"/>
      <c r="H209" s="16" t="s">
        <v>0</v>
      </c>
      <c r="I209" s="16" t="s">
        <v>2</v>
      </c>
      <c r="J209" s="17">
        <v>540.83000000000004</v>
      </c>
      <c r="K209" s="17">
        <v>514.99</v>
      </c>
      <c r="L209" s="17">
        <v>539.62</v>
      </c>
      <c r="M209" s="17">
        <f>AVERAGE(Table1436281282288300[[#This Row],[Teste 1]:[Teste 3]])</f>
        <v>531.81333333333339</v>
      </c>
      <c r="N209" s="16"/>
      <c r="O209" s="16" t="s">
        <v>0</v>
      </c>
      <c r="P209" s="16" t="s">
        <v>2</v>
      </c>
      <c r="Q209" s="17">
        <v>2055.1436134357</v>
      </c>
      <c r="R209" s="17">
        <v>1956.97665111587</v>
      </c>
      <c r="S209" s="17">
        <v>2050.5598335929599</v>
      </c>
      <c r="T209" s="17">
        <f>AVERAGE(Table1436281282288300312[[#This Row],[Teste 1]:[Teste 3]])</f>
        <v>2020.8933660481769</v>
      </c>
    </row>
    <row r="210" spans="1:20" x14ac:dyDescent="0.25">
      <c r="A210" s="16" t="s">
        <v>16</v>
      </c>
      <c r="B210" s="16" t="s">
        <v>4</v>
      </c>
      <c r="C210" s="17">
        <v>5000289</v>
      </c>
      <c r="D210" s="17">
        <v>4997720</v>
      </c>
      <c r="E210" s="17">
        <v>4999297</v>
      </c>
      <c r="F210" s="17">
        <f>AVERAGE(Table1436281282288[[#This Row],[Teste 1]:[Teste 3]])</f>
        <v>4999102</v>
      </c>
      <c r="G210" s="16"/>
      <c r="H210" s="16" t="s">
        <v>16</v>
      </c>
      <c r="I210" s="16" t="s">
        <v>4</v>
      </c>
      <c r="J210" s="17">
        <v>4999119</v>
      </c>
      <c r="K210" s="17">
        <v>4998492</v>
      </c>
      <c r="L210" s="17">
        <v>4998230</v>
      </c>
      <c r="M210" s="17">
        <f>AVERAGE(Table1436281282288300[[#This Row],[Teste 1]:[Teste 3]])</f>
        <v>4998613.666666667</v>
      </c>
      <c r="N210" s="16"/>
      <c r="O210" s="16" t="s">
        <v>16</v>
      </c>
      <c r="P210" s="16" t="s">
        <v>4</v>
      </c>
      <c r="Q210" s="17">
        <v>5000872</v>
      </c>
      <c r="R210" s="17">
        <v>5000904</v>
      </c>
      <c r="S210" s="17">
        <v>5000815</v>
      </c>
      <c r="T210" s="17">
        <f>AVERAGE(Table1436281282288300312[[#This Row],[Teste 1]:[Teste 3]])</f>
        <v>5000863.666666667</v>
      </c>
    </row>
    <row r="211" spans="1:20" x14ac:dyDescent="0.25">
      <c r="A211" s="16" t="s">
        <v>16</v>
      </c>
      <c r="B211" s="16" t="s">
        <v>5</v>
      </c>
      <c r="C211" s="17">
        <v>51318.254102288302</v>
      </c>
      <c r="D211" s="17">
        <v>52942.893011522799</v>
      </c>
      <c r="E211" s="17">
        <v>44988.917479115</v>
      </c>
      <c r="F211" s="17">
        <f>AVERAGE(Table1436281282288[[#This Row],[Teste 1]:[Teste 3]])</f>
        <v>49750.021530975377</v>
      </c>
      <c r="G211" s="16"/>
      <c r="H211" s="16" t="s">
        <v>16</v>
      </c>
      <c r="I211" s="16" t="s">
        <v>5</v>
      </c>
      <c r="J211" s="17">
        <v>5208.9799999999996</v>
      </c>
      <c r="K211" s="17">
        <v>5497.1</v>
      </c>
      <c r="L211" s="17">
        <v>5240.88</v>
      </c>
      <c r="M211" s="17">
        <f>AVERAGE(Table1436281282288300[[#This Row],[Teste 1]:[Teste 3]])</f>
        <v>5315.6533333333327</v>
      </c>
      <c r="N211" s="16"/>
      <c r="O211" s="16" t="s">
        <v>16</v>
      </c>
      <c r="P211" s="16" t="s">
        <v>5</v>
      </c>
      <c r="Q211" s="17">
        <v>1370.78472834337</v>
      </c>
      <c r="R211" s="17">
        <v>1446.60549192705</v>
      </c>
      <c r="S211" s="17">
        <v>1379.18082652527</v>
      </c>
      <c r="T211" s="17">
        <f>AVERAGE(Table1436281282288300312[[#This Row],[Teste 1]:[Teste 3]])</f>
        <v>1398.8570155985635</v>
      </c>
    </row>
    <row r="212" spans="1:20" x14ac:dyDescent="0.25">
      <c r="A212" s="16" t="s">
        <v>16</v>
      </c>
      <c r="B212" s="16" t="s">
        <v>6</v>
      </c>
      <c r="C212" s="17">
        <v>77</v>
      </c>
      <c r="D212" s="17">
        <v>73</v>
      </c>
      <c r="E212" s="17">
        <v>79</v>
      </c>
      <c r="F212" s="17">
        <f>AVERAGE(Table1436281282288[[#This Row],[Teste 1]:[Teste 3]])</f>
        <v>76.333333333333329</v>
      </c>
      <c r="G212" s="16"/>
      <c r="H212" s="16" t="s">
        <v>16</v>
      </c>
      <c r="I212" s="16" t="s">
        <v>6</v>
      </c>
      <c r="J212" s="17">
        <v>406</v>
      </c>
      <c r="K212" s="17">
        <v>414</v>
      </c>
      <c r="L212" s="17">
        <v>391</v>
      </c>
      <c r="M212" s="17">
        <f>AVERAGE(Table1436281282288300[[#This Row],[Teste 1]:[Teste 3]])</f>
        <v>403.66666666666669</v>
      </c>
      <c r="N212" s="16"/>
      <c r="O212" s="16" t="s">
        <v>16</v>
      </c>
      <c r="P212" s="16" t="s">
        <v>6</v>
      </c>
      <c r="Q212" s="17">
        <v>107</v>
      </c>
      <c r="R212" s="17">
        <v>109</v>
      </c>
      <c r="S212" s="17">
        <v>103</v>
      </c>
      <c r="T212" s="17">
        <f>AVERAGE(Table1436281282288300312[[#This Row],[Teste 1]:[Teste 3]])</f>
        <v>106.33333333333333</v>
      </c>
    </row>
    <row r="213" spans="1:20" x14ac:dyDescent="0.25">
      <c r="A213" s="16" t="s">
        <v>16</v>
      </c>
      <c r="B213" s="16" t="s">
        <v>7</v>
      </c>
      <c r="C213" s="17">
        <v>9945087</v>
      </c>
      <c r="D213" s="17">
        <v>10027007</v>
      </c>
      <c r="E213" s="17">
        <v>9887743</v>
      </c>
      <c r="F213" s="17">
        <f>AVERAGE(Table1436281282288[[#This Row],[Teste 1]:[Teste 3]])</f>
        <v>9953279</v>
      </c>
      <c r="G213" s="16"/>
      <c r="H213" s="16" t="s">
        <v>16</v>
      </c>
      <c r="I213" s="16" t="s">
        <v>7</v>
      </c>
      <c r="J213" s="17">
        <v>12210581</v>
      </c>
      <c r="K213" s="17">
        <v>9191010</v>
      </c>
      <c r="L213" s="17">
        <v>9595695</v>
      </c>
      <c r="M213" s="17">
        <f>AVERAGE(Table1436281282288300[[#This Row],[Teste 1]:[Teste 3]])</f>
        <v>10332428.666666666</v>
      </c>
      <c r="N213" s="16"/>
      <c r="O213" s="16" t="s">
        <v>16</v>
      </c>
      <c r="P213" s="16" t="s">
        <v>7</v>
      </c>
      <c r="Q213" s="17">
        <v>3213311</v>
      </c>
      <c r="R213" s="17">
        <v>2418687</v>
      </c>
      <c r="S213" s="17">
        <v>2525183</v>
      </c>
      <c r="T213" s="17">
        <f>AVERAGE(Table1436281282288300312[[#This Row],[Teste 1]:[Teste 3]])</f>
        <v>2719060.3333333335</v>
      </c>
    </row>
    <row r="214" spans="1:20" x14ac:dyDescent="0.25">
      <c r="A214" s="16" t="s">
        <v>16</v>
      </c>
      <c r="B214" s="16" t="s">
        <v>8</v>
      </c>
      <c r="C214" s="17">
        <v>91391</v>
      </c>
      <c r="D214" s="17">
        <v>99903</v>
      </c>
      <c r="E214" s="17">
        <v>84095</v>
      </c>
      <c r="F214" s="17">
        <f>AVERAGE(Table1436281282288[[#This Row],[Teste 1]:[Teste 3]])</f>
        <v>91796.333333333328</v>
      </c>
      <c r="G214" s="16"/>
      <c r="H214" s="16" t="s">
        <v>16</v>
      </c>
      <c r="I214" s="16" t="s">
        <v>8</v>
      </c>
      <c r="J214" s="17">
        <v>14519</v>
      </c>
      <c r="K214" s="17">
        <v>15758</v>
      </c>
      <c r="L214" s="17">
        <v>15325</v>
      </c>
      <c r="M214" s="17">
        <f>AVERAGE(Table1436281282288300[[#This Row],[Teste 1]:[Teste 3]])</f>
        <v>15200.666666666666</v>
      </c>
      <c r="N214" s="16"/>
      <c r="O214" s="16" t="s">
        <v>16</v>
      </c>
      <c r="P214" s="16" t="s">
        <v>8</v>
      </c>
      <c r="Q214" s="17">
        <v>3821</v>
      </c>
      <c r="R214" s="17">
        <v>4147</v>
      </c>
      <c r="S214" s="17">
        <v>4033</v>
      </c>
      <c r="T214" s="17">
        <f>AVERAGE(Table1436281282288300312[[#This Row],[Teste 1]:[Teste 3]])</f>
        <v>4000.3333333333335</v>
      </c>
    </row>
    <row r="215" spans="1:20" x14ac:dyDescent="0.25">
      <c r="A215" s="16" t="s">
        <v>16</v>
      </c>
      <c r="B215" s="16" t="s">
        <v>9</v>
      </c>
      <c r="C215" s="17">
        <v>2514943</v>
      </c>
      <c r="D215" s="17">
        <v>1414143</v>
      </c>
      <c r="E215" s="17">
        <v>187391</v>
      </c>
      <c r="F215" s="17">
        <f>AVERAGE(Table1436281282288[[#This Row],[Teste 1]:[Teste 3]])</f>
        <v>1372159</v>
      </c>
      <c r="G215" s="16"/>
      <c r="H215" s="16" t="s">
        <v>16</v>
      </c>
      <c r="I215" s="16" t="s">
        <v>9</v>
      </c>
      <c r="J215" s="17">
        <v>63593</v>
      </c>
      <c r="K215" s="17">
        <v>66146</v>
      </c>
      <c r="L215" s="17">
        <v>59307</v>
      </c>
      <c r="M215" s="17">
        <f>AVERAGE(Table1436281282288300[[#This Row],[Teste 1]:[Teste 3]])</f>
        <v>63015.333333333336</v>
      </c>
      <c r="N215" s="16"/>
      <c r="O215" s="16" t="s">
        <v>16</v>
      </c>
      <c r="P215" s="16" t="s">
        <v>9</v>
      </c>
      <c r="Q215" s="17">
        <v>16735</v>
      </c>
      <c r="R215" s="17">
        <v>17407</v>
      </c>
      <c r="S215" s="17">
        <v>15607</v>
      </c>
      <c r="T215" s="17">
        <f>AVERAGE(Table1436281282288300312[[#This Row],[Teste 1]:[Teste 3]])</f>
        <v>16583</v>
      </c>
    </row>
    <row r="216" spans="1:20" x14ac:dyDescent="0.25">
      <c r="A216" s="16" t="s">
        <v>16</v>
      </c>
      <c r="B216" s="16" t="s">
        <v>11</v>
      </c>
      <c r="C216" s="17">
        <v>5000289</v>
      </c>
      <c r="D216" s="17">
        <v>4997720</v>
      </c>
      <c r="E216" s="17">
        <v>4999297</v>
      </c>
      <c r="F216" s="17">
        <f>AVERAGE(Table1436281282288[[#This Row],[Teste 1]:[Teste 3]])</f>
        <v>4999102</v>
      </c>
      <c r="G216" s="16"/>
      <c r="H216" s="16" t="s">
        <v>16</v>
      </c>
      <c r="I216" s="16" t="s">
        <v>11</v>
      </c>
      <c r="J216" s="17">
        <v>4999119</v>
      </c>
      <c r="K216" s="17">
        <v>4998492</v>
      </c>
      <c r="L216" s="17">
        <v>4998230</v>
      </c>
      <c r="M216" s="17">
        <f>AVERAGE(Table1436281282288300[[#This Row],[Teste 1]:[Teste 3]])</f>
        <v>4998613.666666667</v>
      </c>
      <c r="N216" s="16"/>
      <c r="O216" s="16" t="s">
        <v>16</v>
      </c>
      <c r="P216" s="16" t="s">
        <v>11</v>
      </c>
      <c r="Q216" s="17">
        <v>5000872</v>
      </c>
      <c r="R216" s="17">
        <v>5000904</v>
      </c>
      <c r="S216" s="17">
        <v>5000815</v>
      </c>
      <c r="T216" s="17">
        <f>AVERAGE(Table1436281282288300312[[#This Row],[Teste 1]:[Teste 3]])</f>
        <v>5000863.666666667</v>
      </c>
    </row>
    <row r="217" spans="1:20" x14ac:dyDescent="0.25">
      <c r="A217" s="16" t="s">
        <v>3</v>
      </c>
      <c r="B217" s="16" t="s">
        <v>4</v>
      </c>
      <c r="C217" s="17">
        <v>3</v>
      </c>
      <c r="D217" s="17">
        <v>3</v>
      </c>
      <c r="E217" s="17">
        <v>3</v>
      </c>
      <c r="F217" s="17">
        <f>AVERAGE(Table1436281282288[[#This Row],[Teste 1]:[Teste 3]])</f>
        <v>3</v>
      </c>
      <c r="G217" s="16"/>
      <c r="H217" s="16" t="s">
        <v>3</v>
      </c>
      <c r="I217" s="16" t="s">
        <v>4</v>
      </c>
      <c r="J217" s="17">
        <v>3</v>
      </c>
      <c r="K217" s="17">
        <v>3</v>
      </c>
      <c r="L217" s="17">
        <v>3</v>
      </c>
      <c r="M217" s="17">
        <f>AVERAGE(Table1436281282288300[[#This Row],[Teste 1]:[Teste 3]])</f>
        <v>3</v>
      </c>
      <c r="N217" s="16"/>
      <c r="O217" s="16" t="s">
        <v>3</v>
      </c>
      <c r="P217" s="16" t="s">
        <v>4</v>
      </c>
      <c r="Q217" s="17">
        <v>3</v>
      </c>
      <c r="R217" s="17">
        <v>3</v>
      </c>
      <c r="S217" s="17">
        <v>3</v>
      </c>
      <c r="T217" s="17">
        <f>AVERAGE(Table1436281282288300312[[#This Row],[Teste 1]:[Teste 3]])</f>
        <v>3</v>
      </c>
    </row>
    <row r="218" spans="1:20" x14ac:dyDescent="0.25">
      <c r="A218" s="16" t="s">
        <v>3</v>
      </c>
      <c r="B218" s="16" t="s">
        <v>5</v>
      </c>
      <c r="C218" s="17">
        <v>1</v>
      </c>
      <c r="D218" s="17">
        <v>1</v>
      </c>
      <c r="E218" s="17">
        <v>1</v>
      </c>
      <c r="F218" s="17">
        <f>AVERAGE(Table1436281282288[[#This Row],[Teste 1]:[Teste 3]])</f>
        <v>1</v>
      </c>
      <c r="G218" s="16"/>
      <c r="H218" s="16" t="s">
        <v>3</v>
      </c>
      <c r="I218" s="16" t="s">
        <v>5</v>
      </c>
      <c r="J218" s="17">
        <v>5</v>
      </c>
      <c r="K218" s="17">
        <v>3</v>
      </c>
      <c r="L218" s="17">
        <v>4.3333333333333304</v>
      </c>
      <c r="M218" s="17">
        <f>AVERAGE(Table1436281282288300[[#This Row],[Teste 1]:[Teste 3]])</f>
        <v>4.1111111111111098</v>
      </c>
      <c r="N218" s="16"/>
      <c r="O218" s="16" t="s">
        <v>3</v>
      </c>
      <c r="P218" s="16" t="s">
        <v>5</v>
      </c>
      <c r="Q218" s="17">
        <v>1153</v>
      </c>
      <c r="R218" s="17">
        <v>19104.333333333299</v>
      </c>
      <c r="S218" s="17">
        <v>3391</v>
      </c>
      <c r="T218" s="17">
        <f>AVERAGE(Table1436281282288300312[[#This Row],[Teste 1]:[Teste 3]])</f>
        <v>7882.7777777777665</v>
      </c>
    </row>
    <row r="219" spans="1:20" x14ac:dyDescent="0.25">
      <c r="A219" s="16" t="s">
        <v>3</v>
      </c>
      <c r="B219" s="16" t="s">
        <v>6</v>
      </c>
      <c r="C219" s="17">
        <v>0</v>
      </c>
      <c r="D219" s="17">
        <v>0</v>
      </c>
      <c r="E219" s="17">
        <v>0</v>
      </c>
      <c r="F219" s="17">
        <f>AVERAGE(Table1436281282288[[#This Row],[Teste 1]:[Teste 3]])</f>
        <v>0</v>
      </c>
      <c r="G219" s="16"/>
      <c r="H219" s="16" t="s">
        <v>3</v>
      </c>
      <c r="I219" s="16" t="s">
        <v>6</v>
      </c>
      <c r="J219" s="17">
        <v>0</v>
      </c>
      <c r="K219" s="17">
        <v>1</v>
      </c>
      <c r="L219" s="17">
        <v>1</v>
      </c>
      <c r="M219" s="17">
        <f>AVERAGE(Table1436281282288300[[#This Row],[Teste 1]:[Teste 3]])</f>
        <v>0.66666666666666663</v>
      </c>
      <c r="N219" s="16"/>
      <c r="O219" s="16" t="s">
        <v>3</v>
      </c>
      <c r="P219" s="16" t="s">
        <v>6</v>
      </c>
      <c r="Q219" s="17">
        <v>2</v>
      </c>
      <c r="R219" s="17">
        <v>2</v>
      </c>
      <c r="S219" s="17">
        <v>2</v>
      </c>
      <c r="T219" s="17">
        <f>AVERAGE(Table1436281282288300312[[#This Row],[Teste 1]:[Teste 3]])</f>
        <v>2</v>
      </c>
    </row>
    <row r="220" spans="1:20" x14ac:dyDescent="0.25">
      <c r="A220" s="16" t="s">
        <v>3</v>
      </c>
      <c r="B220" s="16" t="s">
        <v>7</v>
      </c>
      <c r="C220" s="17">
        <v>2</v>
      </c>
      <c r="D220" s="17">
        <v>2</v>
      </c>
      <c r="E220" s="17">
        <v>2</v>
      </c>
      <c r="F220" s="17">
        <f>AVERAGE(Table1436281282288[[#This Row],[Teste 1]:[Teste 3]])</f>
        <v>2</v>
      </c>
      <c r="G220" s="16"/>
      <c r="H220" s="16" t="s">
        <v>3</v>
      </c>
      <c r="I220" s="16" t="s">
        <v>7</v>
      </c>
      <c r="J220" s="17">
        <v>15</v>
      </c>
      <c r="K220" s="17">
        <v>7</v>
      </c>
      <c r="L220" s="17">
        <v>11</v>
      </c>
      <c r="M220" s="17">
        <f>AVERAGE(Table1436281282288300[[#This Row],[Teste 1]:[Teste 3]])</f>
        <v>11</v>
      </c>
      <c r="N220" s="16"/>
      <c r="O220" s="16" t="s">
        <v>3</v>
      </c>
      <c r="P220" s="16" t="s">
        <v>7</v>
      </c>
      <c r="Q220" s="17">
        <v>3449</v>
      </c>
      <c r="R220" s="17">
        <v>57311</v>
      </c>
      <c r="S220" s="17">
        <v>10167</v>
      </c>
      <c r="T220" s="17">
        <f>AVERAGE(Table1436281282288300312[[#This Row],[Teste 1]:[Teste 3]])</f>
        <v>23642.333333333332</v>
      </c>
    </row>
    <row r="221" spans="1:20" x14ac:dyDescent="0.25">
      <c r="A221" s="16" t="s">
        <v>3</v>
      </c>
      <c r="B221" s="16" t="s">
        <v>8</v>
      </c>
      <c r="C221" s="17">
        <v>2</v>
      </c>
      <c r="D221" s="17">
        <v>2</v>
      </c>
      <c r="E221" s="17">
        <v>2</v>
      </c>
      <c r="F221" s="17">
        <f>AVERAGE(Table1436281282288[[#This Row],[Teste 1]:[Teste 3]])</f>
        <v>2</v>
      </c>
      <c r="G221" s="16"/>
      <c r="H221" s="16" t="s">
        <v>3</v>
      </c>
      <c r="I221" s="16" t="s">
        <v>8</v>
      </c>
      <c r="J221" s="17">
        <v>15</v>
      </c>
      <c r="K221" s="17">
        <v>7</v>
      </c>
      <c r="L221" s="17">
        <v>11</v>
      </c>
      <c r="M221" s="17">
        <f>AVERAGE(Table1436281282288300[[#This Row],[Teste 1]:[Teste 3]])</f>
        <v>11</v>
      </c>
      <c r="N221" s="16"/>
      <c r="O221" s="16" t="s">
        <v>3</v>
      </c>
      <c r="P221" s="16" t="s">
        <v>8</v>
      </c>
      <c r="Q221" s="17">
        <v>3449</v>
      </c>
      <c r="R221" s="17">
        <v>57311</v>
      </c>
      <c r="S221" s="17">
        <v>10167</v>
      </c>
      <c r="T221" s="17">
        <f>AVERAGE(Table1436281282288300312[[#This Row],[Teste 1]:[Teste 3]])</f>
        <v>23642.333333333332</v>
      </c>
    </row>
    <row r="222" spans="1:20" x14ac:dyDescent="0.25">
      <c r="A222" s="16" t="s">
        <v>3</v>
      </c>
      <c r="B222" s="16" t="s">
        <v>9</v>
      </c>
      <c r="C222" s="17">
        <v>2</v>
      </c>
      <c r="D222" s="17">
        <v>2</v>
      </c>
      <c r="E222" s="17">
        <v>2</v>
      </c>
      <c r="F222" s="17">
        <f>AVERAGE(Table1436281282288[[#This Row],[Teste 1]:[Teste 3]])</f>
        <v>2</v>
      </c>
      <c r="G222" s="16"/>
      <c r="H222" s="16" t="s">
        <v>3</v>
      </c>
      <c r="I222" s="16" t="s">
        <v>9</v>
      </c>
      <c r="J222" s="17">
        <v>15</v>
      </c>
      <c r="K222" s="17">
        <v>7</v>
      </c>
      <c r="L222" s="17">
        <v>11</v>
      </c>
      <c r="M222" s="17">
        <f>AVERAGE(Table1436281282288300[[#This Row],[Teste 1]:[Teste 3]])</f>
        <v>11</v>
      </c>
      <c r="N222" s="16"/>
      <c r="O222" s="16" t="s">
        <v>3</v>
      </c>
      <c r="P222" s="16" t="s">
        <v>9</v>
      </c>
      <c r="Q222" s="17">
        <v>3449</v>
      </c>
      <c r="R222" s="17">
        <v>57311</v>
      </c>
      <c r="S222" s="17">
        <v>10167</v>
      </c>
      <c r="T222" s="17">
        <f>AVERAGE(Table1436281282288300312[[#This Row],[Teste 1]:[Teste 3]])</f>
        <v>23642.333333333332</v>
      </c>
    </row>
    <row r="223" spans="1:20" x14ac:dyDescent="0.25">
      <c r="A223" s="16" t="s">
        <v>17</v>
      </c>
      <c r="B223" s="16" t="s">
        <v>4</v>
      </c>
      <c r="C223" s="17">
        <v>4999711</v>
      </c>
      <c r="D223" s="17">
        <v>5002280</v>
      </c>
      <c r="E223" s="17">
        <v>5000703</v>
      </c>
      <c r="F223" s="17">
        <f>AVERAGE(Table1436281282288[[#This Row],[Teste 1]:[Teste 3]])</f>
        <v>5000898</v>
      </c>
      <c r="G223" s="16"/>
      <c r="H223" s="16" t="s">
        <v>17</v>
      </c>
      <c r="I223" s="16" t="s">
        <v>4</v>
      </c>
      <c r="J223" s="17">
        <v>5000881</v>
      </c>
      <c r="K223" s="17">
        <v>5001508</v>
      </c>
      <c r="L223" s="17">
        <v>5001770</v>
      </c>
      <c r="M223" s="17">
        <f>AVERAGE(Table1436281282288300[[#This Row],[Teste 1]:[Teste 3]])</f>
        <v>5001386.333333333</v>
      </c>
      <c r="N223" s="16"/>
      <c r="O223" s="16" t="s">
        <v>17</v>
      </c>
      <c r="P223" s="16" t="s">
        <v>4</v>
      </c>
      <c r="Q223" s="17">
        <v>4999128</v>
      </c>
      <c r="R223" s="17">
        <v>4999096</v>
      </c>
      <c r="S223" s="17">
        <v>4999185</v>
      </c>
      <c r="T223" s="17">
        <f>AVERAGE(Table1436281282288300312[[#This Row],[Teste 1]:[Teste 3]])</f>
        <v>4999136.333333333</v>
      </c>
    </row>
    <row r="224" spans="1:20" x14ac:dyDescent="0.25">
      <c r="A224" s="16" t="s">
        <v>17</v>
      </c>
      <c r="B224" s="16" t="s">
        <v>5</v>
      </c>
      <c r="C224" s="17">
        <v>611.00786705471501</v>
      </c>
      <c r="D224" s="17">
        <v>428.01276677834898</v>
      </c>
      <c r="E224" s="17">
        <v>394.469424998845</v>
      </c>
      <c r="F224" s="17">
        <f>AVERAGE(Table1436281282288[[#This Row],[Teste 1]:[Teste 3]])</f>
        <v>477.83001961063633</v>
      </c>
      <c r="G224" s="16"/>
      <c r="H224" s="16" t="s">
        <v>17</v>
      </c>
      <c r="I224" s="16" t="s">
        <v>5</v>
      </c>
      <c r="J224" s="17">
        <v>5842.51</v>
      </c>
      <c r="K224" s="17">
        <v>6110.24</v>
      </c>
      <c r="L224" s="17">
        <v>5837.3739999999998</v>
      </c>
      <c r="M224" s="17">
        <f>AVERAGE(Table1436281282288300[[#This Row],[Teste 1]:[Teste 3]])</f>
        <v>5930.0413333333336</v>
      </c>
      <c r="N224" s="16"/>
      <c r="O224" s="16" t="s">
        <v>17</v>
      </c>
      <c r="P224" s="16" t="s">
        <v>5</v>
      </c>
      <c r="Q224" s="17">
        <v>1537.5026976704701</v>
      </c>
      <c r="R224" s="17">
        <v>1607.95819244119</v>
      </c>
      <c r="S224" s="17">
        <v>1536.2464163658601</v>
      </c>
      <c r="T224" s="17">
        <f>AVERAGE(Table1436281282288300312[[#This Row],[Teste 1]:[Teste 3]])</f>
        <v>1560.5691021591731</v>
      </c>
    </row>
    <row r="225" spans="1:20" x14ac:dyDescent="0.25">
      <c r="A225" s="16" t="s">
        <v>17</v>
      </c>
      <c r="B225" s="16" t="s">
        <v>6</v>
      </c>
      <c r="C225" s="17">
        <v>108</v>
      </c>
      <c r="D225" s="17">
        <v>103</v>
      </c>
      <c r="E225" s="17">
        <v>110</v>
      </c>
      <c r="F225" s="17">
        <f>AVERAGE(Table1436281282288[[#This Row],[Teste 1]:[Teste 3]])</f>
        <v>107</v>
      </c>
      <c r="G225" s="16"/>
      <c r="H225" s="16" t="s">
        <v>17</v>
      </c>
      <c r="I225" s="16" t="s">
        <v>6</v>
      </c>
      <c r="J225" s="17">
        <v>684</v>
      </c>
      <c r="K225" s="17">
        <v>687</v>
      </c>
      <c r="L225" s="17">
        <v>642</v>
      </c>
      <c r="M225" s="17">
        <f>AVERAGE(Table1436281282288300[[#This Row],[Teste 1]:[Teste 3]])</f>
        <v>671</v>
      </c>
      <c r="N225" s="16"/>
      <c r="O225" s="16" t="s">
        <v>17</v>
      </c>
      <c r="P225" s="16" t="s">
        <v>6</v>
      </c>
      <c r="Q225" s="17">
        <v>180</v>
      </c>
      <c r="R225" s="17">
        <v>181</v>
      </c>
      <c r="S225" s="17">
        <v>169</v>
      </c>
      <c r="T225" s="17">
        <f>AVERAGE(Table1436281282288300312[[#This Row],[Teste 1]:[Teste 3]])</f>
        <v>176.66666666666666</v>
      </c>
    </row>
    <row r="226" spans="1:20" x14ac:dyDescent="0.25">
      <c r="A226" s="16" t="s">
        <v>17</v>
      </c>
      <c r="B226" s="16" t="s">
        <v>7</v>
      </c>
      <c r="C226" s="17">
        <v>5046271</v>
      </c>
      <c r="D226" s="17">
        <v>4603903</v>
      </c>
      <c r="E226" s="17">
        <v>4272127</v>
      </c>
      <c r="F226" s="17">
        <f>AVERAGE(Table1436281282288[[#This Row],[Teste 1]:[Teste 3]])</f>
        <v>4640767</v>
      </c>
      <c r="G226" s="16"/>
      <c r="H226" s="16" t="s">
        <v>17</v>
      </c>
      <c r="I226" s="16" t="s">
        <v>7</v>
      </c>
      <c r="J226" s="17">
        <v>12218364</v>
      </c>
      <c r="K226" s="17">
        <v>9183228</v>
      </c>
      <c r="L226" s="17">
        <v>9603477</v>
      </c>
      <c r="M226" s="17">
        <f>AVERAGE(Table1436281282288300[[#This Row],[Teste 1]:[Teste 3]])</f>
        <v>10335023</v>
      </c>
      <c r="N226" s="16"/>
      <c r="O226" s="16" t="s">
        <v>17</v>
      </c>
      <c r="P226" s="16" t="s">
        <v>7</v>
      </c>
      <c r="Q226" s="17">
        <v>3215359</v>
      </c>
      <c r="R226" s="17">
        <v>2416639</v>
      </c>
      <c r="S226" s="17">
        <v>2527231</v>
      </c>
      <c r="T226" s="17">
        <f>AVERAGE(Table1436281282288300312[[#This Row],[Teste 1]:[Teste 3]])</f>
        <v>2719743</v>
      </c>
    </row>
    <row r="227" spans="1:20" x14ac:dyDescent="0.25">
      <c r="A227" s="16" t="s">
        <v>17</v>
      </c>
      <c r="B227" s="16" t="s">
        <v>8</v>
      </c>
      <c r="C227" s="17">
        <v>1775</v>
      </c>
      <c r="D227" s="17">
        <v>783</v>
      </c>
      <c r="E227" s="17">
        <v>737</v>
      </c>
      <c r="F227" s="17">
        <f>AVERAGE(Table1436281282288[[#This Row],[Teste 1]:[Teste 3]])</f>
        <v>1098.3333333333333</v>
      </c>
      <c r="G227" s="16"/>
      <c r="H227" s="16" t="s">
        <v>17</v>
      </c>
      <c r="I227" s="16" t="s">
        <v>8</v>
      </c>
      <c r="J227" s="17">
        <v>15386</v>
      </c>
      <c r="K227" s="17">
        <v>16625</v>
      </c>
      <c r="L227" s="17">
        <v>16184</v>
      </c>
      <c r="M227" s="17">
        <f>AVERAGE(Table1436281282288300[[#This Row],[Teste 1]:[Teste 3]])</f>
        <v>16065</v>
      </c>
      <c r="N227" s="16"/>
      <c r="O227" s="16" t="s">
        <v>17</v>
      </c>
      <c r="P227" s="16" t="s">
        <v>8</v>
      </c>
      <c r="Q227" s="17">
        <v>4049</v>
      </c>
      <c r="R227" s="17">
        <v>4375</v>
      </c>
      <c r="S227" s="17">
        <v>4259</v>
      </c>
      <c r="T227" s="17">
        <f>AVERAGE(Table1436281282288300312[[#This Row],[Teste 1]:[Teste 3]])</f>
        <v>4227.666666666667</v>
      </c>
    </row>
    <row r="228" spans="1:20" x14ac:dyDescent="0.25">
      <c r="A228" s="16" t="s">
        <v>17</v>
      </c>
      <c r="B228" s="16" t="s">
        <v>9</v>
      </c>
      <c r="C228" s="17">
        <v>3677</v>
      </c>
      <c r="D228" s="17">
        <v>1413</v>
      </c>
      <c r="E228" s="17">
        <v>1333</v>
      </c>
      <c r="F228" s="17">
        <f>AVERAGE(Table1436281282288[[#This Row],[Teste 1]:[Teste 3]])</f>
        <v>2141</v>
      </c>
      <c r="G228" s="16"/>
      <c r="H228" s="16" t="s">
        <v>17</v>
      </c>
      <c r="I228" s="16" t="s">
        <v>9</v>
      </c>
      <c r="J228" s="17">
        <v>65295</v>
      </c>
      <c r="K228" s="17">
        <v>68031</v>
      </c>
      <c r="L228" s="17">
        <v>60431</v>
      </c>
      <c r="M228" s="17">
        <f>AVERAGE(Table1436281282288300[[#This Row],[Teste 1]:[Teste 3]])</f>
        <v>64585.666666666664</v>
      </c>
      <c r="N228" s="16"/>
      <c r="O228" s="16" t="s">
        <v>17</v>
      </c>
      <c r="P228" s="16" t="s">
        <v>9</v>
      </c>
      <c r="Q228" s="17">
        <v>17183</v>
      </c>
      <c r="R228" s="17">
        <v>17903</v>
      </c>
      <c r="S228" s="17">
        <v>15903</v>
      </c>
      <c r="T228" s="17">
        <f>AVERAGE(Table1436281282288300312[[#This Row],[Teste 1]:[Teste 3]])</f>
        <v>16996.333333333332</v>
      </c>
    </row>
    <row r="229" spans="1:20" x14ac:dyDescent="0.25">
      <c r="A229" s="16" t="s">
        <v>17</v>
      </c>
      <c r="B229" s="16" t="s">
        <v>11</v>
      </c>
      <c r="C229" s="17">
        <v>4999711</v>
      </c>
      <c r="D229" s="17">
        <v>5002280</v>
      </c>
      <c r="E229" s="17">
        <v>5000703</v>
      </c>
      <c r="F229" s="17">
        <f>AVERAGE(Table1436281282288[[#This Row],[Teste 1]:[Teste 3]])</f>
        <v>5000898</v>
      </c>
      <c r="G229" s="16"/>
      <c r="H229" s="16" t="s">
        <v>17</v>
      </c>
      <c r="I229" s="16" t="s">
        <v>11</v>
      </c>
      <c r="J229" s="17">
        <v>5000881</v>
      </c>
      <c r="K229" s="17">
        <v>5001508</v>
      </c>
      <c r="L229" s="17">
        <v>5001770</v>
      </c>
      <c r="M229" s="17">
        <f>AVERAGE(Table1436281282288300[[#This Row],[Teste 1]:[Teste 3]])</f>
        <v>5001386.333333333</v>
      </c>
      <c r="N229" s="16"/>
      <c r="O229" s="16" t="s">
        <v>17</v>
      </c>
      <c r="P229" s="16" t="s">
        <v>11</v>
      </c>
      <c r="Q229" s="17">
        <v>4999128</v>
      </c>
      <c r="R229" s="17">
        <v>4999096</v>
      </c>
      <c r="S229" s="17">
        <v>4999185</v>
      </c>
      <c r="T229" s="17">
        <f>AVERAGE(Table1436281282288300312[[#This Row],[Teste 1]:[Teste 3]])</f>
        <v>4999136.333333333</v>
      </c>
    </row>
    <row r="230" spans="1:20" x14ac:dyDescent="0.25">
      <c r="A230" s="16"/>
      <c r="B230" s="16"/>
      <c r="C230" s="17"/>
      <c r="D230" s="17"/>
      <c r="E230" s="17"/>
      <c r="F230" s="17"/>
      <c r="G230" s="16"/>
      <c r="H230" s="16"/>
      <c r="I230" s="16"/>
      <c r="J230" s="17"/>
      <c r="K230" s="17"/>
      <c r="L230" s="17"/>
      <c r="M230" s="17"/>
      <c r="N230" s="16"/>
      <c r="O230" s="16"/>
      <c r="P230" s="16"/>
      <c r="Q230" s="17"/>
      <c r="R230" s="17"/>
      <c r="S230" s="17"/>
      <c r="T230" s="17"/>
    </row>
    <row r="231" spans="1:20" x14ac:dyDescent="0.25">
      <c r="A231" s="16"/>
      <c r="B231" s="16"/>
      <c r="C231" s="17"/>
      <c r="D231" s="17"/>
      <c r="E231" s="17"/>
      <c r="F231" s="17"/>
      <c r="G231" s="16"/>
      <c r="H231" s="16"/>
      <c r="I231" s="16"/>
      <c r="J231" s="17"/>
      <c r="K231" s="17"/>
      <c r="L231" s="17"/>
      <c r="M231" s="17"/>
      <c r="N231" s="16"/>
      <c r="O231" s="16"/>
      <c r="P231" s="16"/>
      <c r="Q231" s="17"/>
      <c r="R231" s="17"/>
      <c r="S231" s="17"/>
      <c r="T231" s="17"/>
    </row>
    <row r="232" spans="1:20" x14ac:dyDescent="0.25">
      <c r="A232" s="16"/>
      <c r="B232" s="16"/>
      <c r="C232" s="17"/>
      <c r="D232" s="17"/>
      <c r="E232" s="17"/>
      <c r="F232" s="17"/>
      <c r="G232" s="16"/>
      <c r="H232" s="16"/>
      <c r="I232" s="16"/>
      <c r="J232" s="17"/>
      <c r="K232" s="17"/>
      <c r="L232" s="17"/>
      <c r="M232" s="17"/>
      <c r="N232" s="16"/>
      <c r="O232" s="16"/>
      <c r="P232" s="16"/>
      <c r="Q232" s="17"/>
      <c r="R232" s="17"/>
      <c r="S232" s="17"/>
      <c r="T232" s="17"/>
    </row>
    <row r="234" spans="1:20" ht="15.75" x14ac:dyDescent="0.25">
      <c r="A234" s="2" t="s">
        <v>73</v>
      </c>
      <c r="H234" s="2" t="s">
        <v>73</v>
      </c>
      <c r="O234" s="2" t="s">
        <v>73</v>
      </c>
    </row>
    <row r="235" spans="1:20" x14ac:dyDescent="0.25">
      <c r="A235" s="16" t="s">
        <v>59</v>
      </c>
      <c r="B235" s="16" t="s">
        <v>81</v>
      </c>
      <c r="C235" s="16" t="s">
        <v>82</v>
      </c>
      <c r="D235" s="16" t="s">
        <v>64</v>
      </c>
      <c r="E235" s="16" t="s">
        <v>63</v>
      </c>
      <c r="F235" s="16" t="s">
        <v>18</v>
      </c>
      <c r="G235" s="16"/>
      <c r="H235" s="16" t="s">
        <v>12</v>
      </c>
      <c r="I235" s="16" t="s">
        <v>81</v>
      </c>
      <c r="J235" s="16" t="s">
        <v>82</v>
      </c>
      <c r="K235" s="16" t="s">
        <v>64</v>
      </c>
      <c r="L235" s="16" t="s">
        <v>63</v>
      </c>
      <c r="M235" s="16" t="s">
        <v>18</v>
      </c>
      <c r="N235" s="16"/>
      <c r="O235" s="16" t="s">
        <v>13</v>
      </c>
      <c r="P235" s="16" t="s">
        <v>81</v>
      </c>
      <c r="Q235" s="16" t="s">
        <v>82</v>
      </c>
      <c r="R235" s="16" t="s">
        <v>64</v>
      </c>
      <c r="S235" s="16" t="s">
        <v>63</v>
      </c>
      <c r="T235" s="16" t="s">
        <v>18</v>
      </c>
    </row>
    <row r="236" spans="1:20" x14ac:dyDescent="0.25">
      <c r="A236" s="16" t="s">
        <v>0</v>
      </c>
      <c r="B236" s="16" t="s">
        <v>1</v>
      </c>
      <c r="C236" s="17">
        <v>40229137</v>
      </c>
      <c r="D236" s="17">
        <v>40001731</v>
      </c>
      <c r="E236" s="17">
        <v>39987973</v>
      </c>
      <c r="F236" s="17">
        <f>AVERAGE(Table1436281283289[[#This Row],[Teste 1]:[Teste 3]])</f>
        <v>40072947</v>
      </c>
      <c r="G236" s="16"/>
      <c r="H236" s="16" t="s">
        <v>0</v>
      </c>
      <c r="I236" s="16" t="s">
        <v>1</v>
      </c>
      <c r="J236" s="17">
        <v>11900938</v>
      </c>
      <c r="K236" s="17">
        <v>12134876</v>
      </c>
      <c r="L236" s="17">
        <v>12172010</v>
      </c>
      <c r="M236" s="17">
        <f>AVERAGE(Table1436281283289301[[#This Row],[Teste 1]:[Teste 3]])</f>
        <v>12069274.666666666</v>
      </c>
      <c r="N236" s="16"/>
      <c r="O236" s="16" t="s">
        <v>0</v>
      </c>
      <c r="P236" s="16" t="s">
        <v>1</v>
      </c>
      <c r="Q236" s="17">
        <v>4577284</v>
      </c>
      <c r="R236" s="17">
        <v>4667260</v>
      </c>
      <c r="S236" s="17">
        <v>4527696</v>
      </c>
      <c r="T236" s="17">
        <f>AVERAGE(Table1436281283289301313[[#This Row],[Teste 1]:[Teste 3]])</f>
        <v>4590746.666666667</v>
      </c>
    </row>
    <row r="237" spans="1:20" x14ac:dyDescent="0.25">
      <c r="A237" s="16" t="s">
        <v>0</v>
      </c>
      <c r="B237" s="16" t="s">
        <v>2</v>
      </c>
      <c r="C237" s="17">
        <v>248.57605073655901</v>
      </c>
      <c r="D237" s="17">
        <v>301.25489736559001</v>
      </c>
      <c r="E237" s="17">
        <v>352.325987736559</v>
      </c>
      <c r="F237" s="17">
        <f>AVERAGE(Table1436281283289[[#This Row],[Teste 1]:[Teste 3]])</f>
        <v>300.71897861290267</v>
      </c>
      <c r="G237" s="16"/>
      <c r="H237" s="16" t="s">
        <v>0</v>
      </c>
      <c r="I237" s="16" t="s">
        <v>2</v>
      </c>
      <c r="J237" s="17">
        <v>840.27</v>
      </c>
      <c r="K237" s="17">
        <v>824.07</v>
      </c>
      <c r="L237" s="17">
        <v>819.47</v>
      </c>
      <c r="M237" s="17">
        <f>AVERAGE(Table1436281283289301[[#This Row],[Teste 1]:[Teste 3]])</f>
        <v>827.93666666666684</v>
      </c>
      <c r="N237" s="16"/>
      <c r="O237" s="16" t="s">
        <v>0</v>
      </c>
      <c r="P237" s="16" t="s">
        <v>2</v>
      </c>
      <c r="Q237" s="17">
        <v>2184.7016702481201</v>
      </c>
      <c r="R237" s="17">
        <v>2142.5847285130799</v>
      </c>
      <c r="S237" s="17">
        <v>2208.6288478731699</v>
      </c>
      <c r="T237" s="17">
        <f>AVERAGE(Table1436281283289301313[[#This Row],[Teste 1]:[Teste 3]])</f>
        <v>2178.63841554479</v>
      </c>
    </row>
    <row r="238" spans="1:20" x14ac:dyDescent="0.25">
      <c r="A238" s="16" t="s">
        <v>16</v>
      </c>
      <c r="B238" s="16" t="s">
        <v>4</v>
      </c>
      <c r="C238" s="17">
        <v>5000276</v>
      </c>
      <c r="D238" s="17">
        <v>5000000</v>
      </c>
      <c r="E238" s="17">
        <v>4997876</v>
      </c>
      <c r="F238" s="17">
        <f>AVERAGE(Table1436281283289[[#This Row],[Teste 1]:[Teste 3]])</f>
        <v>4999384</v>
      </c>
      <c r="G238" s="16"/>
      <c r="H238" s="16" t="s">
        <v>16</v>
      </c>
      <c r="I238" s="16" t="s">
        <v>4</v>
      </c>
      <c r="J238" s="17">
        <v>5000815</v>
      </c>
      <c r="K238" s="17">
        <v>4999297</v>
      </c>
      <c r="L238" s="17">
        <v>5001125</v>
      </c>
      <c r="M238" s="17">
        <f>AVERAGE(Table1436281283289301[[#This Row],[Teste 1]:[Teste 3]])</f>
        <v>5000412.333333333</v>
      </c>
      <c r="N238" s="16"/>
      <c r="O238" s="16" t="s">
        <v>16</v>
      </c>
      <c r="P238" s="16" t="s">
        <v>4</v>
      </c>
      <c r="Q238" s="17">
        <v>4999797</v>
      </c>
      <c r="R238" s="17">
        <v>4997990</v>
      </c>
      <c r="S238" s="17">
        <v>4998230</v>
      </c>
      <c r="T238" s="17">
        <f>AVERAGE(Table1436281283289301313[[#This Row],[Teste 1]:[Teste 3]])</f>
        <v>4998672.333333333</v>
      </c>
    </row>
    <row r="239" spans="1:20" x14ac:dyDescent="0.25">
      <c r="A239" s="16" t="s">
        <v>16</v>
      </c>
      <c r="B239" s="16" t="s">
        <v>5</v>
      </c>
      <c r="C239" s="17">
        <v>47264.999747212903</v>
      </c>
      <c r="D239" s="17">
        <v>48764.3216547212</v>
      </c>
      <c r="E239" s="17">
        <v>51846.1564162129</v>
      </c>
      <c r="F239" s="17">
        <f>AVERAGE(Table1436281283289[[#This Row],[Teste 1]:[Teste 3]])</f>
        <v>49291.825939382339</v>
      </c>
      <c r="G239" s="16"/>
      <c r="H239" s="16" t="s">
        <v>16</v>
      </c>
      <c r="I239" s="16" t="s">
        <v>5</v>
      </c>
      <c r="J239" s="17">
        <v>6779.04</v>
      </c>
      <c r="K239" s="17">
        <v>6919.01</v>
      </c>
      <c r="L239" s="17">
        <v>6715.09</v>
      </c>
      <c r="M239" s="17">
        <f>AVERAGE(Table1436281283289301[[#This Row],[Teste 1]:[Teste 3]])</f>
        <v>6804.38</v>
      </c>
      <c r="N239" s="16"/>
      <c r="O239" s="16" t="s">
        <v>16</v>
      </c>
      <c r="P239" s="16" t="s">
        <v>5</v>
      </c>
      <c r="Q239" s="17">
        <v>2607.3229617122402</v>
      </c>
      <c r="R239" s="17">
        <v>2661.1562240020398</v>
      </c>
      <c r="S239" s="17">
        <v>2582.7303551457198</v>
      </c>
      <c r="T239" s="17">
        <f>AVERAGE(Table1436281283289301313[[#This Row],[Teste 1]:[Teste 3]])</f>
        <v>2617.0698469533331</v>
      </c>
    </row>
    <row r="240" spans="1:20" x14ac:dyDescent="0.25">
      <c r="A240" s="16" t="s">
        <v>16</v>
      </c>
      <c r="B240" s="16" t="s">
        <v>6</v>
      </c>
      <c r="C240" s="17">
        <v>85</v>
      </c>
      <c r="D240" s="17">
        <v>88</v>
      </c>
      <c r="E240" s="17">
        <v>93</v>
      </c>
      <c r="F240" s="17">
        <f>AVERAGE(Table1436281283289[[#This Row],[Teste 1]:[Teste 3]])</f>
        <v>88.666666666666671</v>
      </c>
      <c r="G240" s="16"/>
      <c r="H240" s="16" t="s">
        <v>16</v>
      </c>
      <c r="I240" s="16" t="s">
        <v>6</v>
      </c>
      <c r="J240" s="17">
        <v>278</v>
      </c>
      <c r="K240" s="17">
        <v>280</v>
      </c>
      <c r="L240" s="17">
        <v>263</v>
      </c>
      <c r="M240" s="17">
        <f>AVERAGE(Table1436281283289301[[#This Row],[Teste 1]:[Teste 3]])</f>
        <v>273.66666666666669</v>
      </c>
      <c r="N240" s="16"/>
      <c r="O240" s="16" t="s">
        <v>16</v>
      </c>
      <c r="P240" s="16" t="s">
        <v>6</v>
      </c>
      <c r="Q240" s="17">
        <v>107</v>
      </c>
      <c r="R240" s="17">
        <v>108</v>
      </c>
      <c r="S240" s="17">
        <v>101</v>
      </c>
      <c r="T240" s="17">
        <f>AVERAGE(Table1436281283289301313[[#This Row],[Teste 1]:[Teste 3]])</f>
        <v>105.33333333333333</v>
      </c>
    </row>
    <row r="241" spans="1:20" x14ac:dyDescent="0.25">
      <c r="A241" s="16" t="s">
        <v>16</v>
      </c>
      <c r="B241" s="16" t="s">
        <v>7</v>
      </c>
      <c r="C241" s="17">
        <v>9986047</v>
      </c>
      <c r="D241" s="17">
        <v>10024574</v>
      </c>
      <c r="E241" s="17">
        <v>10187955</v>
      </c>
      <c r="F241" s="17">
        <f>AVERAGE(Table1436281283289[[#This Row],[Teste 1]:[Teste 3]])</f>
        <v>10066192</v>
      </c>
      <c r="G241" s="16"/>
      <c r="H241" s="16" t="s">
        <v>16</v>
      </c>
      <c r="I241" s="16" t="s">
        <v>7</v>
      </c>
      <c r="J241" s="17">
        <v>4246525</v>
      </c>
      <c r="K241" s="17">
        <v>6842365</v>
      </c>
      <c r="L241" s="17">
        <v>6357808</v>
      </c>
      <c r="M241" s="17">
        <f>AVERAGE(Table1436281283289301[[#This Row],[Teste 1]:[Teste 3]])</f>
        <v>5815566</v>
      </c>
      <c r="N241" s="16"/>
      <c r="O241" s="16" t="s">
        <v>16</v>
      </c>
      <c r="P241" s="16" t="s">
        <v>7</v>
      </c>
      <c r="Q241" s="17">
        <v>1633279</v>
      </c>
      <c r="R241" s="17">
        <v>2631679</v>
      </c>
      <c r="S241" s="17">
        <v>2445311</v>
      </c>
      <c r="T241" s="17">
        <f>AVERAGE(Table1436281283289301313[[#This Row],[Teste 1]:[Teste 3]])</f>
        <v>2236756.3333333335</v>
      </c>
    </row>
    <row r="242" spans="1:20" x14ac:dyDescent="0.25">
      <c r="A242" s="16" t="s">
        <v>16</v>
      </c>
      <c r="B242" s="16" t="s">
        <v>8</v>
      </c>
      <c r="C242" s="17">
        <v>106623</v>
      </c>
      <c r="D242" s="17">
        <v>101254</v>
      </c>
      <c r="E242" s="17">
        <v>99872</v>
      </c>
      <c r="F242" s="17">
        <f>AVERAGE(Table1436281283289[[#This Row],[Teste 1]:[Teste 3]])</f>
        <v>102583</v>
      </c>
      <c r="G242" s="16"/>
      <c r="H242" s="16" t="s">
        <v>16</v>
      </c>
      <c r="I242" s="16" t="s">
        <v>8</v>
      </c>
      <c r="J242" s="17">
        <v>23979</v>
      </c>
      <c r="K242" s="17">
        <v>24229</v>
      </c>
      <c r="L242" s="17">
        <v>25040</v>
      </c>
      <c r="M242" s="17">
        <f>AVERAGE(Table1436281283289301[[#This Row],[Teste 1]:[Teste 3]])</f>
        <v>24416</v>
      </c>
      <c r="N242" s="16"/>
      <c r="O242" s="16" t="s">
        <v>16</v>
      </c>
      <c r="P242" s="16" t="s">
        <v>8</v>
      </c>
      <c r="Q242" s="17">
        <v>9223</v>
      </c>
      <c r="R242" s="17">
        <v>9319</v>
      </c>
      <c r="S242" s="17">
        <v>9631</v>
      </c>
      <c r="T242" s="17">
        <f>AVERAGE(Table1436281283289301313[[#This Row],[Teste 1]:[Teste 3]])</f>
        <v>9391</v>
      </c>
    </row>
    <row r="243" spans="1:20" x14ac:dyDescent="0.25">
      <c r="A243" s="16" t="s">
        <v>16</v>
      </c>
      <c r="B243" s="16" t="s">
        <v>9</v>
      </c>
      <c r="C243" s="17">
        <v>305407</v>
      </c>
      <c r="D243" s="17">
        <v>303704</v>
      </c>
      <c r="E243" s="17">
        <v>300142</v>
      </c>
      <c r="F243" s="17">
        <f>AVERAGE(Table1436281283289[[#This Row],[Teste 1]:[Teste 3]])</f>
        <v>303084.33333333331</v>
      </c>
      <c r="G243" s="16"/>
      <c r="H243" s="16" t="s">
        <v>16</v>
      </c>
      <c r="I243" s="16" t="s">
        <v>9</v>
      </c>
      <c r="J243" s="17">
        <v>67805</v>
      </c>
      <c r="K243" s="17">
        <v>71841</v>
      </c>
      <c r="L243" s="17">
        <v>60733</v>
      </c>
      <c r="M243" s="17">
        <f>AVERAGE(Table1436281283289301[[#This Row],[Teste 1]:[Teste 3]])</f>
        <v>66793</v>
      </c>
      <c r="N243" s="16"/>
      <c r="O243" s="16" t="s">
        <v>16</v>
      </c>
      <c r="P243" s="16" t="s">
        <v>9</v>
      </c>
      <c r="Q243" s="17">
        <v>26079</v>
      </c>
      <c r="R243" s="17">
        <v>27631</v>
      </c>
      <c r="S243" s="17">
        <v>23359</v>
      </c>
      <c r="T243" s="17">
        <f>AVERAGE(Table1436281283289301313[[#This Row],[Teste 1]:[Teste 3]])</f>
        <v>25689.666666666668</v>
      </c>
    </row>
    <row r="244" spans="1:20" x14ac:dyDescent="0.25">
      <c r="A244" s="16" t="s">
        <v>16</v>
      </c>
      <c r="B244" s="16" t="s">
        <v>11</v>
      </c>
      <c r="C244" s="17">
        <v>5000276</v>
      </c>
      <c r="D244" s="17">
        <v>5000000</v>
      </c>
      <c r="E244" s="17">
        <v>4997876</v>
      </c>
      <c r="F244" s="17">
        <f>AVERAGE(Table1436281283289[[#This Row],[Teste 1]:[Teste 3]])</f>
        <v>4999384</v>
      </c>
      <c r="G244" s="16"/>
      <c r="H244" s="16" t="s">
        <v>16</v>
      </c>
      <c r="I244" s="16" t="s">
        <v>11</v>
      </c>
      <c r="J244" s="17">
        <v>5000815</v>
      </c>
      <c r="K244" s="17">
        <v>4999297</v>
      </c>
      <c r="L244" s="17">
        <v>5001125</v>
      </c>
      <c r="M244" s="17">
        <f>AVERAGE(Table1436281283289301[[#This Row],[Teste 1]:[Teste 3]])</f>
        <v>5000412.333333333</v>
      </c>
      <c r="N244" s="16"/>
      <c r="O244" s="16" t="s">
        <v>16</v>
      </c>
      <c r="P244" s="16" t="s">
        <v>11</v>
      </c>
      <c r="Q244" s="17">
        <v>4999797</v>
      </c>
      <c r="R244" s="17">
        <v>4997990</v>
      </c>
      <c r="S244" s="17">
        <v>4998230</v>
      </c>
      <c r="T244" s="17">
        <f>AVERAGE(Table1436281283289301313[[#This Row],[Teste 1]:[Teste 3]])</f>
        <v>4998672.333333333</v>
      </c>
    </row>
    <row r="245" spans="1:20" x14ac:dyDescent="0.25">
      <c r="A245" s="16" t="s">
        <v>3</v>
      </c>
      <c r="B245" s="16" t="s">
        <v>4</v>
      </c>
      <c r="C245" s="17">
        <v>6</v>
      </c>
      <c r="D245" s="17">
        <v>6</v>
      </c>
      <c r="E245" s="17">
        <v>6</v>
      </c>
      <c r="F245" s="17">
        <f>AVERAGE(Table1436281283289[[#This Row],[Teste 1]:[Teste 3]])</f>
        <v>6</v>
      </c>
      <c r="G245" s="16"/>
      <c r="H245" s="16" t="s">
        <v>3</v>
      </c>
      <c r="I245" s="16" t="s">
        <v>4</v>
      </c>
      <c r="J245" s="17">
        <v>6</v>
      </c>
      <c r="K245" s="17">
        <v>6</v>
      </c>
      <c r="L245" s="17">
        <v>6</v>
      </c>
      <c r="M245" s="17">
        <f>AVERAGE(Table1436281283289301[[#This Row],[Teste 1]:[Teste 3]])</f>
        <v>6</v>
      </c>
      <c r="N245" s="16"/>
      <c r="O245" s="16" t="s">
        <v>3</v>
      </c>
      <c r="P245" s="16" t="s">
        <v>4</v>
      </c>
      <c r="Q245" s="17">
        <v>6</v>
      </c>
      <c r="R245" s="17">
        <v>6</v>
      </c>
      <c r="S245" s="17">
        <v>6</v>
      </c>
      <c r="T245" s="17">
        <f>AVERAGE(Table1436281283289301313[[#This Row],[Teste 1]:[Teste 3]])</f>
        <v>6</v>
      </c>
    </row>
    <row r="246" spans="1:20" x14ac:dyDescent="0.25">
      <c r="A246" s="16" t="s">
        <v>3</v>
      </c>
      <c r="B246" s="16" t="s">
        <v>5</v>
      </c>
      <c r="C246" s="17">
        <v>1.6666666666666601</v>
      </c>
      <c r="D246" s="17">
        <v>1</v>
      </c>
      <c r="E246" s="17">
        <v>0.33333299999999999</v>
      </c>
      <c r="F246" s="17">
        <f>AVERAGE(Table1436281283289[[#This Row],[Teste 1]:[Teste 3]])</f>
        <v>0.99999988888888669</v>
      </c>
      <c r="G246" s="16"/>
      <c r="H246" s="16" t="s">
        <v>3</v>
      </c>
      <c r="I246" s="16" t="s">
        <v>5</v>
      </c>
      <c r="J246" s="17">
        <v>2.1666666666666599</v>
      </c>
      <c r="K246" s="17">
        <v>2</v>
      </c>
      <c r="L246" s="17">
        <v>2.3333333333333299</v>
      </c>
      <c r="M246" s="17">
        <f>AVERAGE(Table1436281283289301[[#This Row],[Teste 1]:[Teste 3]])</f>
        <v>2.166666666666663</v>
      </c>
      <c r="N246" s="16"/>
      <c r="O246" s="16" t="s">
        <v>3</v>
      </c>
      <c r="P246" s="16" t="s">
        <v>5</v>
      </c>
      <c r="Q246" s="17">
        <v>1500.8333333333301</v>
      </c>
      <c r="R246" s="17">
        <v>778.66666666666595</v>
      </c>
      <c r="S246" s="17">
        <v>372.33333333333297</v>
      </c>
      <c r="T246" s="17">
        <f>AVERAGE(Table1436281283289301313[[#This Row],[Teste 1]:[Teste 3]])</f>
        <v>883.94444444444298</v>
      </c>
    </row>
    <row r="247" spans="1:20" x14ac:dyDescent="0.25">
      <c r="A247" s="16" t="s">
        <v>3</v>
      </c>
      <c r="B247" s="16" t="s">
        <v>6</v>
      </c>
      <c r="C247" s="17">
        <v>0</v>
      </c>
      <c r="D247" s="17">
        <v>0</v>
      </c>
      <c r="E247" s="17">
        <v>0</v>
      </c>
      <c r="F247" s="17">
        <f>AVERAGE(Table1436281283289[[#This Row],[Teste 1]:[Teste 3]])</f>
        <v>0</v>
      </c>
      <c r="G247" s="16"/>
      <c r="H247" s="16" t="s">
        <v>3</v>
      </c>
      <c r="I247" s="16" t="s">
        <v>6</v>
      </c>
      <c r="J247" s="17">
        <v>0</v>
      </c>
      <c r="K247" s="17">
        <v>1</v>
      </c>
      <c r="L247" s="17">
        <v>1</v>
      </c>
      <c r="M247" s="17">
        <f>AVERAGE(Table1436281283289301[[#This Row],[Teste 1]:[Teste 3]])</f>
        <v>0.66666666666666663</v>
      </c>
      <c r="N247" s="16"/>
      <c r="O247" s="16" t="s">
        <v>3</v>
      </c>
      <c r="P247" s="16" t="s">
        <v>6</v>
      </c>
      <c r="Q247" s="17">
        <v>1</v>
      </c>
      <c r="R247" s="17">
        <v>1</v>
      </c>
      <c r="S247" s="17">
        <v>2</v>
      </c>
      <c r="T247" s="17">
        <f>AVERAGE(Table1436281283289301313[[#This Row],[Teste 1]:[Teste 3]])</f>
        <v>1.3333333333333333</v>
      </c>
    </row>
    <row r="248" spans="1:20" x14ac:dyDescent="0.25">
      <c r="A248" s="16" t="s">
        <v>3</v>
      </c>
      <c r="B248" s="16" t="s">
        <v>7</v>
      </c>
      <c r="C248" s="17">
        <v>6</v>
      </c>
      <c r="D248" s="17">
        <v>6</v>
      </c>
      <c r="E248" s="17">
        <v>3</v>
      </c>
      <c r="F248" s="17">
        <f>AVERAGE(Table1436281283289[[#This Row],[Teste 1]:[Teste 3]])</f>
        <v>5</v>
      </c>
      <c r="G248" s="16"/>
      <c r="H248" s="16" t="s">
        <v>3</v>
      </c>
      <c r="I248" s="16" t="s">
        <v>7</v>
      </c>
      <c r="J248" s="17">
        <v>9</v>
      </c>
      <c r="K248" s="17">
        <v>7</v>
      </c>
      <c r="L248" s="17">
        <v>9</v>
      </c>
      <c r="M248" s="17">
        <f>AVERAGE(Table1436281283289301[[#This Row],[Teste 1]:[Teste 3]])</f>
        <v>8.3333333333333339</v>
      </c>
      <c r="N248" s="16"/>
      <c r="O248" s="16" t="s">
        <v>3</v>
      </c>
      <c r="P248" s="16" t="s">
        <v>7</v>
      </c>
      <c r="Q248" s="17">
        <v>8967</v>
      </c>
      <c r="R248" s="17">
        <v>4647</v>
      </c>
      <c r="S248" s="17">
        <v>2219</v>
      </c>
      <c r="T248" s="17">
        <f>AVERAGE(Table1436281283289301313[[#This Row],[Teste 1]:[Teste 3]])</f>
        <v>5277.666666666667</v>
      </c>
    </row>
    <row r="249" spans="1:20" x14ac:dyDescent="0.25">
      <c r="A249" s="16" t="s">
        <v>3</v>
      </c>
      <c r="B249" s="16" t="s">
        <v>8</v>
      </c>
      <c r="C249" s="17">
        <v>6</v>
      </c>
      <c r="D249" s="17">
        <v>6</v>
      </c>
      <c r="E249" s="17">
        <v>3</v>
      </c>
      <c r="F249" s="17">
        <f>AVERAGE(Table1436281283289[[#This Row],[Teste 1]:[Teste 3]])</f>
        <v>5</v>
      </c>
      <c r="G249" s="16"/>
      <c r="H249" s="16" t="s">
        <v>3</v>
      </c>
      <c r="I249" s="16" t="s">
        <v>8</v>
      </c>
      <c r="J249" s="17">
        <v>9</v>
      </c>
      <c r="K249" s="17">
        <v>7</v>
      </c>
      <c r="L249" s="17">
        <v>9</v>
      </c>
      <c r="M249" s="17">
        <f>AVERAGE(Table1436281283289301[[#This Row],[Teste 1]:[Teste 3]])</f>
        <v>8.3333333333333339</v>
      </c>
      <c r="N249" s="16"/>
      <c r="O249" s="16" t="s">
        <v>3</v>
      </c>
      <c r="P249" s="16" t="s">
        <v>8</v>
      </c>
      <c r="Q249" s="17">
        <v>8967</v>
      </c>
      <c r="R249" s="17">
        <v>4647</v>
      </c>
      <c r="S249" s="17">
        <v>2219</v>
      </c>
      <c r="T249" s="17">
        <f>AVERAGE(Table1436281283289301313[[#This Row],[Teste 1]:[Teste 3]])</f>
        <v>5277.666666666667</v>
      </c>
    </row>
    <row r="250" spans="1:20" x14ac:dyDescent="0.25">
      <c r="A250" s="16" t="s">
        <v>3</v>
      </c>
      <c r="B250" s="16" t="s">
        <v>9</v>
      </c>
      <c r="C250" s="17">
        <v>6</v>
      </c>
      <c r="D250" s="17">
        <v>6</v>
      </c>
      <c r="E250" s="17">
        <v>3</v>
      </c>
      <c r="F250" s="17">
        <f>AVERAGE(Table1436281283289[[#This Row],[Teste 1]:[Teste 3]])</f>
        <v>5</v>
      </c>
      <c r="G250" s="16"/>
      <c r="H250" s="16" t="s">
        <v>3</v>
      </c>
      <c r="I250" s="16" t="s">
        <v>9</v>
      </c>
      <c r="J250" s="17">
        <v>9</v>
      </c>
      <c r="K250" s="17">
        <v>7</v>
      </c>
      <c r="L250" s="17">
        <v>9</v>
      </c>
      <c r="M250" s="17">
        <f>AVERAGE(Table1436281283289301[[#This Row],[Teste 1]:[Teste 3]])</f>
        <v>8.3333333333333339</v>
      </c>
      <c r="N250" s="16"/>
      <c r="O250" s="16" t="s">
        <v>3</v>
      </c>
      <c r="P250" s="16" t="s">
        <v>9</v>
      </c>
      <c r="Q250" s="17">
        <v>8967</v>
      </c>
      <c r="R250" s="17">
        <v>4647</v>
      </c>
      <c r="S250" s="17">
        <v>2219</v>
      </c>
      <c r="T250" s="17">
        <f>AVERAGE(Table1436281283289301313[[#This Row],[Teste 1]:[Teste 3]])</f>
        <v>5277.666666666667</v>
      </c>
    </row>
    <row r="251" spans="1:20" x14ac:dyDescent="0.25">
      <c r="A251" s="16" t="s">
        <v>17</v>
      </c>
      <c r="B251" s="16" t="s">
        <v>4</v>
      </c>
      <c r="C251" s="17">
        <v>4999724</v>
      </c>
      <c r="D251" s="17">
        <v>5000000</v>
      </c>
      <c r="E251" s="17">
        <v>5002124</v>
      </c>
      <c r="F251" s="17">
        <f>AVERAGE(Table1436281283289[[#This Row],[Teste 1]:[Teste 3]])</f>
        <v>5000616</v>
      </c>
      <c r="G251" s="16"/>
      <c r="H251" s="16" t="s">
        <v>17</v>
      </c>
      <c r="I251" s="16" t="s">
        <v>4</v>
      </c>
      <c r="J251" s="17">
        <v>4999185</v>
      </c>
      <c r="K251" s="17">
        <v>5000703</v>
      </c>
      <c r="L251" s="17">
        <v>5000028</v>
      </c>
      <c r="M251" s="17">
        <f>AVERAGE(Table1436281283289301[[#This Row],[Teste 1]:[Teste 3]])</f>
        <v>4999972</v>
      </c>
      <c r="N251" s="16"/>
      <c r="O251" s="16" t="s">
        <v>17</v>
      </c>
      <c r="P251" s="16" t="s">
        <v>4</v>
      </c>
      <c r="Q251" s="17">
        <v>5000203</v>
      </c>
      <c r="R251" s="17">
        <v>5002010</v>
      </c>
      <c r="S251" s="17">
        <v>5001770</v>
      </c>
      <c r="T251" s="17">
        <f>AVERAGE(Table1436281283289301313[[#This Row],[Teste 1]:[Teste 3]])</f>
        <v>5001327.666666667</v>
      </c>
    </row>
    <row r="252" spans="1:20" x14ac:dyDescent="0.25">
      <c r="A252" s="16" t="s">
        <v>17</v>
      </c>
      <c r="B252" s="16" t="s">
        <v>5</v>
      </c>
      <c r="C252" s="17">
        <v>838.30768018394599</v>
      </c>
      <c r="D252" s="17">
        <v>789.54156183945997</v>
      </c>
      <c r="E252" s="17">
        <v>721.14547801839399</v>
      </c>
      <c r="F252" s="17">
        <f>AVERAGE(Table1436281283289[[#This Row],[Teste 1]:[Teste 3]])</f>
        <v>782.99824001393335</v>
      </c>
      <c r="G252" s="16"/>
      <c r="H252" s="16" t="s">
        <v>17</v>
      </c>
      <c r="I252" s="16" t="s">
        <v>5</v>
      </c>
      <c r="J252" s="17">
        <v>7464.74</v>
      </c>
      <c r="K252" s="17">
        <v>7613.72</v>
      </c>
      <c r="L252" s="17">
        <v>7377</v>
      </c>
      <c r="M252" s="17">
        <f>AVERAGE(Table1436281283289301[[#This Row],[Teste 1]:[Teste 3]])</f>
        <v>7485.1533333333327</v>
      </c>
      <c r="N252" s="16"/>
      <c r="O252" s="16" t="s">
        <v>17</v>
      </c>
      <c r="P252" s="16" t="s">
        <v>5</v>
      </c>
      <c r="Q252" s="17">
        <v>2871.0554645481302</v>
      </c>
      <c r="R252" s="17">
        <v>2928.3534868982601</v>
      </c>
      <c r="S252" s="17">
        <v>2837.4690531551801</v>
      </c>
      <c r="T252" s="17">
        <f>AVERAGE(Table1436281283289301313[[#This Row],[Teste 1]:[Teste 3]])</f>
        <v>2878.9593348671901</v>
      </c>
    </row>
    <row r="253" spans="1:20" x14ac:dyDescent="0.25">
      <c r="A253" s="16" t="s">
        <v>17</v>
      </c>
      <c r="B253" s="16" t="s">
        <v>6</v>
      </c>
      <c r="C253" s="17">
        <v>108</v>
      </c>
      <c r="D253" s="17">
        <v>109</v>
      </c>
      <c r="E253" s="17">
        <v>111</v>
      </c>
      <c r="F253" s="17">
        <f>AVERAGE(Table1436281283289[[#This Row],[Teste 1]:[Teste 3]])</f>
        <v>109.33333333333333</v>
      </c>
      <c r="G253" s="16"/>
      <c r="H253" s="16" t="s">
        <v>17</v>
      </c>
      <c r="I253" s="16" t="s">
        <v>6</v>
      </c>
      <c r="J253" s="17">
        <v>434</v>
      </c>
      <c r="K253" s="17">
        <v>442</v>
      </c>
      <c r="L253" s="17">
        <v>429</v>
      </c>
      <c r="M253" s="17">
        <f>AVERAGE(Table1436281283289301[[#This Row],[Teste 1]:[Teste 3]])</f>
        <v>435</v>
      </c>
      <c r="N253" s="16"/>
      <c r="O253" s="16" t="s">
        <v>17</v>
      </c>
      <c r="P253" s="16" t="s">
        <v>6</v>
      </c>
      <c r="Q253" s="17">
        <v>167</v>
      </c>
      <c r="R253" s="17">
        <v>170</v>
      </c>
      <c r="S253" s="17">
        <v>165</v>
      </c>
      <c r="T253" s="17">
        <f>AVERAGE(Table1436281283289301313[[#This Row],[Teste 1]:[Teste 3]])</f>
        <v>167.33333333333334</v>
      </c>
    </row>
    <row r="254" spans="1:20" x14ac:dyDescent="0.25">
      <c r="A254" s="16" t="s">
        <v>17</v>
      </c>
      <c r="B254" s="16" t="s">
        <v>7</v>
      </c>
      <c r="C254" s="17">
        <v>5906431</v>
      </c>
      <c r="D254" s="17">
        <v>5821346</v>
      </c>
      <c r="E254" s="17">
        <v>5609224</v>
      </c>
      <c r="F254" s="17">
        <f>AVERAGE(Table1436281283289[[#This Row],[Teste 1]:[Teste 3]])</f>
        <v>5779000.333333333</v>
      </c>
      <c r="G254" s="16"/>
      <c r="H254" s="16" t="s">
        <v>17</v>
      </c>
      <c r="I254" s="16" t="s">
        <v>7</v>
      </c>
      <c r="J254" s="17">
        <v>4329059</v>
      </c>
      <c r="K254" s="17">
        <v>6842365</v>
      </c>
      <c r="L254" s="17">
        <v>6357808</v>
      </c>
      <c r="M254" s="17">
        <f>AVERAGE(Table1436281283289301[[#This Row],[Teste 1]:[Teste 3]])</f>
        <v>5843077.333333333</v>
      </c>
      <c r="N254" s="16"/>
      <c r="O254" s="16" t="s">
        <v>17</v>
      </c>
      <c r="P254" s="16" t="s">
        <v>7</v>
      </c>
      <c r="Q254" s="17">
        <v>1665023</v>
      </c>
      <c r="R254" s="17">
        <v>2631679</v>
      </c>
      <c r="S254" s="17">
        <v>2445311</v>
      </c>
      <c r="T254" s="17">
        <f>AVERAGE(Table1436281283289301313[[#This Row],[Teste 1]:[Teste 3]])</f>
        <v>2247337.6666666665</v>
      </c>
    </row>
    <row r="255" spans="1:20" x14ac:dyDescent="0.25">
      <c r="A255" s="16" t="s">
        <v>17</v>
      </c>
      <c r="B255" s="16" t="s">
        <v>8</v>
      </c>
      <c r="C255" s="17">
        <v>2727</v>
      </c>
      <c r="D255" s="17">
        <v>1999</v>
      </c>
      <c r="E255" s="17">
        <v>1798</v>
      </c>
      <c r="F255" s="17">
        <f>AVERAGE(Table1436281283289[[#This Row],[Teste 1]:[Teste 3]])</f>
        <v>2174.6666666666665</v>
      </c>
      <c r="G255" s="16"/>
      <c r="H255" s="16" t="s">
        <v>17</v>
      </c>
      <c r="I255" s="16" t="s">
        <v>8</v>
      </c>
      <c r="J255" s="17">
        <v>28348</v>
      </c>
      <c r="K255" s="17">
        <v>28639</v>
      </c>
      <c r="L255" s="17">
        <v>29367</v>
      </c>
      <c r="M255" s="17">
        <f>AVERAGE(Table1436281283289301[[#This Row],[Teste 1]:[Teste 3]])</f>
        <v>28784.666666666668</v>
      </c>
      <c r="N255" s="16"/>
      <c r="O255" s="16" t="s">
        <v>17</v>
      </c>
      <c r="P255" s="16" t="s">
        <v>8</v>
      </c>
      <c r="Q255" s="17">
        <v>10903</v>
      </c>
      <c r="R255" s="17">
        <v>11015</v>
      </c>
      <c r="S255" s="17">
        <v>11295</v>
      </c>
      <c r="T255" s="17">
        <f>AVERAGE(Table1436281283289301313[[#This Row],[Teste 1]:[Teste 3]])</f>
        <v>11071</v>
      </c>
    </row>
    <row r="256" spans="1:20" x14ac:dyDescent="0.25">
      <c r="A256" s="16" t="s">
        <v>17</v>
      </c>
      <c r="B256" s="16" t="s">
        <v>9</v>
      </c>
      <c r="C256" s="17">
        <v>6299</v>
      </c>
      <c r="D256" s="17">
        <v>5924</v>
      </c>
      <c r="E256" s="17">
        <v>5741</v>
      </c>
      <c r="F256" s="17">
        <f>AVERAGE(Table1436281283289[[#This Row],[Teste 1]:[Teste 3]])</f>
        <v>5988</v>
      </c>
      <c r="G256" s="16"/>
      <c r="H256" s="16" t="s">
        <v>17</v>
      </c>
      <c r="I256" s="16" t="s">
        <v>9</v>
      </c>
      <c r="J256" s="17">
        <v>70052</v>
      </c>
      <c r="K256" s="17">
        <v>73879</v>
      </c>
      <c r="L256" s="17">
        <v>62688</v>
      </c>
      <c r="M256" s="17">
        <f>AVERAGE(Table1436281283289301[[#This Row],[Teste 1]:[Teste 3]])</f>
        <v>68873</v>
      </c>
      <c r="N256" s="16"/>
      <c r="O256" s="16" t="s">
        <v>17</v>
      </c>
      <c r="P256" s="16" t="s">
        <v>9</v>
      </c>
      <c r="Q256" s="17">
        <v>26943</v>
      </c>
      <c r="R256" s="17">
        <v>28415</v>
      </c>
      <c r="S256" s="17">
        <v>24111</v>
      </c>
      <c r="T256" s="17">
        <f>AVERAGE(Table1436281283289301313[[#This Row],[Teste 1]:[Teste 3]])</f>
        <v>26489.666666666668</v>
      </c>
    </row>
    <row r="257" spans="1:20" x14ac:dyDescent="0.25">
      <c r="A257" s="16" t="s">
        <v>17</v>
      </c>
      <c r="B257" s="16" t="s">
        <v>11</v>
      </c>
      <c r="C257" s="17">
        <v>4999724</v>
      </c>
      <c r="D257" s="17">
        <v>5000000</v>
      </c>
      <c r="E257" s="17">
        <v>5002124</v>
      </c>
      <c r="F257" s="17">
        <f>AVERAGE(Table1436281283289[[#This Row],[Teste 1]:[Teste 3]])</f>
        <v>5000616</v>
      </c>
      <c r="G257" s="16"/>
      <c r="H257" s="16" t="s">
        <v>17</v>
      </c>
      <c r="I257" s="16" t="s">
        <v>11</v>
      </c>
      <c r="J257" s="17">
        <v>4999185</v>
      </c>
      <c r="K257" s="17">
        <v>5000703</v>
      </c>
      <c r="L257" s="17">
        <v>5000028</v>
      </c>
      <c r="M257" s="17">
        <f>AVERAGE(Table1436281283289301[[#This Row],[Teste 1]:[Teste 3]])</f>
        <v>4999972</v>
      </c>
      <c r="N257" s="16"/>
      <c r="O257" s="16" t="s">
        <v>17</v>
      </c>
      <c r="P257" s="16" t="s">
        <v>11</v>
      </c>
      <c r="Q257" s="17">
        <v>5000203</v>
      </c>
      <c r="R257" s="17">
        <v>5002010</v>
      </c>
      <c r="S257" s="17">
        <v>5001770</v>
      </c>
      <c r="T257" s="17">
        <f>AVERAGE(Table1436281283289301313[[#This Row],[Teste 1]:[Teste 3]])</f>
        <v>5001327.666666667</v>
      </c>
    </row>
    <row r="258" spans="1:20" x14ac:dyDescent="0.25">
      <c r="A258" s="16"/>
      <c r="B258" s="16"/>
      <c r="C258" s="17"/>
      <c r="D258" s="17"/>
      <c r="E258" s="17"/>
      <c r="F258" s="17"/>
      <c r="G258" s="16"/>
      <c r="H258" s="16"/>
      <c r="I258" s="16"/>
      <c r="J258" s="17"/>
      <c r="K258" s="17"/>
      <c r="L258" s="17"/>
      <c r="M258" s="17"/>
      <c r="N258" s="16"/>
      <c r="O258" s="16"/>
      <c r="P258" s="16"/>
      <c r="Q258" s="17"/>
      <c r="R258" s="17"/>
      <c r="S258" s="17"/>
      <c r="T258" s="17"/>
    </row>
    <row r="259" spans="1:20" x14ac:dyDescent="0.25">
      <c r="A259" s="16"/>
      <c r="B259" s="16"/>
      <c r="C259" s="17"/>
      <c r="D259" s="17"/>
      <c r="E259" s="17"/>
      <c r="F259" s="17"/>
      <c r="G259" s="16"/>
      <c r="H259" s="16"/>
      <c r="I259" s="16"/>
      <c r="J259" s="17"/>
      <c r="K259" s="17"/>
      <c r="L259" s="17"/>
      <c r="M259" s="17"/>
      <c r="N259" s="16"/>
      <c r="O259" s="16"/>
      <c r="P259" s="16"/>
      <c r="Q259" s="17"/>
      <c r="R259" s="17"/>
      <c r="S259" s="17"/>
      <c r="T259" s="17"/>
    </row>
    <row r="260" spans="1:20" x14ac:dyDescent="0.25">
      <c r="A260" s="16"/>
      <c r="B260" s="16"/>
      <c r="C260" s="17"/>
      <c r="D260" s="17"/>
      <c r="E260" s="17"/>
      <c r="F260" s="17"/>
      <c r="G260" s="16"/>
      <c r="H260" s="16"/>
      <c r="I260" s="16"/>
      <c r="J260" s="17"/>
      <c r="K260" s="17"/>
      <c r="L260" s="17"/>
      <c r="M260" s="17"/>
      <c r="N260" s="16"/>
      <c r="O260" s="16"/>
      <c r="P260" s="16"/>
      <c r="Q260" s="17"/>
      <c r="R260" s="17"/>
      <c r="S260" s="17"/>
      <c r="T260" s="17"/>
    </row>
  </sheetData>
  <phoneticPr fontId="1" type="noConversion"/>
  <pageMargins left="0.7" right="0.7" top="0.75" bottom="0.75" header="0.3" footer="0.3"/>
  <tableParts count="2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3E52-893E-47AB-A669-361879BD8A83}">
  <dimension ref="A1:T262"/>
  <sheetViews>
    <sheetView zoomScale="86" zoomScaleNormal="86" workbookViewId="0">
      <selection activeCell="I4" sqref="I4"/>
    </sheetView>
  </sheetViews>
  <sheetFormatPr defaultRowHeight="15" x14ac:dyDescent="0.25"/>
  <cols>
    <col min="1" max="1" width="15" customWidth="1"/>
    <col min="2" max="2" width="25.5703125" customWidth="1"/>
    <col min="3" max="3" width="15" customWidth="1"/>
    <col min="4" max="4" width="14.42578125" customWidth="1"/>
    <col min="5" max="5" width="14" customWidth="1"/>
    <col min="6" max="6" width="14.7109375" customWidth="1"/>
    <col min="8" max="8" width="14.28515625" customWidth="1"/>
    <col min="9" max="9" width="25.28515625" customWidth="1"/>
    <col min="10" max="10" width="14.7109375" customWidth="1"/>
    <col min="11" max="11" width="15.140625" customWidth="1"/>
    <col min="12" max="12" width="15" customWidth="1"/>
    <col min="13" max="13" width="14.28515625" customWidth="1"/>
    <col min="15" max="15" width="15.28515625" customWidth="1"/>
    <col min="16" max="16" width="25.42578125" customWidth="1"/>
    <col min="17" max="17" width="13.140625" customWidth="1"/>
    <col min="18" max="18" width="13" customWidth="1"/>
    <col min="19" max="19" width="12.85546875" customWidth="1"/>
    <col min="20" max="20" width="13.140625" customWidth="1"/>
    <col min="22" max="22" width="10.5703125" customWidth="1"/>
    <col min="23" max="23" width="11.28515625" customWidth="1"/>
    <col min="24" max="24" width="10.7109375" customWidth="1"/>
  </cols>
  <sheetData>
    <row r="1" spans="1:20" ht="18.75" x14ac:dyDescent="0.3">
      <c r="H1" s="1" t="s">
        <v>19</v>
      </c>
    </row>
    <row r="2" spans="1:20" ht="18.75" x14ac:dyDescent="0.3">
      <c r="H2" s="1" t="s">
        <v>20</v>
      </c>
    </row>
    <row r="5" spans="1:20" ht="15.75" x14ac:dyDescent="0.25">
      <c r="A5" s="2" t="s">
        <v>62</v>
      </c>
      <c r="H5" s="2" t="s">
        <v>62</v>
      </c>
      <c r="O5" s="2" t="s">
        <v>62</v>
      </c>
    </row>
    <row r="6" spans="1:20" ht="15.75" x14ac:dyDescent="0.25">
      <c r="A6" s="2" t="s">
        <v>65</v>
      </c>
      <c r="H6" s="2" t="s">
        <v>65</v>
      </c>
      <c r="O6" s="2" t="s">
        <v>65</v>
      </c>
    </row>
    <row r="7" spans="1:20" ht="15.75" x14ac:dyDescent="0.25">
      <c r="A7" s="16" t="s">
        <v>59</v>
      </c>
      <c r="B7" s="21" t="s">
        <v>62</v>
      </c>
      <c r="C7" s="16" t="s">
        <v>82</v>
      </c>
      <c r="D7" s="16" t="s">
        <v>64</v>
      </c>
      <c r="E7" s="16" t="s">
        <v>63</v>
      </c>
      <c r="F7" s="16" t="s">
        <v>18</v>
      </c>
      <c r="G7" s="16"/>
      <c r="H7" s="16" t="s">
        <v>12</v>
      </c>
      <c r="I7" s="21" t="s">
        <v>62</v>
      </c>
      <c r="J7" s="16" t="s">
        <v>82</v>
      </c>
      <c r="K7" s="16" t="s">
        <v>64</v>
      </c>
      <c r="L7" s="16" t="s">
        <v>63</v>
      </c>
      <c r="M7" s="16" t="s">
        <v>18</v>
      </c>
      <c r="N7" s="16"/>
      <c r="O7" s="16" t="s">
        <v>13</v>
      </c>
      <c r="P7" s="21" t="s">
        <v>62</v>
      </c>
      <c r="Q7" s="16" t="s">
        <v>82</v>
      </c>
      <c r="R7" s="16" t="s">
        <v>64</v>
      </c>
      <c r="S7" s="16" t="s">
        <v>63</v>
      </c>
      <c r="T7" s="16" t="s">
        <v>18</v>
      </c>
    </row>
    <row r="8" spans="1:20" x14ac:dyDescent="0.25">
      <c r="A8" s="16" t="s">
        <v>0</v>
      </c>
      <c r="B8" s="16" t="s">
        <v>1</v>
      </c>
      <c r="C8" s="17">
        <v>38789</v>
      </c>
      <c r="D8" s="17">
        <v>40377</v>
      </c>
      <c r="E8" s="17">
        <v>39346</v>
      </c>
      <c r="F8" s="17">
        <f>AVERAGE(Table1436281317[[#This Row],[Teste 1]:[Teste 3]])</f>
        <v>39504</v>
      </c>
      <c r="G8" s="16"/>
      <c r="H8" s="16" t="s">
        <v>0</v>
      </c>
      <c r="I8" s="16" t="s">
        <v>1</v>
      </c>
      <c r="J8" s="17">
        <v>50425</v>
      </c>
      <c r="K8" s="17">
        <v>52490</v>
      </c>
      <c r="L8" s="17">
        <v>51149</v>
      </c>
      <c r="M8" s="17">
        <f>AVERAGE(Table1436281293329[[#This Row],[Teste 1]:[Teste 3]])</f>
        <v>51354.666666666664</v>
      </c>
      <c r="N8" s="16"/>
      <c r="O8" s="16" t="s">
        <v>0</v>
      </c>
      <c r="P8" s="16" t="s">
        <v>1</v>
      </c>
      <c r="Q8" s="17">
        <v>17044</v>
      </c>
      <c r="R8" s="17">
        <v>17769</v>
      </c>
      <c r="S8" s="17">
        <v>17752</v>
      </c>
      <c r="T8" s="17">
        <f>AVERAGE(Table1436281293305341[[#This Row],[Teste 1]:[Teste 3]])</f>
        <v>17521.666666666668</v>
      </c>
    </row>
    <row r="9" spans="1:20" x14ac:dyDescent="0.25">
      <c r="A9" s="16" t="s">
        <v>0</v>
      </c>
      <c r="B9" s="16" t="s">
        <v>2</v>
      </c>
      <c r="C9" s="17">
        <v>2578.0504782283601</v>
      </c>
      <c r="D9" s="17">
        <v>2476.6575030339</v>
      </c>
      <c r="E9" s="17">
        <v>2541.5544146800098</v>
      </c>
      <c r="F9" s="17">
        <f>AVERAGE(Table1436281317[[#This Row],[Teste 1]:[Teste 3]])</f>
        <v>2532.0874653140895</v>
      </c>
      <c r="G9" s="16"/>
      <c r="H9" s="16" t="s">
        <v>0</v>
      </c>
      <c r="I9" s="16" t="s">
        <v>2</v>
      </c>
      <c r="J9" s="17">
        <v>1983.116</v>
      </c>
      <c r="K9" s="17">
        <v>1905.1210000000001</v>
      </c>
      <c r="L9" s="17">
        <v>1955.0419999999999</v>
      </c>
      <c r="M9" s="17">
        <f>AVERAGE(Table1436281293329[[#This Row],[Teste 1]:[Teste 3]])</f>
        <v>1947.7596666666668</v>
      </c>
      <c r="N9" s="16"/>
      <c r="O9" s="16" t="s">
        <v>0</v>
      </c>
      <c r="P9" s="16" t="s">
        <v>2</v>
      </c>
      <c r="Q9" s="17">
        <v>5867.1673316122897</v>
      </c>
      <c r="R9" s="17">
        <v>5627.7787157408902</v>
      </c>
      <c r="S9" s="17">
        <v>5633.1680937359097</v>
      </c>
      <c r="T9" s="17">
        <f>AVERAGE(Table1436281293305341[[#This Row],[Teste 1]:[Teste 3]])</f>
        <v>5709.3713803630299</v>
      </c>
    </row>
    <row r="10" spans="1:20" x14ac:dyDescent="0.25">
      <c r="A10" s="16" t="s">
        <v>16</v>
      </c>
      <c r="B10" s="16" t="s">
        <v>4</v>
      </c>
      <c r="C10" s="17">
        <v>94978</v>
      </c>
      <c r="D10" s="17">
        <v>95060</v>
      </c>
      <c r="E10" s="17">
        <v>94941</v>
      </c>
      <c r="F10" s="17">
        <f>AVERAGE(Table1436281317[[#This Row],[Teste 1]:[Teste 3]])</f>
        <v>94993</v>
      </c>
      <c r="G10" s="16"/>
      <c r="H10" s="16" t="s">
        <v>16</v>
      </c>
      <c r="I10" s="16" t="s">
        <v>4</v>
      </c>
      <c r="J10" s="17">
        <v>94988</v>
      </c>
      <c r="K10" s="17">
        <v>95053</v>
      </c>
      <c r="L10" s="17">
        <v>94932</v>
      </c>
      <c r="M10" s="17">
        <f>AVERAGE(Table1436281293329[[#This Row],[Teste 1]:[Teste 3]])</f>
        <v>94991</v>
      </c>
      <c r="N10" s="16"/>
      <c r="O10" s="16" t="s">
        <v>16</v>
      </c>
      <c r="P10" s="16" t="s">
        <v>4</v>
      </c>
      <c r="Q10" s="17">
        <v>95018</v>
      </c>
      <c r="R10" s="17">
        <v>95018</v>
      </c>
      <c r="S10" s="17">
        <v>94964</v>
      </c>
      <c r="T10" s="17">
        <f>AVERAGE(Table1436281293305341[[#This Row],[Teste 1]:[Teste 3]])</f>
        <v>95000</v>
      </c>
    </row>
    <row r="11" spans="1:20" x14ac:dyDescent="0.25">
      <c r="A11" s="16" t="s">
        <v>16</v>
      </c>
      <c r="B11" s="16" t="s">
        <v>5</v>
      </c>
      <c r="C11" s="17">
        <v>346.543188949019</v>
      </c>
      <c r="D11" s="17">
        <v>363.88246370713199</v>
      </c>
      <c r="E11" s="17">
        <v>352.48717624630001</v>
      </c>
      <c r="F11" s="17">
        <f>AVERAGE(Table1436281317[[#This Row],[Teste 1]:[Teste 3]])</f>
        <v>354.30427630081704</v>
      </c>
      <c r="G11" s="16"/>
      <c r="H11" s="16" t="s">
        <v>16</v>
      </c>
      <c r="I11" s="16" t="s">
        <v>5</v>
      </c>
      <c r="J11" s="17">
        <v>450.51</v>
      </c>
      <c r="K11" s="17">
        <v>473.05</v>
      </c>
      <c r="L11" s="17">
        <v>458.23</v>
      </c>
      <c r="M11" s="17">
        <f>AVERAGE(Table1436281293329[[#This Row],[Teste 1]:[Teste 3]])</f>
        <v>460.59666666666664</v>
      </c>
      <c r="N11" s="16"/>
      <c r="O11" s="16" t="s">
        <v>16</v>
      </c>
      <c r="P11" s="16" t="s">
        <v>5</v>
      </c>
      <c r="Q11" s="17">
        <v>148.63013323791199</v>
      </c>
      <c r="R11" s="17">
        <v>155.156138836851</v>
      </c>
      <c r="S11" s="17">
        <v>156.26268901899601</v>
      </c>
      <c r="T11" s="17">
        <f>AVERAGE(Table1436281293305341[[#This Row],[Teste 1]:[Teste 3]])</f>
        <v>153.34965369791968</v>
      </c>
    </row>
    <row r="12" spans="1:20" x14ac:dyDescent="0.25">
      <c r="A12" s="16" t="s">
        <v>16</v>
      </c>
      <c r="B12" s="16" t="s">
        <v>6</v>
      </c>
      <c r="C12" s="17">
        <v>162</v>
      </c>
      <c r="D12" s="17">
        <v>119</v>
      </c>
      <c r="E12" s="17">
        <v>119</v>
      </c>
      <c r="F12" s="17">
        <f>AVERAGE(Table1436281317[[#This Row],[Teste 1]:[Teste 3]])</f>
        <v>133.33333333333334</v>
      </c>
      <c r="G12" s="16"/>
      <c r="H12" s="16" t="s">
        <v>16</v>
      </c>
      <c r="I12" s="16" t="s">
        <v>6</v>
      </c>
      <c r="J12" s="17">
        <v>211</v>
      </c>
      <c r="K12" s="17">
        <v>155</v>
      </c>
      <c r="L12" s="17">
        <v>155</v>
      </c>
      <c r="M12" s="17">
        <f>AVERAGE(Table1436281293329[[#This Row],[Teste 1]:[Teste 3]])</f>
        <v>173.66666666666666</v>
      </c>
      <c r="N12" s="16"/>
      <c r="O12" s="16" t="s">
        <v>16</v>
      </c>
      <c r="P12" s="16" t="s">
        <v>6</v>
      </c>
      <c r="Q12" s="17">
        <v>92</v>
      </c>
      <c r="R12" s="17">
        <v>101</v>
      </c>
      <c r="S12" s="17">
        <v>105</v>
      </c>
      <c r="T12" s="17">
        <f>AVERAGE(Table1436281293305341[[#This Row],[Teste 1]:[Teste 3]])</f>
        <v>99.333333333333329</v>
      </c>
    </row>
    <row r="13" spans="1:20" x14ac:dyDescent="0.25">
      <c r="A13" s="16" t="s">
        <v>16</v>
      </c>
      <c r="B13" s="16" t="s">
        <v>7</v>
      </c>
      <c r="C13" s="17">
        <v>15399</v>
      </c>
      <c r="D13" s="17">
        <v>31679</v>
      </c>
      <c r="E13" s="17">
        <v>23807</v>
      </c>
      <c r="F13" s="17">
        <f>AVERAGE(Table1436281317[[#This Row],[Teste 1]:[Teste 3]])</f>
        <v>23628.333333333332</v>
      </c>
      <c r="G13" s="16"/>
      <c r="H13" s="16" t="s">
        <v>16</v>
      </c>
      <c r="I13" s="16" t="s">
        <v>7</v>
      </c>
      <c r="J13" s="17">
        <v>20019</v>
      </c>
      <c r="K13" s="17">
        <v>41183</v>
      </c>
      <c r="L13" s="17">
        <v>30949</v>
      </c>
      <c r="M13" s="17">
        <f>AVERAGE(Table1436281293329[[#This Row],[Teste 1]:[Teste 3]])</f>
        <v>30717</v>
      </c>
      <c r="N13" s="16"/>
      <c r="O13" s="16" t="s">
        <v>16</v>
      </c>
      <c r="P13" s="16" t="s">
        <v>7</v>
      </c>
      <c r="Q13" s="17">
        <v>30607</v>
      </c>
      <c r="R13" s="17">
        <v>15951</v>
      </c>
      <c r="S13" s="17">
        <v>29183</v>
      </c>
      <c r="T13" s="17">
        <f>AVERAGE(Table1436281293305341[[#This Row],[Teste 1]:[Teste 3]])</f>
        <v>25247</v>
      </c>
    </row>
    <row r="14" spans="1:20" x14ac:dyDescent="0.25">
      <c r="A14" s="16" t="s">
        <v>16</v>
      </c>
      <c r="B14" s="16" t="s">
        <v>8</v>
      </c>
      <c r="C14" s="17">
        <v>542</v>
      </c>
      <c r="D14" s="17">
        <v>596</v>
      </c>
      <c r="E14" s="17">
        <v>574</v>
      </c>
      <c r="F14" s="17">
        <f>AVERAGE(Table1436281317[[#This Row],[Teste 1]:[Teste 3]])</f>
        <v>570.66666666666663</v>
      </c>
      <c r="G14" s="16"/>
      <c r="H14" s="16" t="s">
        <v>16</v>
      </c>
      <c r="I14" s="16" t="s">
        <v>8</v>
      </c>
      <c r="J14" s="17">
        <v>705</v>
      </c>
      <c r="K14" s="17">
        <v>775</v>
      </c>
      <c r="L14" s="17">
        <v>746</v>
      </c>
      <c r="M14" s="17">
        <f>AVERAGE(Table1436281293329[[#This Row],[Teste 1]:[Teste 3]])</f>
        <v>742</v>
      </c>
      <c r="N14" s="16"/>
      <c r="O14" s="16" t="s">
        <v>16</v>
      </c>
      <c r="P14" s="16" t="s">
        <v>8</v>
      </c>
      <c r="Q14" s="17">
        <v>200</v>
      </c>
      <c r="R14" s="17">
        <v>216</v>
      </c>
      <c r="S14" s="17">
        <v>217</v>
      </c>
      <c r="T14" s="17">
        <f>AVERAGE(Table1436281293305341[[#This Row],[Teste 1]:[Teste 3]])</f>
        <v>211</v>
      </c>
    </row>
    <row r="15" spans="1:20" x14ac:dyDescent="0.25">
      <c r="A15" s="16" t="s">
        <v>16</v>
      </c>
      <c r="B15" s="16" t="s">
        <v>9</v>
      </c>
      <c r="C15" s="17">
        <v>1008</v>
      </c>
      <c r="D15" s="17">
        <v>1214</v>
      </c>
      <c r="E15" s="17">
        <v>1046</v>
      </c>
      <c r="F15" s="17">
        <f>AVERAGE(Table1436281317[[#This Row],[Teste 1]:[Teste 3]])</f>
        <v>1089.3333333333333</v>
      </c>
      <c r="G15" s="16"/>
      <c r="H15" s="16" t="s">
        <v>16</v>
      </c>
      <c r="I15" s="16" t="s">
        <v>9</v>
      </c>
      <c r="J15" s="17">
        <v>1310</v>
      </c>
      <c r="K15" s="17">
        <v>1578</v>
      </c>
      <c r="L15" s="17">
        <v>1360</v>
      </c>
      <c r="M15" s="17">
        <f>AVERAGE(Table1436281293329[[#This Row],[Teste 1]:[Teste 3]])</f>
        <v>1416</v>
      </c>
      <c r="N15" s="16"/>
      <c r="O15" s="16" t="s">
        <v>16</v>
      </c>
      <c r="P15" s="16" t="s">
        <v>9</v>
      </c>
      <c r="Q15" s="17">
        <v>331</v>
      </c>
      <c r="R15" s="17">
        <v>362</v>
      </c>
      <c r="S15" s="17">
        <v>349</v>
      </c>
      <c r="T15" s="17">
        <f>AVERAGE(Table1436281293305341[[#This Row],[Teste 1]:[Teste 3]])</f>
        <v>347.33333333333331</v>
      </c>
    </row>
    <row r="16" spans="1:20" x14ac:dyDescent="0.25">
      <c r="A16" s="16" t="s">
        <v>16</v>
      </c>
      <c r="B16" s="16" t="s">
        <v>11</v>
      </c>
      <c r="C16" s="17">
        <v>94978</v>
      </c>
      <c r="D16" s="17">
        <v>95060</v>
      </c>
      <c r="E16" s="17">
        <v>94941</v>
      </c>
      <c r="F16" s="17">
        <f>AVERAGE(Table1436281317[[#This Row],[Teste 1]:[Teste 3]])</f>
        <v>94993</v>
      </c>
      <c r="G16" s="16"/>
      <c r="H16" s="16" t="s">
        <v>16</v>
      </c>
      <c r="I16" s="16" t="s">
        <v>11</v>
      </c>
      <c r="J16" s="17">
        <v>94988</v>
      </c>
      <c r="K16" s="17">
        <v>95053</v>
      </c>
      <c r="L16" s="17">
        <v>94932</v>
      </c>
      <c r="M16" s="17">
        <f>AVERAGE(Table1436281293329[[#This Row],[Teste 1]:[Teste 3]])</f>
        <v>94991</v>
      </c>
      <c r="N16" s="16"/>
      <c r="O16" s="16" t="s">
        <v>16</v>
      </c>
      <c r="P16" s="16" t="s">
        <v>11</v>
      </c>
      <c r="Q16" s="17">
        <v>95018</v>
      </c>
      <c r="R16" s="17">
        <v>95018</v>
      </c>
      <c r="S16" s="17">
        <v>94964</v>
      </c>
      <c r="T16" s="17">
        <f>AVERAGE(Table1436281293305341[[#This Row],[Teste 1]:[Teste 3]])</f>
        <v>95000</v>
      </c>
    </row>
    <row r="17" spans="1:20" x14ac:dyDescent="0.25">
      <c r="A17" s="16" t="s">
        <v>3</v>
      </c>
      <c r="B17" s="16" t="s">
        <v>4</v>
      </c>
      <c r="C17" s="17">
        <v>1</v>
      </c>
      <c r="D17" s="17">
        <v>1</v>
      </c>
      <c r="E17" s="17">
        <v>1</v>
      </c>
      <c r="F17" s="17">
        <f>AVERAGE(Table1436281317[[#This Row],[Teste 1]:[Teste 3]])</f>
        <v>1</v>
      </c>
      <c r="G17" s="16"/>
      <c r="H17" s="16" t="s">
        <v>3</v>
      </c>
      <c r="I17" s="16" t="s">
        <v>4</v>
      </c>
      <c r="J17" s="17">
        <v>1</v>
      </c>
      <c r="K17" s="17">
        <v>1</v>
      </c>
      <c r="L17" s="17">
        <v>1</v>
      </c>
      <c r="M17" s="17">
        <f>AVERAGE(Table1436281293329[[#This Row],[Teste 1]:[Teste 3]])</f>
        <v>1</v>
      </c>
      <c r="N17" s="16"/>
      <c r="O17" s="16" t="s">
        <v>3</v>
      </c>
      <c r="P17" s="16" t="s">
        <v>4</v>
      </c>
      <c r="Q17" s="17">
        <v>1</v>
      </c>
      <c r="R17" s="17">
        <v>1</v>
      </c>
      <c r="S17" s="17">
        <v>1</v>
      </c>
      <c r="T17" s="17">
        <f>AVERAGE(Table1436281293305341[[#This Row],[Teste 1]:[Teste 3]])</f>
        <v>1</v>
      </c>
    </row>
    <row r="18" spans="1:20" x14ac:dyDescent="0.25">
      <c r="A18" s="16" t="s">
        <v>3</v>
      </c>
      <c r="B18" s="16" t="s">
        <v>5</v>
      </c>
      <c r="C18" s="17">
        <v>8</v>
      </c>
      <c r="D18" s="17">
        <v>10</v>
      </c>
      <c r="E18" s="17">
        <v>9</v>
      </c>
      <c r="F18" s="17">
        <f>AVERAGE(Table1436281317[[#This Row],[Teste 1]:[Teste 3]])</f>
        <v>9</v>
      </c>
      <c r="G18" s="16"/>
      <c r="H18" s="16" t="s">
        <v>3</v>
      </c>
      <c r="I18" s="16" t="s">
        <v>5</v>
      </c>
      <c r="J18" s="17">
        <v>7</v>
      </c>
      <c r="K18" s="17">
        <v>8</v>
      </c>
      <c r="L18" s="17">
        <v>7</v>
      </c>
      <c r="M18" s="17">
        <f>AVERAGE(Table1436281293329[[#This Row],[Teste 1]:[Teste 3]])</f>
        <v>7.333333333333333</v>
      </c>
      <c r="N18" s="16"/>
      <c r="O18" s="16" t="s">
        <v>3</v>
      </c>
      <c r="P18" s="16" t="s">
        <v>5</v>
      </c>
      <c r="Q18" s="17">
        <v>1049</v>
      </c>
      <c r="R18" s="17">
        <v>940</v>
      </c>
      <c r="S18" s="17">
        <v>1019</v>
      </c>
      <c r="T18" s="17">
        <f>AVERAGE(Table1436281293305341[[#This Row],[Teste 1]:[Teste 3]])</f>
        <v>1002.6666666666666</v>
      </c>
    </row>
    <row r="19" spans="1:20" x14ac:dyDescent="0.25">
      <c r="A19" s="16" t="s">
        <v>3</v>
      </c>
      <c r="B19" s="16" t="s">
        <v>6</v>
      </c>
      <c r="C19" s="17">
        <v>8</v>
      </c>
      <c r="D19" s="17">
        <v>10</v>
      </c>
      <c r="E19" s="17">
        <v>9</v>
      </c>
      <c r="F19" s="17">
        <f>AVERAGE(Table1436281317[[#This Row],[Teste 1]:[Teste 3]])</f>
        <v>9</v>
      </c>
      <c r="G19" s="16"/>
      <c r="H19" s="16" t="s">
        <v>3</v>
      </c>
      <c r="I19" s="16" t="s">
        <v>6</v>
      </c>
      <c r="J19" s="17">
        <v>7</v>
      </c>
      <c r="K19" s="17">
        <v>8</v>
      </c>
      <c r="L19" s="17">
        <v>7</v>
      </c>
      <c r="M19" s="17">
        <f>AVERAGE(Table1436281293329[[#This Row],[Teste 1]:[Teste 3]])</f>
        <v>7.333333333333333</v>
      </c>
      <c r="N19" s="16"/>
      <c r="O19" s="16" t="s">
        <v>3</v>
      </c>
      <c r="P19" s="16" t="s">
        <v>6</v>
      </c>
      <c r="Q19" s="17">
        <v>1049</v>
      </c>
      <c r="R19" s="17">
        <v>940</v>
      </c>
      <c r="S19" s="17">
        <v>1019</v>
      </c>
      <c r="T19" s="17">
        <f>AVERAGE(Table1436281293305341[[#This Row],[Teste 1]:[Teste 3]])</f>
        <v>1002.6666666666666</v>
      </c>
    </row>
    <row r="20" spans="1:20" x14ac:dyDescent="0.25">
      <c r="A20" s="16" t="s">
        <v>3</v>
      </c>
      <c r="B20" s="16" t="s">
        <v>7</v>
      </c>
      <c r="C20" s="17">
        <v>8</v>
      </c>
      <c r="D20" s="17">
        <v>10</v>
      </c>
      <c r="E20" s="17">
        <v>9</v>
      </c>
      <c r="F20" s="17">
        <f>AVERAGE(Table1436281317[[#This Row],[Teste 1]:[Teste 3]])</f>
        <v>9</v>
      </c>
      <c r="G20" s="16"/>
      <c r="H20" s="16" t="s">
        <v>3</v>
      </c>
      <c r="I20" s="16" t="s">
        <v>7</v>
      </c>
      <c r="J20" s="17">
        <v>7</v>
      </c>
      <c r="K20" s="17">
        <v>8</v>
      </c>
      <c r="L20" s="17">
        <v>7</v>
      </c>
      <c r="M20" s="17">
        <f>AVERAGE(Table1436281293329[[#This Row],[Teste 1]:[Teste 3]])</f>
        <v>7.333333333333333</v>
      </c>
      <c r="N20" s="16"/>
      <c r="O20" s="16" t="s">
        <v>3</v>
      </c>
      <c r="P20" s="16" t="s">
        <v>7</v>
      </c>
      <c r="Q20" s="17">
        <v>1049</v>
      </c>
      <c r="R20" s="17">
        <v>940</v>
      </c>
      <c r="S20" s="17">
        <v>1019</v>
      </c>
      <c r="T20" s="17">
        <f>AVERAGE(Table1436281293305341[[#This Row],[Teste 1]:[Teste 3]])</f>
        <v>1002.6666666666666</v>
      </c>
    </row>
    <row r="21" spans="1:20" x14ac:dyDescent="0.25">
      <c r="A21" s="16" t="s">
        <v>3</v>
      </c>
      <c r="B21" s="16" t="s">
        <v>8</v>
      </c>
      <c r="C21" s="17">
        <v>8</v>
      </c>
      <c r="D21" s="17">
        <v>10</v>
      </c>
      <c r="E21" s="17">
        <v>9</v>
      </c>
      <c r="F21" s="17">
        <f>AVERAGE(Table1436281317[[#This Row],[Teste 1]:[Teste 3]])</f>
        <v>9</v>
      </c>
      <c r="G21" s="16"/>
      <c r="H21" s="16" t="s">
        <v>3</v>
      </c>
      <c r="I21" s="16" t="s">
        <v>8</v>
      </c>
      <c r="J21" s="17">
        <v>7</v>
      </c>
      <c r="K21" s="17">
        <v>8</v>
      </c>
      <c r="L21" s="17">
        <v>7</v>
      </c>
      <c r="M21" s="17">
        <f>AVERAGE(Table1436281293329[[#This Row],[Teste 1]:[Teste 3]])</f>
        <v>7.333333333333333</v>
      </c>
      <c r="N21" s="16"/>
      <c r="O21" s="16" t="s">
        <v>3</v>
      </c>
      <c r="P21" s="16" t="s">
        <v>8</v>
      </c>
      <c r="Q21" s="17">
        <v>1049</v>
      </c>
      <c r="R21" s="17">
        <v>940</v>
      </c>
      <c r="S21" s="17">
        <v>1019</v>
      </c>
      <c r="T21" s="17">
        <f>AVERAGE(Table1436281293305341[[#This Row],[Teste 1]:[Teste 3]])</f>
        <v>1002.6666666666666</v>
      </c>
    </row>
    <row r="22" spans="1:20" x14ac:dyDescent="0.25">
      <c r="A22" s="16" t="s">
        <v>3</v>
      </c>
      <c r="B22" s="16" t="s">
        <v>9</v>
      </c>
      <c r="C22" s="17">
        <v>8</v>
      </c>
      <c r="D22" s="17">
        <v>10</v>
      </c>
      <c r="E22" s="17">
        <v>9</v>
      </c>
      <c r="F22" s="17">
        <f>AVERAGE(Table1436281317[[#This Row],[Teste 1]:[Teste 3]])</f>
        <v>9</v>
      </c>
      <c r="G22" s="16"/>
      <c r="H22" s="16" t="s">
        <v>3</v>
      </c>
      <c r="I22" s="16" t="s">
        <v>9</v>
      </c>
      <c r="J22" s="17">
        <v>7</v>
      </c>
      <c r="K22" s="17">
        <v>8</v>
      </c>
      <c r="L22" s="17">
        <v>7</v>
      </c>
      <c r="M22" s="17">
        <f>AVERAGE(Table1436281293329[[#This Row],[Teste 1]:[Teste 3]])</f>
        <v>7.333333333333333</v>
      </c>
      <c r="N22" s="16"/>
      <c r="O22" s="16" t="s">
        <v>3</v>
      </c>
      <c r="P22" s="16" t="s">
        <v>9</v>
      </c>
      <c r="Q22" s="17">
        <v>1049</v>
      </c>
      <c r="R22" s="17">
        <v>940</v>
      </c>
      <c r="S22" s="17">
        <v>1019</v>
      </c>
      <c r="T22" s="17">
        <f>AVERAGE(Table1436281293305341[[#This Row],[Teste 1]:[Teste 3]])</f>
        <v>1002.6666666666666</v>
      </c>
    </row>
    <row r="23" spans="1:20" x14ac:dyDescent="0.25">
      <c r="A23" s="16" t="s">
        <v>17</v>
      </c>
      <c r="B23" s="16" t="s">
        <v>4</v>
      </c>
      <c r="C23" s="17">
        <v>5022</v>
      </c>
      <c r="D23" s="17">
        <v>4940</v>
      </c>
      <c r="E23" s="17">
        <v>5059</v>
      </c>
      <c r="F23" s="17">
        <f>AVERAGE(Table1436281317[[#This Row],[Teste 1]:[Teste 3]])</f>
        <v>5007</v>
      </c>
      <c r="G23" s="16"/>
      <c r="H23" s="16" t="s">
        <v>17</v>
      </c>
      <c r="I23" s="16" t="s">
        <v>4</v>
      </c>
      <c r="J23" s="17">
        <v>5012</v>
      </c>
      <c r="K23" s="17">
        <v>4947</v>
      </c>
      <c r="L23" s="17">
        <v>5068</v>
      </c>
      <c r="M23" s="17">
        <f>AVERAGE(Table1436281293329[[#This Row],[Teste 1]:[Teste 3]])</f>
        <v>5009</v>
      </c>
      <c r="N23" s="16"/>
      <c r="O23" s="16" t="s">
        <v>17</v>
      </c>
      <c r="P23" s="16" t="s">
        <v>4</v>
      </c>
      <c r="Q23" s="17">
        <v>4982</v>
      </c>
      <c r="R23" s="17">
        <v>4982</v>
      </c>
      <c r="S23" s="17">
        <v>5036</v>
      </c>
      <c r="T23" s="17">
        <f>AVERAGE(Table1436281293305341[[#This Row],[Teste 1]:[Teste 3]])</f>
        <v>5000</v>
      </c>
    </row>
    <row r="24" spans="1:20" x14ac:dyDescent="0.25">
      <c r="A24" s="16" t="s">
        <v>17</v>
      </c>
      <c r="B24" s="16" t="s">
        <v>5</v>
      </c>
      <c r="C24" s="17">
        <v>634.522102747909</v>
      </c>
      <c r="D24" s="17">
        <v>626.38481781376504</v>
      </c>
      <c r="E24" s="17">
        <v>627.44040324174705</v>
      </c>
      <c r="F24" s="17">
        <f>AVERAGE(Table1436281317[[#This Row],[Teste 1]:[Teste 3]])</f>
        <v>629.44910793447377</v>
      </c>
      <c r="G24" s="16"/>
      <c r="H24" s="16" t="s">
        <v>17</v>
      </c>
      <c r="I24" s="16" t="s">
        <v>5</v>
      </c>
      <c r="J24" s="17">
        <v>824.88</v>
      </c>
      <c r="K24" s="17">
        <v>814.3</v>
      </c>
      <c r="L24" s="17">
        <v>276.89999999999998</v>
      </c>
      <c r="M24" s="17">
        <f>AVERAGE(Table1436281293329[[#This Row],[Teste 1]:[Teste 3]])</f>
        <v>638.69333333333327</v>
      </c>
      <c r="N24" s="16"/>
      <c r="O24" s="16" t="s">
        <v>17</v>
      </c>
      <c r="P24" s="16" t="s">
        <v>5</v>
      </c>
      <c r="Q24" s="17">
        <v>372.73645122440701</v>
      </c>
      <c r="R24" s="17">
        <v>384.05760738659097</v>
      </c>
      <c r="S24" s="17">
        <v>365.21465448768799</v>
      </c>
      <c r="T24" s="17">
        <f>AVERAGE(Table1436281293305341[[#This Row],[Teste 1]:[Teste 3]])</f>
        <v>374.00290436622868</v>
      </c>
    </row>
    <row r="25" spans="1:20" x14ac:dyDescent="0.25">
      <c r="A25" s="16" t="s">
        <v>17</v>
      </c>
      <c r="B25" s="16" t="s">
        <v>6</v>
      </c>
      <c r="C25" s="17">
        <v>293</v>
      </c>
      <c r="D25" s="17">
        <v>200</v>
      </c>
      <c r="E25" s="17">
        <v>213</v>
      </c>
      <c r="F25" s="17">
        <f>AVERAGE(Table1436281317[[#This Row],[Teste 1]:[Teste 3]])</f>
        <v>235.33333333333334</v>
      </c>
      <c r="G25" s="16"/>
      <c r="H25" s="16" t="s">
        <v>17</v>
      </c>
      <c r="I25" s="16" t="s">
        <v>6</v>
      </c>
      <c r="J25" s="17">
        <v>380.9</v>
      </c>
      <c r="K25" s="17">
        <v>814.3</v>
      </c>
      <c r="L25" s="17">
        <v>815.67</v>
      </c>
      <c r="M25" s="17">
        <f>AVERAGE(Table1436281293329[[#This Row],[Teste 1]:[Teste 3]])</f>
        <v>670.29</v>
      </c>
      <c r="N25" s="16"/>
      <c r="O25" s="16" t="s">
        <v>17</v>
      </c>
      <c r="P25" s="16" t="s">
        <v>6</v>
      </c>
      <c r="Q25" s="17">
        <v>225</v>
      </c>
      <c r="R25" s="17">
        <v>209</v>
      </c>
      <c r="S25" s="17">
        <v>210</v>
      </c>
      <c r="T25" s="17">
        <f>AVERAGE(Table1436281293305341[[#This Row],[Teste 1]:[Teste 3]])</f>
        <v>214.66666666666666</v>
      </c>
    </row>
    <row r="26" spans="1:20" x14ac:dyDescent="0.25">
      <c r="A26" s="16" t="s">
        <v>17</v>
      </c>
      <c r="B26" s="16" t="s">
        <v>7</v>
      </c>
      <c r="C26" s="17">
        <v>15423</v>
      </c>
      <c r="D26" s="17">
        <v>12735</v>
      </c>
      <c r="E26" s="17">
        <v>16015</v>
      </c>
      <c r="F26" s="17">
        <f>AVERAGE(Table1436281317[[#This Row],[Teste 1]:[Teste 3]])</f>
        <v>14724.333333333334</v>
      </c>
      <c r="G26" s="16"/>
      <c r="H26" s="16" t="s">
        <v>17</v>
      </c>
      <c r="I26" s="16" t="s">
        <v>7</v>
      </c>
      <c r="J26" s="17">
        <v>20050</v>
      </c>
      <c r="K26" s="17">
        <v>1656</v>
      </c>
      <c r="L26" s="17">
        <v>20820</v>
      </c>
      <c r="M26" s="17">
        <f>AVERAGE(Table1436281293329[[#This Row],[Teste 1]:[Teste 3]])</f>
        <v>14175.333333333334</v>
      </c>
      <c r="N26" s="16"/>
      <c r="O26" s="16" t="s">
        <v>17</v>
      </c>
      <c r="P26" s="16" t="s">
        <v>7</v>
      </c>
      <c r="Q26" s="17">
        <v>9463</v>
      </c>
      <c r="R26" s="17">
        <v>34559</v>
      </c>
      <c r="S26" s="17">
        <v>9303</v>
      </c>
      <c r="T26" s="17">
        <f>AVERAGE(Table1436281293305341[[#This Row],[Teste 1]:[Teste 3]])</f>
        <v>17775</v>
      </c>
    </row>
    <row r="27" spans="1:20" x14ac:dyDescent="0.25">
      <c r="A27" s="16" t="s">
        <v>17</v>
      </c>
      <c r="B27" s="16" t="s">
        <v>8</v>
      </c>
      <c r="C27" s="17">
        <v>1095</v>
      </c>
      <c r="D27" s="17">
        <v>1069</v>
      </c>
      <c r="E27" s="17">
        <v>1112</v>
      </c>
      <c r="F27" s="17">
        <f>AVERAGE(Table1436281317[[#This Row],[Teste 1]:[Teste 3]])</f>
        <v>1092</v>
      </c>
      <c r="G27" s="16"/>
      <c r="H27" s="16" t="s">
        <v>17</v>
      </c>
      <c r="I27" s="16" t="s">
        <v>8</v>
      </c>
      <c r="J27" s="17">
        <v>1424</v>
      </c>
      <c r="K27" s="17">
        <v>1390</v>
      </c>
      <c r="L27" s="17">
        <v>1446</v>
      </c>
      <c r="M27" s="17">
        <f>AVERAGE(Table1436281293329[[#This Row],[Teste 1]:[Teste 3]])</f>
        <v>1420</v>
      </c>
      <c r="N27" s="16"/>
      <c r="O27" s="16" t="s">
        <v>17</v>
      </c>
      <c r="P27" s="16" t="s">
        <v>8</v>
      </c>
      <c r="Q27" s="17">
        <v>536</v>
      </c>
      <c r="R27" s="17">
        <v>547</v>
      </c>
      <c r="S27" s="17">
        <v>541</v>
      </c>
      <c r="T27" s="17">
        <f>AVERAGE(Table1436281293305341[[#This Row],[Teste 1]:[Teste 3]])</f>
        <v>541.33333333333337</v>
      </c>
    </row>
    <row r="28" spans="1:20" x14ac:dyDescent="0.25">
      <c r="A28" s="16" t="s">
        <v>17</v>
      </c>
      <c r="B28" s="16" t="s">
        <v>9</v>
      </c>
      <c r="C28" s="17">
        <v>1726</v>
      </c>
      <c r="D28" s="17">
        <v>2027</v>
      </c>
      <c r="E28" s="17">
        <v>1883</v>
      </c>
      <c r="F28" s="17">
        <f>AVERAGE(Table1436281317[[#This Row],[Teste 1]:[Teste 3]])</f>
        <v>1878.6666666666667</v>
      </c>
      <c r="G28" s="16"/>
      <c r="H28" s="16" t="s">
        <v>17</v>
      </c>
      <c r="I28" s="16" t="s">
        <v>9</v>
      </c>
      <c r="J28" s="17">
        <v>2244</v>
      </c>
      <c r="K28" s="17">
        <v>2635</v>
      </c>
      <c r="L28" s="17">
        <v>2448</v>
      </c>
      <c r="M28" s="17">
        <f>AVERAGE(Table1436281293329[[#This Row],[Teste 1]:[Teste 3]])</f>
        <v>2442.3333333333335</v>
      </c>
      <c r="N28" s="16"/>
      <c r="O28" s="16" t="s">
        <v>17</v>
      </c>
      <c r="P28" s="16" t="s">
        <v>9</v>
      </c>
      <c r="Q28" s="17">
        <v>728</v>
      </c>
      <c r="R28" s="17">
        <v>745</v>
      </c>
      <c r="S28" s="17">
        <v>709</v>
      </c>
      <c r="T28" s="17">
        <f>AVERAGE(Table1436281293305341[[#This Row],[Teste 1]:[Teste 3]])</f>
        <v>727.33333333333337</v>
      </c>
    </row>
    <row r="29" spans="1:20" x14ac:dyDescent="0.25">
      <c r="A29" s="16" t="s">
        <v>17</v>
      </c>
      <c r="B29" s="16" t="s">
        <v>11</v>
      </c>
      <c r="C29" s="17">
        <v>5022</v>
      </c>
      <c r="D29" s="17">
        <v>4940</v>
      </c>
      <c r="E29" s="17">
        <v>5059</v>
      </c>
      <c r="F29" s="17">
        <f>AVERAGE(Table1436281317[[#This Row],[Teste 1]:[Teste 3]])</f>
        <v>5007</v>
      </c>
      <c r="G29" s="16"/>
      <c r="H29" s="16" t="s">
        <v>17</v>
      </c>
      <c r="I29" s="16" t="s">
        <v>11</v>
      </c>
      <c r="J29" s="17">
        <v>5012</v>
      </c>
      <c r="K29" s="17">
        <v>4947</v>
      </c>
      <c r="L29" s="17">
        <v>5068</v>
      </c>
      <c r="M29" s="17">
        <f>AVERAGE(Table1436281293329[[#This Row],[Teste 1]:[Teste 3]])</f>
        <v>5009</v>
      </c>
      <c r="N29" s="16"/>
      <c r="O29" s="16" t="s">
        <v>17</v>
      </c>
      <c r="P29" s="16" t="s">
        <v>11</v>
      </c>
      <c r="Q29" s="17">
        <v>4982</v>
      </c>
      <c r="R29" s="17">
        <v>4982</v>
      </c>
      <c r="S29" s="17">
        <v>5036</v>
      </c>
      <c r="T29" s="17">
        <f>AVERAGE(Table1436281293305341[[#This Row],[Teste 1]:[Teste 3]])</f>
        <v>5000</v>
      </c>
    </row>
    <row r="30" spans="1:20" x14ac:dyDescent="0.25">
      <c r="A30" s="16"/>
      <c r="B30" s="16"/>
      <c r="C30" s="17"/>
      <c r="D30" s="17"/>
      <c r="E30" s="17"/>
      <c r="F30" s="17"/>
      <c r="G30" s="16"/>
      <c r="H30" s="16"/>
      <c r="I30" s="16"/>
      <c r="J30" s="17"/>
      <c r="K30" s="17"/>
      <c r="L30" s="17"/>
      <c r="M30" s="17"/>
      <c r="N30" s="16"/>
      <c r="O30" s="16"/>
      <c r="P30" s="16"/>
      <c r="Q30" s="17"/>
      <c r="R30" s="17"/>
      <c r="S30" s="17"/>
      <c r="T30" s="17"/>
    </row>
    <row r="31" spans="1:20" x14ac:dyDescent="0.25">
      <c r="A31" s="16"/>
      <c r="B31" s="16"/>
      <c r="C31" s="17"/>
      <c r="D31" s="17"/>
      <c r="E31" s="17"/>
      <c r="F31" s="17"/>
      <c r="G31" s="16"/>
      <c r="H31" s="16"/>
      <c r="I31" s="16"/>
      <c r="J31" s="17"/>
      <c r="K31" s="17"/>
      <c r="L31" s="17"/>
      <c r="M31" s="17"/>
      <c r="N31" s="16"/>
      <c r="O31" s="16"/>
      <c r="P31" s="16"/>
      <c r="Q31" s="17"/>
      <c r="R31" s="17"/>
      <c r="S31" s="17"/>
      <c r="T31" s="17"/>
    </row>
    <row r="32" spans="1:20" x14ac:dyDescent="0.25">
      <c r="A32" s="16"/>
      <c r="B32" s="16"/>
      <c r="C32" s="17"/>
      <c r="D32" s="17"/>
      <c r="E32" s="17"/>
      <c r="F32" s="17"/>
      <c r="G32" s="16"/>
      <c r="H32" s="16"/>
      <c r="I32" s="16"/>
      <c r="J32" s="17"/>
      <c r="K32" s="17"/>
      <c r="L32" s="17"/>
      <c r="M32" s="17"/>
      <c r="N32" s="16"/>
      <c r="O32" s="16"/>
      <c r="P32" s="16"/>
      <c r="Q32" s="17"/>
      <c r="R32" s="17"/>
      <c r="S32" s="17"/>
      <c r="T32" s="17"/>
    </row>
    <row r="33" spans="1:20" x14ac:dyDescent="0.25">
      <c r="Q33" s="16"/>
    </row>
    <row r="34" spans="1:20" ht="15.75" x14ac:dyDescent="0.25">
      <c r="A34" s="2" t="s">
        <v>74</v>
      </c>
      <c r="H34" s="2" t="s">
        <v>74</v>
      </c>
      <c r="O34" s="2" t="s">
        <v>74</v>
      </c>
      <c r="Q34" s="16"/>
    </row>
    <row r="35" spans="1:20" ht="15.75" x14ac:dyDescent="0.25">
      <c r="A35" s="16" t="s">
        <v>59</v>
      </c>
      <c r="B35" s="21" t="s">
        <v>62</v>
      </c>
      <c r="C35" s="16" t="s">
        <v>82</v>
      </c>
      <c r="D35" s="16" t="s">
        <v>64</v>
      </c>
      <c r="E35" s="16" t="s">
        <v>63</v>
      </c>
      <c r="F35" s="16" t="s">
        <v>18</v>
      </c>
      <c r="G35" s="16"/>
      <c r="H35" s="16" t="s">
        <v>12</v>
      </c>
      <c r="I35" s="21" t="s">
        <v>62</v>
      </c>
      <c r="J35" s="16" t="s">
        <v>82</v>
      </c>
      <c r="K35" s="16" t="s">
        <v>64</v>
      </c>
      <c r="L35" s="16" t="s">
        <v>63</v>
      </c>
      <c r="M35" s="16" t="s">
        <v>18</v>
      </c>
      <c r="N35" s="16"/>
      <c r="O35" s="16" t="s">
        <v>13</v>
      </c>
      <c r="P35" s="21" t="s">
        <v>62</v>
      </c>
      <c r="Q35" s="16" t="s">
        <v>82</v>
      </c>
      <c r="R35" s="16" t="s">
        <v>64</v>
      </c>
      <c r="S35" s="16" t="s">
        <v>63</v>
      </c>
      <c r="T35" s="16" t="s">
        <v>18</v>
      </c>
    </row>
    <row r="36" spans="1:20" x14ac:dyDescent="0.25">
      <c r="A36" s="16" t="s">
        <v>0</v>
      </c>
      <c r="B36" s="16" t="s">
        <v>1</v>
      </c>
      <c r="C36" s="17">
        <v>9576</v>
      </c>
      <c r="D36" s="17">
        <v>9083</v>
      </c>
      <c r="E36" s="17">
        <v>9149</v>
      </c>
      <c r="F36" s="17">
        <f>AVERAGE(Table1436281282318[[#This Row],[Teste 1]:[Teste 3]])</f>
        <v>9269.3333333333339</v>
      </c>
      <c r="G36" s="16"/>
      <c r="H36" s="16" t="s">
        <v>0</v>
      </c>
      <c r="I36" s="16" t="s">
        <v>1</v>
      </c>
      <c r="J36" s="17">
        <v>15321</v>
      </c>
      <c r="K36" s="17">
        <v>14532</v>
      </c>
      <c r="L36" s="17">
        <v>14638</v>
      </c>
      <c r="M36" s="17">
        <f>AVERAGE(Table1436281282294330[[#This Row],[Teste 1]:[Teste 3]])</f>
        <v>14830.333333333334</v>
      </c>
      <c r="N36" s="16"/>
      <c r="O36" s="16" t="s">
        <v>0</v>
      </c>
      <c r="P36" s="16" t="s">
        <v>1</v>
      </c>
      <c r="Q36" s="17">
        <v>7071</v>
      </c>
      <c r="R36" s="17">
        <v>7259</v>
      </c>
      <c r="S36" s="17">
        <v>7126</v>
      </c>
      <c r="T36" s="17">
        <f>AVERAGE(Table1436281282294306342[[#This Row],[Teste 1]:[Teste 3]])</f>
        <v>7152</v>
      </c>
    </row>
    <row r="37" spans="1:20" x14ac:dyDescent="0.25">
      <c r="A37" s="16" t="s">
        <v>0</v>
      </c>
      <c r="B37" s="16" t="s">
        <v>2</v>
      </c>
      <c r="C37" s="17">
        <v>11383.2902670111</v>
      </c>
      <c r="D37" s="17">
        <v>11009.578333149801</v>
      </c>
      <c r="E37" s="17">
        <v>10930.1563012351</v>
      </c>
      <c r="F37" s="17">
        <f>AVERAGE(Table1436281282318[[#This Row],[Teste 1]:[Teste 3]])</f>
        <v>11107.674967131999</v>
      </c>
      <c r="G37" s="16"/>
      <c r="H37" s="16" t="s">
        <v>0</v>
      </c>
      <c r="I37" s="16" t="s">
        <v>2</v>
      </c>
      <c r="J37" s="17">
        <v>7114.56</v>
      </c>
      <c r="K37" s="17">
        <v>6880.99</v>
      </c>
      <c r="L37" s="17">
        <v>6831.35</v>
      </c>
      <c r="M37" s="17">
        <f>AVERAGE(Table1436281282294330[[#This Row],[Teste 1]:[Teste 3]])</f>
        <v>6942.3</v>
      </c>
      <c r="N37" s="16"/>
      <c r="O37" s="16" t="s">
        <v>0</v>
      </c>
      <c r="P37" s="16" t="s">
        <v>2</v>
      </c>
      <c r="Q37" s="17">
        <v>14142.271248762499</v>
      </c>
      <c r="R37" s="17">
        <v>13776.002204160301</v>
      </c>
      <c r="S37" s="17">
        <v>14033.118158854801</v>
      </c>
      <c r="T37" s="17">
        <f>AVERAGE(Table1436281282294306342[[#This Row],[Teste 1]:[Teste 3]])</f>
        <v>13983.797203925868</v>
      </c>
    </row>
    <row r="38" spans="1:20" x14ac:dyDescent="0.25">
      <c r="A38" s="16" t="s">
        <v>16</v>
      </c>
      <c r="B38" s="16" t="s">
        <v>4</v>
      </c>
      <c r="C38" s="17">
        <v>95053</v>
      </c>
      <c r="D38" s="17">
        <v>94939</v>
      </c>
      <c r="E38" s="17">
        <v>95094</v>
      </c>
      <c r="F38" s="17">
        <f>AVERAGE(Table1436281282318[[#This Row],[Teste 1]:[Teste 3]])</f>
        <v>95028.666666666672</v>
      </c>
      <c r="G38" s="16"/>
      <c r="H38" s="16" t="s">
        <v>16</v>
      </c>
      <c r="I38" s="16" t="s">
        <v>4</v>
      </c>
      <c r="J38" s="17">
        <v>94964</v>
      </c>
      <c r="K38" s="17">
        <v>94978</v>
      </c>
      <c r="L38" s="17">
        <v>94941</v>
      </c>
      <c r="M38" s="17">
        <f>AVERAGE(Table1436281282294330[[#This Row],[Teste 1]:[Teste 3]])</f>
        <v>94961</v>
      </c>
      <c r="N38" s="16"/>
      <c r="O38" s="16" t="s">
        <v>16</v>
      </c>
      <c r="P38" s="16" t="s">
        <v>4</v>
      </c>
      <c r="Q38" s="17">
        <v>94988</v>
      </c>
      <c r="R38" s="17">
        <v>94870</v>
      </c>
      <c r="S38" s="17">
        <v>95019</v>
      </c>
      <c r="T38" s="17">
        <f>AVERAGE(Table1436281282294306342[[#This Row],[Teste 1]:[Teste 3]])</f>
        <v>94959</v>
      </c>
    </row>
    <row r="39" spans="1:20" x14ac:dyDescent="0.25">
      <c r="A39" s="16" t="s">
        <v>16</v>
      </c>
      <c r="B39" s="16" t="s">
        <v>5</v>
      </c>
      <c r="C39" s="17">
        <v>475.29588755746698</v>
      </c>
      <c r="D39" s="17">
        <v>232.813111576907</v>
      </c>
      <c r="E39" s="17">
        <v>236.43064756977299</v>
      </c>
      <c r="F39" s="17">
        <f>AVERAGE(Table1436281282318[[#This Row],[Teste 1]:[Teste 3]])</f>
        <v>314.84654890138233</v>
      </c>
      <c r="G39" s="16"/>
      <c r="H39" s="16" t="s">
        <v>16</v>
      </c>
      <c r="I39" s="16" t="s">
        <v>5</v>
      </c>
      <c r="J39" s="17">
        <v>760.47</v>
      </c>
      <c r="K39" s="17">
        <v>372.5</v>
      </c>
      <c r="L39" s="17">
        <v>378.29</v>
      </c>
      <c r="M39" s="17">
        <f>AVERAGE(Table1436281282294330[[#This Row],[Teste 1]:[Teste 3]])</f>
        <v>503.75333333333333</v>
      </c>
      <c r="N39" s="16"/>
      <c r="O39" s="16" t="s">
        <v>16</v>
      </c>
      <c r="P39" s="16" t="s">
        <v>5</v>
      </c>
      <c r="Q39" s="17">
        <v>173.88435381311299</v>
      </c>
      <c r="R39" s="17">
        <v>179.26015600295099</v>
      </c>
      <c r="S39" s="17">
        <v>175.541270693229</v>
      </c>
      <c r="T39" s="17">
        <f>AVERAGE(Table1436281282294306342[[#This Row],[Teste 1]:[Teste 3]])</f>
        <v>176.22859350309764</v>
      </c>
    </row>
    <row r="40" spans="1:20" x14ac:dyDescent="0.25">
      <c r="A40" s="16" t="s">
        <v>16</v>
      </c>
      <c r="B40" s="16" t="s">
        <v>6</v>
      </c>
      <c r="C40" s="17">
        <v>153</v>
      </c>
      <c r="D40" s="17">
        <v>74</v>
      </c>
      <c r="E40" s="17">
        <v>74</v>
      </c>
      <c r="F40" s="17">
        <f>AVERAGE(Table1436281282318[[#This Row],[Teste 1]:[Teste 3]])</f>
        <v>100.33333333333333</v>
      </c>
      <c r="G40" s="16"/>
      <c r="H40" s="16" t="s">
        <v>16</v>
      </c>
      <c r="I40" s="16" t="s">
        <v>6</v>
      </c>
      <c r="J40" s="17">
        <v>245</v>
      </c>
      <c r="K40" s="17">
        <v>118</v>
      </c>
      <c r="L40" s="17">
        <v>118</v>
      </c>
      <c r="M40" s="17">
        <f>AVERAGE(Table1436281282294330[[#This Row],[Teste 1]:[Teste 3]])</f>
        <v>160.33333333333334</v>
      </c>
      <c r="N40" s="16"/>
      <c r="O40" s="16" t="s">
        <v>16</v>
      </c>
      <c r="P40" s="16" t="s">
        <v>6</v>
      </c>
      <c r="Q40" s="17">
        <v>97</v>
      </c>
      <c r="R40" s="17">
        <v>103</v>
      </c>
      <c r="S40" s="17">
        <v>100</v>
      </c>
      <c r="T40" s="17">
        <f>AVERAGE(Table1436281282294306342[[#This Row],[Teste 1]:[Teste 3]])</f>
        <v>100</v>
      </c>
    </row>
    <row r="41" spans="1:20" x14ac:dyDescent="0.25">
      <c r="A41" s="16" t="s">
        <v>16</v>
      </c>
      <c r="B41" s="16" t="s">
        <v>7</v>
      </c>
      <c r="C41" s="17">
        <v>180991</v>
      </c>
      <c r="D41" s="17">
        <v>19983</v>
      </c>
      <c r="E41" s="17">
        <v>65215</v>
      </c>
      <c r="F41" s="17">
        <f>AVERAGE(Table1436281282318[[#This Row],[Teste 1]:[Teste 3]])</f>
        <v>88729.666666666672</v>
      </c>
      <c r="G41" s="16"/>
      <c r="H41" s="16" t="s">
        <v>16</v>
      </c>
      <c r="I41" s="16" t="s">
        <v>7</v>
      </c>
      <c r="J41" s="17">
        <v>289586</v>
      </c>
      <c r="K41" s="17">
        <v>31972.799999999999</v>
      </c>
      <c r="L41" s="17">
        <v>104344</v>
      </c>
      <c r="M41" s="17">
        <f>AVERAGE(Table1436281282294330[[#This Row],[Teste 1]:[Teste 3]])</f>
        <v>141967.6</v>
      </c>
      <c r="N41" s="16"/>
      <c r="O41" s="16" t="s">
        <v>16</v>
      </c>
      <c r="P41" s="16" t="s">
        <v>7</v>
      </c>
      <c r="Q41" s="17">
        <v>32239</v>
      </c>
      <c r="R41" s="17">
        <v>31999</v>
      </c>
      <c r="S41" s="17">
        <v>33215</v>
      </c>
      <c r="T41" s="17">
        <f>AVERAGE(Table1436281282294306342[[#This Row],[Teste 1]:[Teste 3]])</f>
        <v>32484.333333333332</v>
      </c>
    </row>
    <row r="42" spans="1:20" x14ac:dyDescent="0.25">
      <c r="A42" s="16" t="s">
        <v>16</v>
      </c>
      <c r="B42" s="16" t="s">
        <v>8</v>
      </c>
      <c r="C42" s="17">
        <v>883</v>
      </c>
      <c r="D42" s="17">
        <v>465</v>
      </c>
      <c r="E42" s="17">
        <v>479</v>
      </c>
      <c r="F42" s="17">
        <f>AVERAGE(Table1436281282318[[#This Row],[Teste 1]:[Teste 3]])</f>
        <v>609</v>
      </c>
      <c r="G42" s="16"/>
      <c r="H42" s="16" t="s">
        <v>16</v>
      </c>
      <c r="I42" s="16" t="s">
        <v>8</v>
      </c>
      <c r="J42" s="17">
        <v>1413</v>
      </c>
      <c r="K42" s="17">
        <v>744</v>
      </c>
      <c r="L42" s="17">
        <v>766</v>
      </c>
      <c r="M42" s="17">
        <f>AVERAGE(Table1436281282294330[[#This Row],[Teste 1]:[Teste 3]])</f>
        <v>974.33333333333337</v>
      </c>
      <c r="N42" s="16"/>
      <c r="O42" s="16" t="s">
        <v>16</v>
      </c>
      <c r="P42" s="16" t="s">
        <v>8</v>
      </c>
      <c r="Q42" s="17">
        <v>256</v>
      </c>
      <c r="R42" s="17">
        <v>269</v>
      </c>
      <c r="S42" s="17">
        <v>279</v>
      </c>
      <c r="T42" s="17">
        <f>AVERAGE(Table1436281282294306342[[#This Row],[Teste 1]:[Teste 3]])</f>
        <v>268</v>
      </c>
    </row>
    <row r="43" spans="1:20" x14ac:dyDescent="0.25">
      <c r="A43" s="16" t="s">
        <v>16</v>
      </c>
      <c r="B43" s="16" t="s">
        <v>9</v>
      </c>
      <c r="C43" s="17">
        <v>1538</v>
      </c>
      <c r="D43" s="17">
        <v>806</v>
      </c>
      <c r="E43" s="17">
        <v>846</v>
      </c>
      <c r="F43" s="17">
        <f>AVERAGE(Table1436281282318[[#This Row],[Teste 1]:[Teste 3]])</f>
        <v>1063.3333333333333</v>
      </c>
      <c r="G43" s="16"/>
      <c r="H43" s="16" t="s">
        <v>16</v>
      </c>
      <c r="I43" s="16" t="s">
        <v>9</v>
      </c>
      <c r="J43" s="17">
        <v>2461</v>
      </c>
      <c r="K43" s="17">
        <v>1290</v>
      </c>
      <c r="L43" s="17">
        <v>1354</v>
      </c>
      <c r="M43" s="17">
        <f>AVERAGE(Table1436281282294330[[#This Row],[Teste 1]:[Teste 3]])</f>
        <v>1701.6666666666667</v>
      </c>
      <c r="N43" s="16"/>
      <c r="O43" s="16" t="s">
        <v>16</v>
      </c>
      <c r="P43" s="16" t="s">
        <v>9</v>
      </c>
      <c r="Q43" s="17">
        <v>408</v>
      </c>
      <c r="R43" s="17">
        <v>430</v>
      </c>
      <c r="S43" s="17">
        <v>468</v>
      </c>
      <c r="T43" s="17">
        <f>AVERAGE(Table1436281282294306342[[#This Row],[Teste 1]:[Teste 3]])</f>
        <v>435.33333333333331</v>
      </c>
    </row>
    <row r="44" spans="1:20" x14ac:dyDescent="0.25">
      <c r="A44" s="16" t="s">
        <v>16</v>
      </c>
      <c r="B44" s="16" t="s">
        <v>11</v>
      </c>
      <c r="C44" s="17">
        <v>95053</v>
      </c>
      <c r="D44" s="17">
        <v>94939</v>
      </c>
      <c r="E44" s="17">
        <v>95094</v>
      </c>
      <c r="F44" s="17">
        <f>AVERAGE(Table1436281282318[[#This Row],[Teste 1]:[Teste 3]])</f>
        <v>95028.666666666672</v>
      </c>
      <c r="G44" s="16"/>
      <c r="H44" s="16" t="s">
        <v>16</v>
      </c>
      <c r="I44" s="16" t="s">
        <v>11</v>
      </c>
      <c r="J44" s="17">
        <v>94964</v>
      </c>
      <c r="K44" s="17">
        <v>94978</v>
      </c>
      <c r="L44" s="17">
        <v>94941</v>
      </c>
      <c r="M44" s="17">
        <f>AVERAGE(Table1436281282294330[[#This Row],[Teste 1]:[Teste 3]])</f>
        <v>94961</v>
      </c>
      <c r="N44" s="16"/>
      <c r="O44" s="16" t="s">
        <v>16</v>
      </c>
      <c r="P44" s="16" t="s">
        <v>11</v>
      </c>
      <c r="Q44" s="17">
        <v>94988</v>
      </c>
      <c r="R44" s="17">
        <v>94870</v>
      </c>
      <c r="S44" s="17">
        <v>95019</v>
      </c>
      <c r="T44" s="17">
        <f>AVERAGE(Table1436281282294306342[[#This Row],[Teste 1]:[Teste 3]])</f>
        <v>94959</v>
      </c>
    </row>
    <row r="45" spans="1:20" x14ac:dyDescent="0.25">
      <c r="A45" s="16" t="s">
        <v>3</v>
      </c>
      <c r="B45" s="16" t="s">
        <v>4</v>
      </c>
      <c r="C45" s="17">
        <v>3</v>
      </c>
      <c r="D45" s="17">
        <v>3</v>
      </c>
      <c r="E45" s="17">
        <v>3</v>
      </c>
      <c r="F45" s="17">
        <f>AVERAGE(Table1436281282318[[#This Row],[Teste 1]:[Teste 3]])</f>
        <v>3</v>
      </c>
      <c r="G45" s="16"/>
      <c r="H45" s="16" t="s">
        <v>3</v>
      </c>
      <c r="I45" s="16" t="s">
        <v>4</v>
      </c>
      <c r="J45" s="17">
        <v>3</v>
      </c>
      <c r="K45" s="17">
        <v>3</v>
      </c>
      <c r="L45" s="17">
        <v>3</v>
      </c>
      <c r="M45" s="17">
        <f>AVERAGE(Table1436281282294330[[#This Row],[Teste 1]:[Teste 3]])</f>
        <v>3</v>
      </c>
      <c r="N45" s="16"/>
      <c r="O45" s="16" t="s">
        <v>3</v>
      </c>
      <c r="P45" s="16" t="s">
        <v>4</v>
      </c>
      <c r="Q45" s="17">
        <v>3</v>
      </c>
      <c r="R45" s="17">
        <v>3</v>
      </c>
      <c r="S45" s="17">
        <v>3</v>
      </c>
      <c r="T45" s="17">
        <f>AVERAGE(Table1436281282294306342[[#This Row],[Teste 1]:[Teste 3]])</f>
        <v>3</v>
      </c>
    </row>
    <row r="46" spans="1:20" x14ac:dyDescent="0.25">
      <c r="A46" s="16" t="s">
        <v>3</v>
      </c>
      <c r="B46" s="16" t="s">
        <v>5</v>
      </c>
      <c r="C46" s="17">
        <v>10</v>
      </c>
      <c r="D46" s="17">
        <v>2.6666666666666599</v>
      </c>
      <c r="E46" s="17">
        <v>10</v>
      </c>
      <c r="F46" s="17">
        <f>AVERAGE(Table1436281282318[[#This Row],[Teste 1]:[Teste 3]])</f>
        <v>7.5555555555555536</v>
      </c>
      <c r="G46" s="16"/>
      <c r="H46" s="16" t="s">
        <v>3</v>
      </c>
      <c r="I46" s="16" t="s">
        <v>5</v>
      </c>
      <c r="J46" s="17">
        <v>0.33329999999999999</v>
      </c>
      <c r="K46" s="17">
        <v>0.33</v>
      </c>
      <c r="L46" s="17">
        <v>0.33329999999999999</v>
      </c>
      <c r="M46" s="17">
        <f>AVERAGE(Table1436281282294330[[#This Row],[Teste 1]:[Teste 3]])</f>
        <v>0.3322</v>
      </c>
      <c r="N46" s="16"/>
      <c r="O46" s="16" t="s">
        <v>3</v>
      </c>
      <c r="P46" s="16" t="s">
        <v>5</v>
      </c>
      <c r="Q46" s="17">
        <v>557</v>
      </c>
      <c r="R46" s="17">
        <v>391.666666666666</v>
      </c>
      <c r="S46" s="17">
        <v>421</v>
      </c>
      <c r="T46" s="17">
        <f>AVERAGE(Table1436281282294306342[[#This Row],[Teste 1]:[Teste 3]])</f>
        <v>456.55555555555537</v>
      </c>
    </row>
    <row r="47" spans="1:20" x14ac:dyDescent="0.25">
      <c r="A47" s="16" t="s">
        <v>3</v>
      </c>
      <c r="B47" s="16" t="s">
        <v>6</v>
      </c>
      <c r="C47" s="17">
        <v>1</v>
      </c>
      <c r="D47" s="17">
        <v>0</v>
      </c>
      <c r="E47" s="17">
        <v>2</v>
      </c>
      <c r="F47" s="17">
        <f>AVERAGE(Table1436281282318[[#This Row],[Teste 1]:[Teste 3]])</f>
        <v>1</v>
      </c>
      <c r="G47" s="16"/>
      <c r="H47" s="16" t="s">
        <v>3</v>
      </c>
      <c r="I47" s="16" t="s">
        <v>6</v>
      </c>
      <c r="J47" s="17">
        <v>2</v>
      </c>
      <c r="K47" s="17">
        <v>2</v>
      </c>
      <c r="L47" s="17">
        <v>2</v>
      </c>
      <c r="M47" s="17">
        <f>AVERAGE(Table1436281282294330[[#This Row],[Teste 1]:[Teste 3]])</f>
        <v>2</v>
      </c>
      <c r="N47" s="16"/>
      <c r="O47" s="16" t="s">
        <v>3</v>
      </c>
      <c r="P47" s="16" t="s">
        <v>6</v>
      </c>
      <c r="Q47" s="17">
        <v>1</v>
      </c>
      <c r="R47" s="17">
        <v>0</v>
      </c>
      <c r="S47" s="17">
        <v>1</v>
      </c>
      <c r="T47" s="17">
        <f>AVERAGE(Table1436281282294306342[[#This Row],[Teste 1]:[Teste 3]])</f>
        <v>0.66666666666666663</v>
      </c>
    </row>
    <row r="48" spans="1:20" x14ac:dyDescent="0.25">
      <c r="A48" s="16" t="s">
        <v>3</v>
      </c>
      <c r="B48" s="16" t="s">
        <v>7</v>
      </c>
      <c r="C48" s="17">
        <v>28</v>
      </c>
      <c r="D48" s="17">
        <v>7</v>
      </c>
      <c r="E48" s="17">
        <v>0</v>
      </c>
      <c r="F48" s="17">
        <f>AVERAGE(Table1436281282318[[#This Row],[Teste 1]:[Teste 3]])</f>
        <v>11.666666666666666</v>
      </c>
      <c r="G48" s="16"/>
      <c r="H48" s="16" t="s">
        <v>3</v>
      </c>
      <c r="I48" s="16" t="s">
        <v>7</v>
      </c>
      <c r="J48" s="17">
        <v>6</v>
      </c>
      <c r="K48" s="17">
        <v>24</v>
      </c>
      <c r="L48" s="17">
        <v>6</v>
      </c>
      <c r="M48" s="17">
        <f>AVERAGE(Table1436281282294330[[#This Row],[Teste 1]:[Teste 3]])</f>
        <v>12</v>
      </c>
      <c r="N48" s="16"/>
      <c r="O48" s="16" t="s">
        <v>3</v>
      </c>
      <c r="P48" s="16" t="s">
        <v>7</v>
      </c>
      <c r="Q48" s="17">
        <v>1661</v>
      </c>
      <c r="R48" s="17">
        <v>1164</v>
      </c>
      <c r="S48" s="17">
        <v>1252</v>
      </c>
      <c r="T48" s="17">
        <f>AVERAGE(Table1436281282294306342[[#This Row],[Teste 1]:[Teste 3]])</f>
        <v>1359</v>
      </c>
    </row>
    <row r="49" spans="1:20" x14ac:dyDescent="0.25">
      <c r="A49" s="16" t="s">
        <v>3</v>
      </c>
      <c r="B49" s="16" t="s">
        <v>8</v>
      </c>
      <c r="C49" s="17">
        <v>28</v>
      </c>
      <c r="D49" s="17">
        <v>7</v>
      </c>
      <c r="E49" s="17">
        <v>6</v>
      </c>
      <c r="F49" s="17">
        <f>AVERAGE(Table1436281282318[[#This Row],[Teste 1]:[Teste 3]])</f>
        <v>13.666666666666666</v>
      </c>
      <c r="G49" s="16"/>
      <c r="H49" s="16" t="s">
        <v>3</v>
      </c>
      <c r="I49" s="16" t="s">
        <v>8</v>
      </c>
      <c r="J49" s="17">
        <v>6</v>
      </c>
      <c r="K49" s="17">
        <v>24</v>
      </c>
      <c r="L49" s="17">
        <v>6</v>
      </c>
      <c r="M49" s="17">
        <f>AVERAGE(Table1436281282294330[[#This Row],[Teste 1]:[Teste 3]])</f>
        <v>12</v>
      </c>
      <c r="N49" s="16"/>
      <c r="O49" s="16" t="s">
        <v>3</v>
      </c>
      <c r="P49" s="16" t="s">
        <v>8</v>
      </c>
      <c r="Q49" s="17">
        <v>1661</v>
      </c>
      <c r="R49" s="17">
        <v>1164</v>
      </c>
      <c r="S49" s="17">
        <v>1252</v>
      </c>
      <c r="T49" s="17">
        <f>AVERAGE(Table1436281282294306342[[#This Row],[Teste 1]:[Teste 3]])</f>
        <v>1359</v>
      </c>
    </row>
    <row r="50" spans="1:20" x14ac:dyDescent="0.25">
      <c r="A50" s="16" t="s">
        <v>3</v>
      </c>
      <c r="B50" s="16" t="s">
        <v>9</v>
      </c>
      <c r="C50" s="17">
        <v>28</v>
      </c>
      <c r="D50" s="17">
        <v>7</v>
      </c>
      <c r="E50" s="17">
        <v>6</v>
      </c>
      <c r="F50" s="17">
        <f>AVERAGE(Table1436281282318[[#This Row],[Teste 1]:[Teste 3]])</f>
        <v>13.666666666666666</v>
      </c>
      <c r="G50" s="16"/>
      <c r="H50" s="16" t="s">
        <v>3</v>
      </c>
      <c r="I50" s="16" t="s">
        <v>9</v>
      </c>
      <c r="J50" s="17">
        <v>6</v>
      </c>
      <c r="K50" s="17">
        <v>24</v>
      </c>
      <c r="L50" s="17">
        <v>6</v>
      </c>
      <c r="M50" s="17">
        <f>AVERAGE(Table1436281282294330[[#This Row],[Teste 1]:[Teste 3]])</f>
        <v>12</v>
      </c>
      <c r="N50" s="16"/>
      <c r="O50" s="16" t="s">
        <v>3</v>
      </c>
      <c r="P50" s="16" t="s">
        <v>9</v>
      </c>
      <c r="Q50" s="17">
        <v>1661</v>
      </c>
      <c r="R50" s="17">
        <v>1164</v>
      </c>
      <c r="S50" s="17">
        <v>1252</v>
      </c>
      <c r="T50" s="17">
        <f>AVERAGE(Table1436281282294306342[[#This Row],[Teste 1]:[Teste 3]])</f>
        <v>1359</v>
      </c>
    </row>
    <row r="51" spans="1:20" x14ac:dyDescent="0.25">
      <c r="A51" s="16" t="s">
        <v>17</v>
      </c>
      <c r="B51" s="16" t="s">
        <v>4</v>
      </c>
      <c r="C51" s="17">
        <v>4947</v>
      </c>
      <c r="D51" s="17">
        <v>5061</v>
      </c>
      <c r="E51" s="17">
        <v>4906</v>
      </c>
      <c r="F51" s="17">
        <f>AVERAGE(Table1436281282318[[#This Row],[Teste 1]:[Teste 3]])</f>
        <v>4971.333333333333</v>
      </c>
      <c r="G51" s="16"/>
      <c r="H51" s="16" t="s">
        <v>17</v>
      </c>
      <c r="I51" s="16" t="s">
        <v>4</v>
      </c>
      <c r="J51" s="17">
        <v>5036</v>
      </c>
      <c r="K51" s="17">
        <v>5022</v>
      </c>
      <c r="L51" s="17">
        <v>5059</v>
      </c>
      <c r="M51" s="17">
        <f>AVERAGE(Table1436281282294330[[#This Row],[Teste 1]:[Teste 3]])</f>
        <v>5039</v>
      </c>
      <c r="N51" s="16"/>
      <c r="O51" s="16" t="s">
        <v>17</v>
      </c>
      <c r="P51" s="16" t="s">
        <v>4</v>
      </c>
      <c r="Q51" s="17">
        <v>5012</v>
      </c>
      <c r="R51" s="17">
        <v>5130</v>
      </c>
      <c r="S51" s="17">
        <v>4981</v>
      </c>
      <c r="T51" s="17">
        <f>AVERAGE(Table1436281282294306342[[#This Row],[Teste 1]:[Teste 3]])</f>
        <v>5041</v>
      </c>
    </row>
    <row r="52" spans="1:20" x14ac:dyDescent="0.25">
      <c r="A52" s="16" t="s">
        <v>17</v>
      </c>
      <c r="B52" s="16" t="s">
        <v>5</v>
      </c>
      <c r="C52" s="17">
        <v>757.80574085304204</v>
      </c>
      <c r="D52" s="17">
        <v>422.44793519067298</v>
      </c>
      <c r="E52" s="17">
        <v>432.61231145535999</v>
      </c>
      <c r="F52" s="17">
        <f>AVERAGE(Table1436281282318[[#This Row],[Teste 1]:[Teste 3]])</f>
        <v>537.62199583302504</v>
      </c>
      <c r="G52" s="16"/>
      <c r="H52" s="16" t="s">
        <v>17</v>
      </c>
      <c r="I52" s="16" t="s">
        <v>5</v>
      </c>
      <c r="J52" s="17">
        <v>1212.49</v>
      </c>
      <c r="K52" s="17">
        <v>675.92</v>
      </c>
      <c r="L52" s="17">
        <v>692.18</v>
      </c>
      <c r="M52" s="17">
        <f>AVERAGE(Table1436281282294330[[#This Row],[Teste 1]:[Teste 3]])</f>
        <v>860.1966666666666</v>
      </c>
      <c r="N52" s="16"/>
      <c r="O52" s="16" t="s">
        <v>17</v>
      </c>
      <c r="P52" s="16" t="s">
        <v>5</v>
      </c>
      <c r="Q52" s="17">
        <v>414.53890662410203</v>
      </c>
      <c r="R52" s="17">
        <v>423.42846003898597</v>
      </c>
      <c r="S52" s="17">
        <v>422.39490062236501</v>
      </c>
      <c r="T52" s="17">
        <f>AVERAGE(Table1436281282294306342[[#This Row],[Teste 1]:[Teste 3]])</f>
        <v>420.12075576181769</v>
      </c>
    </row>
    <row r="53" spans="1:20" x14ac:dyDescent="0.25">
      <c r="A53" s="16" t="s">
        <v>17</v>
      </c>
      <c r="B53" s="16" t="s">
        <v>6</v>
      </c>
      <c r="C53" s="17">
        <v>285</v>
      </c>
      <c r="D53" s="17">
        <v>155</v>
      </c>
      <c r="E53" s="17">
        <v>159</v>
      </c>
      <c r="F53" s="17">
        <f>AVERAGE(Table1436281282318[[#This Row],[Teste 1]:[Teste 3]])</f>
        <v>199.66666666666666</v>
      </c>
      <c r="G53" s="16"/>
      <c r="H53" s="16" t="s">
        <v>17</v>
      </c>
      <c r="I53" s="16" t="s">
        <v>6</v>
      </c>
      <c r="J53" s="17">
        <v>456</v>
      </c>
      <c r="K53" s="17">
        <v>248</v>
      </c>
      <c r="L53" s="17">
        <v>254</v>
      </c>
      <c r="M53" s="17">
        <f>AVERAGE(Table1436281282294330[[#This Row],[Teste 1]:[Teste 3]])</f>
        <v>319.33333333333331</v>
      </c>
      <c r="N53" s="16"/>
      <c r="O53" s="16" t="s">
        <v>17</v>
      </c>
      <c r="P53" s="16" t="s">
        <v>6</v>
      </c>
      <c r="Q53" s="17">
        <v>207</v>
      </c>
      <c r="R53" s="17">
        <v>218</v>
      </c>
      <c r="S53" s="17">
        <v>217</v>
      </c>
      <c r="T53" s="17">
        <f>AVERAGE(Table1436281282294306342[[#This Row],[Teste 1]:[Teste 3]])</f>
        <v>214</v>
      </c>
    </row>
    <row r="54" spans="1:20" x14ac:dyDescent="0.25">
      <c r="A54" s="16" t="s">
        <v>17</v>
      </c>
      <c r="B54" s="16" t="s">
        <v>7</v>
      </c>
      <c r="C54" s="17">
        <v>65471</v>
      </c>
      <c r="D54" s="17">
        <v>10391</v>
      </c>
      <c r="E54" s="17">
        <v>8975</v>
      </c>
      <c r="F54" s="17">
        <f>AVERAGE(Table1436281282318[[#This Row],[Teste 1]:[Teste 3]])</f>
        <v>28279</v>
      </c>
      <c r="G54" s="16"/>
      <c r="H54" s="16" t="s">
        <v>17</v>
      </c>
      <c r="I54" s="16" t="s">
        <v>7</v>
      </c>
      <c r="J54" s="17">
        <v>104754</v>
      </c>
      <c r="K54" s="17">
        <v>16626</v>
      </c>
      <c r="L54" s="17">
        <v>14360</v>
      </c>
      <c r="M54" s="17">
        <f>AVERAGE(Table1436281282294330[[#This Row],[Teste 1]:[Teste 3]])</f>
        <v>45246.666666666664</v>
      </c>
      <c r="N54" s="16"/>
      <c r="O54" s="16" t="s">
        <v>17</v>
      </c>
      <c r="P54" s="16" t="s">
        <v>7</v>
      </c>
      <c r="Q54" s="17">
        <v>11519</v>
      </c>
      <c r="R54" s="17">
        <v>14135</v>
      </c>
      <c r="S54" s="17">
        <v>11431</v>
      </c>
      <c r="T54" s="17">
        <f>AVERAGE(Table1436281282294306342[[#This Row],[Teste 1]:[Teste 3]])</f>
        <v>12361.666666666666</v>
      </c>
    </row>
    <row r="55" spans="1:20" x14ac:dyDescent="0.25">
      <c r="A55" s="16" t="s">
        <v>17</v>
      </c>
      <c r="B55" s="16" t="s">
        <v>8</v>
      </c>
      <c r="C55" s="17">
        <v>1376</v>
      </c>
      <c r="D55" s="17">
        <v>810</v>
      </c>
      <c r="E55" s="17">
        <v>867</v>
      </c>
      <c r="F55" s="17">
        <f>AVERAGE(Table1436281282318[[#This Row],[Teste 1]:[Teste 3]])</f>
        <v>1017.6666666666666</v>
      </c>
      <c r="G55" s="16"/>
      <c r="H55" s="16" t="s">
        <v>17</v>
      </c>
      <c r="I55" s="16" t="s">
        <v>8</v>
      </c>
      <c r="J55" s="17">
        <v>2202</v>
      </c>
      <c r="K55" s="17">
        <v>1296</v>
      </c>
      <c r="L55" s="17">
        <v>1387</v>
      </c>
      <c r="M55" s="17">
        <f>AVERAGE(Table1436281282294330[[#This Row],[Teste 1]:[Teste 3]])</f>
        <v>1628.3333333333333</v>
      </c>
      <c r="N55" s="16"/>
      <c r="O55" s="16" t="s">
        <v>17</v>
      </c>
      <c r="P55" s="16" t="s">
        <v>8</v>
      </c>
      <c r="Q55" s="17">
        <v>656</v>
      </c>
      <c r="R55" s="17">
        <v>665</v>
      </c>
      <c r="S55" s="17">
        <v>683</v>
      </c>
      <c r="T55" s="17">
        <f>AVERAGE(Table1436281282294306342[[#This Row],[Teste 1]:[Teste 3]])</f>
        <v>668</v>
      </c>
    </row>
    <row r="56" spans="1:20" x14ac:dyDescent="0.25">
      <c r="A56" s="16" t="s">
        <v>17</v>
      </c>
      <c r="B56" s="16" t="s">
        <v>9</v>
      </c>
      <c r="C56" s="17">
        <v>2555</v>
      </c>
      <c r="D56" s="17">
        <v>1338</v>
      </c>
      <c r="E56" s="17">
        <v>1362</v>
      </c>
      <c r="F56" s="17">
        <f>AVERAGE(Table1436281282318[[#This Row],[Teste 1]:[Teste 3]])</f>
        <v>1751.6666666666667</v>
      </c>
      <c r="G56" s="16"/>
      <c r="H56" s="16" t="s">
        <v>17</v>
      </c>
      <c r="I56" s="16" t="s">
        <v>9</v>
      </c>
      <c r="J56" s="17">
        <v>4088</v>
      </c>
      <c r="K56" s="17">
        <v>2141</v>
      </c>
      <c r="L56" s="17">
        <v>2179</v>
      </c>
      <c r="M56" s="17">
        <f>AVERAGE(Table1436281282294330[[#This Row],[Teste 1]:[Teste 3]])</f>
        <v>2802.6666666666665</v>
      </c>
      <c r="N56" s="16"/>
      <c r="O56" s="16" t="s">
        <v>17</v>
      </c>
      <c r="P56" s="16" t="s">
        <v>9</v>
      </c>
      <c r="Q56" s="17">
        <v>811</v>
      </c>
      <c r="R56" s="17">
        <v>824</v>
      </c>
      <c r="S56" s="17">
        <v>878</v>
      </c>
      <c r="T56" s="17">
        <f>AVERAGE(Table1436281282294306342[[#This Row],[Teste 1]:[Teste 3]])</f>
        <v>837.66666666666663</v>
      </c>
    </row>
    <row r="57" spans="1:20" x14ac:dyDescent="0.25">
      <c r="A57" s="16" t="s">
        <v>17</v>
      </c>
      <c r="B57" s="16" t="s">
        <v>11</v>
      </c>
      <c r="C57" s="17">
        <v>4947</v>
      </c>
      <c r="D57" s="17">
        <v>5061</v>
      </c>
      <c r="E57" s="17">
        <v>4906</v>
      </c>
      <c r="F57" s="17">
        <f>AVERAGE(Table1436281282318[[#This Row],[Teste 1]:[Teste 3]])</f>
        <v>4971.333333333333</v>
      </c>
      <c r="G57" s="16"/>
      <c r="H57" s="16" t="s">
        <v>17</v>
      </c>
      <c r="I57" s="16" t="s">
        <v>11</v>
      </c>
      <c r="J57" s="17">
        <v>5036</v>
      </c>
      <c r="K57" s="17">
        <v>5022</v>
      </c>
      <c r="L57" s="17">
        <v>5059</v>
      </c>
      <c r="M57" s="17">
        <f>AVERAGE(Table1436281282294330[[#This Row],[Teste 1]:[Teste 3]])</f>
        <v>5039</v>
      </c>
      <c r="N57" s="16"/>
      <c r="O57" s="16" t="s">
        <v>17</v>
      </c>
      <c r="P57" s="16" t="s">
        <v>11</v>
      </c>
      <c r="Q57" s="17">
        <v>5012</v>
      </c>
      <c r="R57" s="17">
        <v>5130</v>
      </c>
      <c r="S57" s="17">
        <v>4981</v>
      </c>
      <c r="T57" s="17">
        <f>AVERAGE(Table1436281282294306342[[#This Row],[Teste 1]:[Teste 3]])</f>
        <v>5041</v>
      </c>
    </row>
    <row r="58" spans="1:20" x14ac:dyDescent="0.25">
      <c r="A58" s="16"/>
      <c r="B58" s="16"/>
      <c r="C58" s="17"/>
      <c r="D58" s="17"/>
      <c r="E58" s="17"/>
      <c r="F58" s="17"/>
      <c r="G58" s="16"/>
      <c r="H58" s="16"/>
      <c r="I58" s="16"/>
      <c r="J58" s="17"/>
      <c r="K58" s="17"/>
      <c r="L58" s="17"/>
      <c r="M58" s="17"/>
      <c r="N58" s="16"/>
      <c r="O58" s="16"/>
      <c r="P58" s="16"/>
      <c r="Q58" s="17"/>
      <c r="R58" s="17"/>
      <c r="S58" s="17"/>
      <c r="T58" s="17"/>
    </row>
    <row r="59" spans="1:20" x14ac:dyDescent="0.25">
      <c r="A59" s="16"/>
      <c r="B59" s="16"/>
      <c r="C59" s="17"/>
      <c r="D59" s="17"/>
      <c r="E59" s="17"/>
      <c r="F59" s="17"/>
      <c r="G59" s="16"/>
      <c r="H59" s="16"/>
      <c r="I59" s="16"/>
      <c r="J59" s="17"/>
      <c r="K59" s="17"/>
      <c r="L59" s="17"/>
      <c r="M59" s="17"/>
      <c r="N59" s="16"/>
      <c r="O59" s="16"/>
      <c r="P59" s="16"/>
      <c r="Q59" s="17"/>
      <c r="R59" s="17"/>
      <c r="S59" s="17"/>
      <c r="T59" s="17"/>
    </row>
    <row r="60" spans="1:20" x14ac:dyDescent="0.25">
      <c r="A60" s="16"/>
      <c r="B60" s="16"/>
      <c r="C60" s="17"/>
      <c r="D60" s="17"/>
      <c r="E60" s="17"/>
      <c r="F60" s="17"/>
      <c r="G60" s="16"/>
      <c r="H60" s="16"/>
      <c r="I60" s="16"/>
      <c r="J60" s="17"/>
      <c r="K60" s="17"/>
      <c r="L60" s="17"/>
      <c r="M60" s="17"/>
      <c r="N60" s="16"/>
      <c r="O60" s="16"/>
      <c r="P60" s="16"/>
      <c r="Q60" s="17"/>
      <c r="R60" s="17"/>
      <c r="S60" s="17"/>
      <c r="T60" s="17"/>
    </row>
    <row r="61" spans="1:20" x14ac:dyDescent="0.25">
      <c r="Q61" s="16"/>
    </row>
    <row r="62" spans="1:20" ht="15.75" x14ac:dyDescent="0.25">
      <c r="A62" s="2" t="s">
        <v>73</v>
      </c>
      <c r="H62" s="2" t="s">
        <v>73</v>
      </c>
      <c r="O62" s="2" t="s">
        <v>73</v>
      </c>
      <c r="Q62" s="16"/>
    </row>
    <row r="63" spans="1:20" ht="15.75" x14ac:dyDescent="0.25">
      <c r="A63" s="16" t="s">
        <v>59</v>
      </c>
      <c r="B63" s="21" t="s">
        <v>62</v>
      </c>
      <c r="C63" s="16" t="s">
        <v>82</v>
      </c>
      <c r="D63" s="16" t="s">
        <v>64</v>
      </c>
      <c r="E63" s="16" t="s">
        <v>63</v>
      </c>
      <c r="F63" s="16" t="s">
        <v>18</v>
      </c>
      <c r="G63" s="16"/>
      <c r="H63" s="16" t="s">
        <v>12</v>
      </c>
      <c r="I63" s="21" t="s">
        <v>62</v>
      </c>
      <c r="J63" s="16" t="s">
        <v>82</v>
      </c>
      <c r="K63" s="16" t="s">
        <v>64</v>
      </c>
      <c r="L63" s="16" t="s">
        <v>63</v>
      </c>
      <c r="M63" s="16" t="s">
        <v>18</v>
      </c>
      <c r="N63" s="16"/>
      <c r="O63" s="16" t="s">
        <v>13</v>
      </c>
      <c r="P63" s="21" t="s">
        <v>62</v>
      </c>
      <c r="Q63" s="16" t="s">
        <v>82</v>
      </c>
      <c r="R63" s="16" t="s">
        <v>64</v>
      </c>
      <c r="S63" s="16" t="s">
        <v>63</v>
      </c>
      <c r="T63" s="16" t="s">
        <v>18</v>
      </c>
    </row>
    <row r="64" spans="1:20" x14ac:dyDescent="0.25">
      <c r="A64" s="16" t="s">
        <v>0</v>
      </c>
      <c r="B64" s="16" t="s">
        <v>1</v>
      </c>
      <c r="C64" s="17">
        <v>7592</v>
      </c>
      <c r="D64" s="17">
        <v>6168</v>
      </c>
      <c r="E64" s="17">
        <v>5893</v>
      </c>
      <c r="F64" s="17">
        <f>AVERAGE(Table1436281283319[[#This Row],[Teste 1]:[Teste 3]])</f>
        <v>6551</v>
      </c>
      <c r="G64" s="16"/>
      <c r="H64" s="16" t="s">
        <v>0</v>
      </c>
      <c r="I64" s="16" t="s">
        <v>1</v>
      </c>
      <c r="J64" s="17">
        <v>9869</v>
      </c>
      <c r="K64" s="17">
        <v>8018</v>
      </c>
      <c r="L64" s="17">
        <v>7660.9</v>
      </c>
      <c r="M64" s="17">
        <f>AVERAGE(Table1436281283295331[[#This Row],[Teste 1]:[Teste 3]])</f>
        <v>8515.9666666666672</v>
      </c>
      <c r="N64" s="16"/>
      <c r="O64" s="16" t="s">
        <v>0</v>
      </c>
      <c r="P64" s="16" t="s">
        <v>1</v>
      </c>
      <c r="Q64" s="17">
        <v>5361</v>
      </c>
      <c r="R64" s="17">
        <v>5278</v>
      </c>
      <c r="S64" s="17">
        <v>5523</v>
      </c>
      <c r="T64" s="17">
        <f>AVERAGE(Table1436281283295307343[[#This Row],[Teste 1]:[Teste 3]])</f>
        <v>5387.333333333333</v>
      </c>
    </row>
    <row r="65" spans="1:20" x14ac:dyDescent="0.25">
      <c r="A65" s="16" t="s">
        <v>0</v>
      </c>
      <c r="B65" s="16" t="s">
        <v>2</v>
      </c>
      <c r="C65" s="17">
        <v>13171.7597471022</v>
      </c>
      <c r="D65" s="17">
        <v>16212.710765239901</v>
      </c>
      <c r="E65" s="17">
        <v>16969.2855930765</v>
      </c>
      <c r="F65" s="17">
        <f>AVERAGE(Table1436281283319[[#This Row],[Teste 1]:[Teste 3]])</f>
        <v>15451.252035139534</v>
      </c>
      <c r="G65" s="16"/>
      <c r="H65" s="16" t="s">
        <v>0</v>
      </c>
      <c r="I65" s="16" t="s">
        <v>2</v>
      </c>
      <c r="J65" s="17">
        <v>10132.120000000001</v>
      </c>
      <c r="K65" s="17">
        <v>12471.32</v>
      </c>
      <c r="L65" s="17">
        <v>13053.3</v>
      </c>
      <c r="M65" s="17">
        <f>AVERAGE(Table1436281283295331[[#This Row],[Teste 1]:[Teste 3]])</f>
        <v>11885.580000000002</v>
      </c>
      <c r="N65" s="16"/>
      <c r="O65" s="16" t="s">
        <v>0</v>
      </c>
      <c r="P65" s="16" t="s">
        <v>2</v>
      </c>
      <c r="Q65" s="17">
        <v>18653.236336504298</v>
      </c>
      <c r="R65" s="17">
        <v>18946.570670708599</v>
      </c>
      <c r="S65" s="17">
        <v>18106.101756291799</v>
      </c>
      <c r="T65" s="17">
        <f>AVERAGE(Table1436281283295307343[[#This Row],[Teste 1]:[Teste 3]])</f>
        <v>18568.636254501565</v>
      </c>
    </row>
    <row r="66" spans="1:20" x14ac:dyDescent="0.25">
      <c r="A66" s="16" t="s">
        <v>16</v>
      </c>
      <c r="B66" s="16" t="s">
        <v>4</v>
      </c>
      <c r="C66" s="17">
        <v>95005</v>
      </c>
      <c r="D66" s="17">
        <v>94932</v>
      </c>
      <c r="E66" s="17">
        <v>95109</v>
      </c>
      <c r="F66" s="17">
        <f>AVERAGE(Table1436281283319[[#This Row],[Teste 1]:[Teste 3]])</f>
        <v>95015.333333333328</v>
      </c>
      <c r="G66" s="16"/>
      <c r="H66" s="16" t="s">
        <v>16</v>
      </c>
      <c r="I66" s="16" t="s">
        <v>4</v>
      </c>
      <c r="J66" s="17">
        <v>95094</v>
      </c>
      <c r="K66" s="17">
        <v>94870</v>
      </c>
      <c r="L66" s="17">
        <v>95018</v>
      </c>
      <c r="M66" s="17">
        <f>AVERAGE(Table1436281283295331[[#This Row],[Teste 1]:[Teste 3]])</f>
        <v>94994</v>
      </c>
      <c r="N66" s="16"/>
      <c r="O66" s="16" t="s">
        <v>16</v>
      </c>
      <c r="P66" s="16" t="s">
        <v>4</v>
      </c>
      <c r="Q66" s="17">
        <v>94890</v>
      </c>
      <c r="R66" s="17">
        <v>94838</v>
      </c>
      <c r="S66" s="17">
        <v>95010</v>
      </c>
      <c r="T66" s="17">
        <f>AVERAGE(Table1436281283295307343[[#This Row],[Teste 1]:[Teste 3]])</f>
        <v>94912.666666666672</v>
      </c>
    </row>
    <row r="67" spans="1:20" x14ac:dyDescent="0.25">
      <c r="A67" s="16" t="s">
        <v>16</v>
      </c>
      <c r="B67" s="16" t="s">
        <v>5</v>
      </c>
      <c r="C67" s="17">
        <v>378.95625493394999</v>
      </c>
      <c r="D67" s="17">
        <v>292.97801584291898</v>
      </c>
      <c r="E67" s="17">
        <v>279.540821583656</v>
      </c>
      <c r="F67" s="17">
        <f>AVERAGE(Table1436281283319[[#This Row],[Teste 1]:[Teste 3]])</f>
        <v>317.15836412017501</v>
      </c>
      <c r="G67" s="16"/>
      <c r="H67" s="16" t="s">
        <v>16</v>
      </c>
      <c r="I67" s="16" t="s">
        <v>5</v>
      </c>
      <c r="J67" s="17">
        <v>492.64</v>
      </c>
      <c r="K67" s="17">
        <v>380.87</v>
      </c>
      <c r="L67" s="17">
        <v>363.4</v>
      </c>
      <c r="M67" s="17">
        <f>AVERAGE(Table1436281283295331[[#This Row],[Teste 1]:[Teste 3]])</f>
        <v>412.30333333333328</v>
      </c>
      <c r="N67" s="16"/>
      <c r="O67" s="16" t="s">
        <v>16</v>
      </c>
      <c r="P67" s="16" t="s">
        <v>5</v>
      </c>
      <c r="Q67" s="17">
        <v>257.78131520708098</v>
      </c>
      <c r="R67" s="17">
        <v>249.615934541006</v>
      </c>
      <c r="S67" s="17">
        <v>264.96688769603202</v>
      </c>
      <c r="T67" s="17">
        <f>AVERAGE(Table1436281283295307343[[#This Row],[Teste 1]:[Teste 3]])</f>
        <v>257.45471248137301</v>
      </c>
    </row>
    <row r="68" spans="1:20" x14ac:dyDescent="0.25">
      <c r="A68" s="16" t="s">
        <v>16</v>
      </c>
      <c r="B68" s="16" t="s">
        <v>6</v>
      </c>
      <c r="C68" s="17">
        <v>90</v>
      </c>
      <c r="D68" s="17">
        <v>69</v>
      </c>
      <c r="E68" s="17">
        <v>73</v>
      </c>
      <c r="F68" s="17">
        <f>AVERAGE(Table1436281283319[[#This Row],[Teste 1]:[Teste 3]])</f>
        <v>77.333333333333329</v>
      </c>
      <c r="G68" s="16"/>
      <c r="H68" s="16" t="s">
        <v>16</v>
      </c>
      <c r="I68" s="16" t="s">
        <v>6</v>
      </c>
      <c r="J68" s="17">
        <v>117</v>
      </c>
      <c r="K68" s="17">
        <v>90</v>
      </c>
      <c r="L68" s="17">
        <v>95</v>
      </c>
      <c r="M68" s="17">
        <f>AVERAGE(Table1436281283295331[[#This Row],[Teste 1]:[Teste 3]])</f>
        <v>100.66666666666667</v>
      </c>
      <c r="N68" s="16"/>
      <c r="O68" s="16" t="s">
        <v>16</v>
      </c>
      <c r="P68" s="16" t="s">
        <v>6</v>
      </c>
      <c r="Q68" s="17">
        <v>96</v>
      </c>
      <c r="R68" s="17">
        <v>93</v>
      </c>
      <c r="S68" s="17">
        <v>103</v>
      </c>
      <c r="T68" s="17">
        <f>AVERAGE(Table1436281283295307343[[#This Row],[Teste 1]:[Teste 3]])</f>
        <v>97.333333333333329</v>
      </c>
    </row>
    <row r="69" spans="1:20" x14ac:dyDescent="0.25">
      <c r="A69" s="16" t="s">
        <v>16</v>
      </c>
      <c r="B69" s="16" t="s">
        <v>7</v>
      </c>
      <c r="C69" s="17">
        <v>80575</v>
      </c>
      <c r="D69" s="17">
        <v>238591</v>
      </c>
      <c r="E69" s="17">
        <v>222847</v>
      </c>
      <c r="F69" s="17">
        <f>AVERAGE(Table1436281283319[[#This Row],[Teste 1]:[Teste 3]])</f>
        <v>180671</v>
      </c>
      <c r="G69" s="16"/>
      <c r="H69" s="16" t="s">
        <v>16</v>
      </c>
      <c r="I69" s="16" t="s">
        <v>7</v>
      </c>
      <c r="J69" s="17">
        <v>104748</v>
      </c>
      <c r="K69" s="17">
        <v>310168</v>
      </c>
      <c r="L69" s="17">
        <v>289701</v>
      </c>
      <c r="M69" s="17">
        <f>AVERAGE(Table1436281283295331[[#This Row],[Teste 1]:[Teste 3]])</f>
        <v>234872.33333333334</v>
      </c>
      <c r="N69" s="16"/>
      <c r="O69" s="16" t="s">
        <v>16</v>
      </c>
      <c r="P69" s="16" t="s">
        <v>7</v>
      </c>
      <c r="Q69" s="17">
        <v>33727</v>
      </c>
      <c r="R69" s="17">
        <v>54111</v>
      </c>
      <c r="S69" s="17">
        <v>35839</v>
      </c>
      <c r="T69" s="17">
        <f>AVERAGE(Table1436281283295307343[[#This Row],[Teste 1]:[Teste 3]])</f>
        <v>41225.666666666664</v>
      </c>
    </row>
    <row r="70" spans="1:20" x14ac:dyDescent="0.25">
      <c r="A70" s="16" t="s">
        <v>16</v>
      </c>
      <c r="B70" s="16" t="s">
        <v>8</v>
      </c>
      <c r="C70" s="17">
        <v>698</v>
      </c>
      <c r="D70" s="17">
        <v>625</v>
      </c>
      <c r="E70" s="17">
        <v>592</v>
      </c>
      <c r="F70" s="17">
        <f>AVERAGE(Table1436281283319[[#This Row],[Teste 1]:[Teste 3]])</f>
        <v>638.33333333333337</v>
      </c>
      <c r="G70" s="16"/>
      <c r="H70" s="16" t="s">
        <v>16</v>
      </c>
      <c r="I70" s="16" t="s">
        <v>8</v>
      </c>
      <c r="J70" s="17">
        <v>907</v>
      </c>
      <c r="K70" s="17">
        <v>813</v>
      </c>
      <c r="L70" s="17">
        <v>770</v>
      </c>
      <c r="M70" s="17">
        <f>AVERAGE(Table1436281283295331[[#This Row],[Teste 1]:[Teste 3]])</f>
        <v>830</v>
      </c>
      <c r="N70" s="16"/>
      <c r="O70" s="16" t="s">
        <v>16</v>
      </c>
      <c r="P70" s="16" t="s">
        <v>8</v>
      </c>
      <c r="Q70" s="17">
        <v>549</v>
      </c>
      <c r="R70" s="17">
        <v>459</v>
      </c>
      <c r="S70" s="17">
        <v>614</v>
      </c>
      <c r="T70" s="17">
        <f>AVERAGE(Table1436281283295307343[[#This Row],[Teste 1]:[Teste 3]])</f>
        <v>540.66666666666663</v>
      </c>
    </row>
    <row r="71" spans="1:20" x14ac:dyDescent="0.25">
      <c r="A71" s="16" t="s">
        <v>16</v>
      </c>
      <c r="B71" s="16" t="s">
        <v>9</v>
      </c>
      <c r="C71" s="17">
        <v>1350</v>
      </c>
      <c r="D71" s="17">
        <v>1354</v>
      </c>
      <c r="E71" s="17">
        <v>1200</v>
      </c>
      <c r="F71" s="17">
        <f>AVERAGE(Table1436281283319[[#This Row],[Teste 1]:[Teste 3]])</f>
        <v>1301.3333333333333</v>
      </c>
      <c r="G71" s="16"/>
      <c r="H71" s="16" t="s">
        <v>16</v>
      </c>
      <c r="I71" s="16" t="s">
        <v>9</v>
      </c>
      <c r="J71" s="17">
        <v>1755</v>
      </c>
      <c r="K71" s="17">
        <v>1760</v>
      </c>
      <c r="L71" s="17">
        <v>1560</v>
      </c>
      <c r="M71" s="17">
        <f>AVERAGE(Table1436281283295331[[#This Row],[Teste 1]:[Teste 3]])</f>
        <v>1691.6666666666667</v>
      </c>
      <c r="N71" s="16"/>
      <c r="O71" s="16" t="s">
        <v>16</v>
      </c>
      <c r="P71" s="16" t="s">
        <v>9</v>
      </c>
      <c r="Q71" s="17">
        <v>1221</v>
      </c>
      <c r="R71" s="17">
        <v>980</v>
      </c>
      <c r="S71" s="17">
        <v>1328</v>
      </c>
      <c r="T71" s="17">
        <f>AVERAGE(Table1436281283295307343[[#This Row],[Teste 1]:[Teste 3]])</f>
        <v>1176.3333333333333</v>
      </c>
    </row>
    <row r="72" spans="1:20" x14ac:dyDescent="0.25">
      <c r="A72" s="16" t="s">
        <v>16</v>
      </c>
      <c r="B72" s="16" t="s">
        <v>11</v>
      </c>
      <c r="C72" s="17">
        <v>95005</v>
      </c>
      <c r="D72" s="17">
        <v>94932</v>
      </c>
      <c r="E72" s="17">
        <v>95109</v>
      </c>
      <c r="F72" s="17">
        <f>AVERAGE(Table1436281283319[[#This Row],[Teste 1]:[Teste 3]])</f>
        <v>95015.333333333328</v>
      </c>
      <c r="G72" s="16"/>
      <c r="H72" s="16" t="s">
        <v>16</v>
      </c>
      <c r="I72" s="16" t="s">
        <v>11</v>
      </c>
      <c r="J72" s="17">
        <v>95094</v>
      </c>
      <c r="K72" s="17">
        <v>94870</v>
      </c>
      <c r="L72" s="17">
        <v>95018</v>
      </c>
      <c r="M72" s="17">
        <f>AVERAGE(Table1436281283295331[[#This Row],[Teste 1]:[Teste 3]])</f>
        <v>94994</v>
      </c>
      <c r="N72" s="16"/>
      <c r="O72" s="16" t="s">
        <v>16</v>
      </c>
      <c r="P72" s="16" t="s">
        <v>11</v>
      </c>
      <c r="Q72" s="17">
        <v>94890</v>
      </c>
      <c r="R72" s="17">
        <v>94838</v>
      </c>
      <c r="S72" s="17">
        <v>95010</v>
      </c>
      <c r="T72" s="17">
        <f>AVERAGE(Table1436281283295307343[[#This Row],[Teste 1]:[Teste 3]])</f>
        <v>94912.666666666672</v>
      </c>
    </row>
    <row r="73" spans="1:20" x14ac:dyDescent="0.25">
      <c r="A73" s="16" t="s">
        <v>3</v>
      </c>
      <c r="B73" s="16" t="s">
        <v>4</v>
      </c>
      <c r="C73" s="17">
        <v>6</v>
      </c>
      <c r="D73" s="17">
        <v>6</v>
      </c>
      <c r="E73" s="17">
        <v>6</v>
      </c>
      <c r="F73" s="17">
        <f>AVERAGE(Table1436281283319[[#This Row],[Teste 1]:[Teste 3]])</f>
        <v>6</v>
      </c>
      <c r="G73" s="16"/>
      <c r="H73" s="16" t="s">
        <v>3</v>
      </c>
      <c r="I73" s="16" t="s">
        <v>4</v>
      </c>
      <c r="J73" s="17">
        <v>6</v>
      </c>
      <c r="K73" s="17">
        <v>6</v>
      </c>
      <c r="L73" s="17">
        <v>6</v>
      </c>
      <c r="M73" s="17">
        <f>AVERAGE(Table1436281283295331[[#This Row],[Teste 1]:[Teste 3]])</f>
        <v>6</v>
      </c>
      <c r="N73" s="16"/>
      <c r="O73" s="16" t="s">
        <v>3</v>
      </c>
      <c r="P73" s="16" t="s">
        <v>4</v>
      </c>
      <c r="Q73" s="17">
        <v>6</v>
      </c>
      <c r="R73" s="17">
        <v>6</v>
      </c>
      <c r="S73" s="17">
        <v>6</v>
      </c>
      <c r="T73" s="17">
        <f>AVERAGE(Table1436281283295307343[[#This Row],[Teste 1]:[Teste 3]])</f>
        <v>6</v>
      </c>
    </row>
    <row r="74" spans="1:20" x14ac:dyDescent="0.25">
      <c r="A74" s="16" t="s">
        <v>3</v>
      </c>
      <c r="B74" s="16" t="s">
        <v>5</v>
      </c>
      <c r="C74" s="17">
        <v>1.8333333333333299</v>
      </c>
      <c r="D74" s="17">
        <v>1.5</v>
      </c>
      <c r="E74" s="17">
        <v>5.3333333333333304</v>
      </c>
      <c r="F74" s="17">
        <f>AVERAGE(Table1436281283319[[#This Row],[Teste 1]:[Teste 3]])</f>
        <v>2.8888888888888871</v>
      </c>
      <c r="G74" s="16"/>
      <c r="H74" s="16" t="s">
        <v>3</v>
      </c>
      <c r="I74" s="16" t="s">
        <v>5</v>
      </c>
      <c r="J74" s="17">
        <v>1.33</v>
      </c>
      <c r="K74" s="17">
        <v>1.33</v>
      </c>
      <c r="L74" s="17">
        <v>1.33</v>
      </c>
      <c r="M74" s="17">
        <f>AVERAGE(Table1436281283295331[[#This Row],[Teste 1]:[Teste 3]])</f>
        <v>1.33</v>
      </c>
      <c r="N74" s="16"/>
      <c r="O74" s="16" t="s">
        <v>3</v>
      </c>
      <c r="P74" s="16" t="s">
        <v>5</v>
      </c>
      <c r="Q74" s="17">
        <v>210.333333333333</v>
      </c>
      <c r="R74" s="17">
        <v>200.666666666666</v>
      </c>
      <c r="S74" s="17">
        <v>277.83333333333297</v>
      </c>
      <c r="T74" s="17">
        <f>AVERAGE(Table1436281283295307343[[#This Row],[Teste 1]:[Teste 3]])</f>
        <v>229.61111111111063</v>
      </c>
    </row>
    <row r="75" spans="1:20" x14ac:dyDescent="0.25">
      <c r="A75" s="16" t="s">
        <v>3</v>
      </c>
      <c r="B75" s="16" t="s">
        <v>6</v>
      </c>
      <c r="C75" s="17">
        <v>1</v>
      </c>
      <c r="D75" s="17">
        <v>0</v>
      </c>
      <c r="E75" s="17">
        <v>1</v>
      </c>
      <c r="F75" s="17">
        <f>AVERAGE(Table1436281283319[[#This Row],[Teste 1]:[Teste 3]])</f>
        <v>0.66666666666666663</v>
      </c>
      <c r="G75" s="16"/>
      <c r="H75" s="16" t="s">
        <v>3</v>
      </c>
      <c r="I75" s="16" t="s">
        <v>6</v>
      </c>
      <c r="J75" s="17">
        <v>2</v>
      </c>
      <c r="K75" s="17">
        <v>2</v>
      </c>
      <c r="L75" s="17">
        <v>2</v>
      </c>
      <c r="M75" s="17">
        <f>AVERAGE(Table1436281283295331[[#This Row],[Teste 1]:[Teste 3]])</f>
        <v>2</v>
      </c>
      <c r="N75" s="16"/>
      <c r="O75" s="16" t="s">
        <v>3</v>
      </c>
      <c r="P75" s="16" t="s">
        <v>6</v>
      </c>
      <c r="Q75" s="17">
        <v>1</v>
      </c>
      <c r="R75" s="17">
        <v>1</v>
      </c>
      <c r="S75" s="17">
        <v>1</v>
      </c>
      <c r="T75" s="17">
        <f>AVERAGE(Table1436281283295307343[[#This Row],[Teste 1]:[Teste 3]])</f>
        <v>1</v>
      </c>
    </row>
    <row r="76" spans="1:20" x14ac:dyDescent="0.25">
      <c r="A76" s="16" t="s">
        <v>3</v>
      </c>
      <c r="B76" s="16" t="s">
        <v>7</v>
      </c>
      <c r="C76" s="17">
        <v>6</v>
      </c>
      <c r="D76" s="17">
        <v>7</v>
      </c>
      <c r="E76" s="17">
        <v>26</v>
      </c>
      <c r="F76" s="17">
        <f>AVERAGE(Table1436281283319[[#This Row],[Teste 1]:[Teste 3]])</f>
        <v>13</v>
      </c>
      <c r="G76" s="16"/>
      <c r="H76" s="16" t="s">
        <v>3</v>
      </c>
      <c r="I76" s="16" t="s">
        <v>7</v>
      </c>
      <c r="J76" s="17">
        <v>21</v>
      </c>
      <c r="K76" s="17">
        <v>4</v>
      </c>
      <c r="L76" s="17">
        <v>4</v>
      </c>
      <c r="M76" s="17">
        <f>AVERAGE(Table1436281283295331[[#This Row],[Teste 1]:[Teste 3]])</f>
        <v>9.6666666666666661</v>
      </c>
      <c r="N76" s="16"/>
      <c r="O76" s="16" t="s">
        <v>3</v>
      </c>
      <c r="P76" s="16" t="s">
        <v>7</v>
      </c>
      <c r="Q76" s="17">
        <v>1240</v>
      </c>
      <c r="R76" s="17">
        <v>1184</v>
      </c>
      <c r="S76" s="17">
        <v>1646</v>
      </c>
      <c r="T76" s="17">
        <f>AVERAGE(Table1436281283295307343[[#This Row],[Teste 1]:[Teste 3]])</f>
        <v>1356.6666666666667</v>
      </c>
    </row>
    <row r="77" spans="1:20" x14ac:dyDescent="0.25">
      <c r="A77" s="16" t="s">
        <v>3</v>
      </c>
      <c r="B77" s="16" t="s">
        <v>8</v>
      </c>
      <c r="C77" s="17">
        <v>6</v>
      </c>
      <c r="D77" s="17">
        <v>7</v>
      </c>
      <c r="E77" s="17">
        <v>26</v>
      </c>
      <c r="F77" s="17">
        <f>AVERAGE(Table1436281283319[[#This Row],[Teste 1]:[Teste 3]])</f>
        <v>13</v>
      </c>
      <c r="G77" s="16"/>
      <c r="H77" s="16" t="s">
        <v>3</v>
      </c>
      <c r="I77" s="16" t="s">
        <v>8</v>
      </c>
      <c r="J77" s="17">
        <v>21</v>
      </c>
      <c r="K77" s="17">
        <v>4</v>
      </c>
      <c r="L77" s="17">
        <v>4</v>
      </c>
      <c r="M77" s="17">
        <f>AVERAGE(Table1436281283295331[[#This Row],[Teste 1]:[Teste 3]])</f>
        <v>9.6666666666666661</v>
      </c>
      <c r="N77" s="16"/>
      <c r="O77" s="16" t="s">
        <v>3</v>
      </c>
      <c r="P77" s="16" t="s">
        <v>8</v>
      </c>
      <c r="Q77" s="17">
        <v>1240</v>
      </c>
      <c r="R77" s="17">
        <v>1184</v>
      </c>
      <c r="S77" s="17">
        <v>1646</v>
      </c>
      <c r="T77" s="17">
        <f>AVERAGE(Table1436281283295307343[[#This Row],[Teste 1]:[Teste 3]])</f>
        <v>1356.6666666666667</v>
      </c>
    </row>
    <row r="78" spans="1:20" x14ac:dyDescent="0.25">
      <c r="A78" s="16" t="s">
        <v>3</v>
      </c>
      <c r="B78" s="16" t="s">
        <v>9</v>
      </c>
      <c r="C78" s="17">
        <v>6</v>
      </c>
      <c r="D78" s="17">
        <v>7</v>
      </c>
      <c r="E78" s="17">
        <v>26</v>
      </c>
      <c r="F78" s="17">
        <f>AVERAGE(Table1436281283319[[#This Row],[Teste 1]:[Teste 3]])</f>
        <v>13</v>
      </c>
      <c r="G78" s="16"/>
      <c r="H78" s="16" t="s">
        <v>3</v>
      </c>
      <c r="I78" s="16" t="s">
        <v>9</v>
      </c>
      <c r="J78" s="17">
        <v>21</v>
      </c>
      <c r="K78" s="17">
        <v>4</v>
      </c>
      <c r="L78" s="17">
        <v>4</v>
      </c>
      <c r="M78" s="17">
        <f>AVERAGE(Table1436281283295331[[#This Row],[Teste 1]:[Teste 3]])</f>
        <v>9.6666666666666661</v>
      </c>
      <c r="N78" s="16"/>
      <c r="O78" s="16" t="s">
        <v>3</v>
      </c>
      <c r="P78" s="16" t="s">
        <v>9</v>
      </c>
      <c r="Q78" s="17">
        <v>1240</v>
      </c>
      <c r="R78" s="17">
        <v>1184</v>
      </c>
      <c r="S78" s="17">
        <v>1646</v>
      </c>
      <c r="T78" s="17">
        <f>AVERAGE(Table1436281283295307343[[#This Row],[Teste 1]:[Teste 3]])</f>
        <v>1356.6666666666667</v>
      </c>
    </row>
    <row r="79" spans="1:20" x14ac:dyDescent="0.25">
      <c r="A79" s="16" t="s">
        <v>17</v>
      </c>
      <c r="B79" s="16" t="s">
        <v>4</v>
      </c>
      <c r="C79" s="17">
        <v>4995</v>
      </c>
      <c r="D79" s="17">
        <v>5068</v>
      </c>
      <c r="E79" s="17">
        <v>4891</v>
      </c>
      <c r="F79" s="17">
        <f>AVERAGE(Table1436281283319[[#This Row],[Teste 1]:[Teste 3]])</f>
        <v>4984.666666666667</v>
      </c>
      <c r="G79" s="16"/>
      <c r="H79" s="16" t="s">
        <v>17</v>
      </c>
      <c r="I79" s="16" t="s">
        <v>4</v>
      </c>
      <c r="J79" s="17">
        <v>4906</v>
      </c>
      <c r="K79" s="17">
        <v>5130</v>
      </c>
      <c r="L79" s="17">
        <v>4982</v>
      </c>
      <c r="M79" s="17">
        <f>AVERAGE(Table1436281283295331[[#This Row],[Teste 1]:[Teste 3]])</f>
        <v>5006</v>
      </c>
      <c r="N79" s="16"/>
      <c r="O79" s="16" t="s">
        <v>17</v>
      </c>
      <c r="P79" s="16" t="s">
        <v>4</v>
      </c>
      <c r="Q79" s="17">
        <v>5110</v>
      </c>
      <c r="R79" s="17">
        <v>5162</v>
      </c>
      <c r="S79" s="17">
        <v>4990</v>
      </c>
      <c r="T79" s="17">
        <f>AVERAGE(Table1436281283295307343[[#This Row],[Teste 1]:[Teste 3]])</f>
        <v>5087.333333333333</v>
      </c>
    </row>
    <row r="80" spans="1:20" x14ac:dyDescent="0.25">
      <c r="A80" s="16" t="s">
        <v>17</v>
      </c>
      <c r="B80" s="16" t="s">
        <v>5</v>
      </c>
      <c r="C80" s="17">
        <v>645.06686686686601</v>
      </c>
      <c r="D80" s="17">
        <v>499.92324388318798</v>
      </c>
      <c r="E80" s="17">
        <v>496.39685135963998</v>
      </c>
      <c r="F80" s="17">
        <f>AVERAGE(Table1436281283319[[#This Row],[Teste 1]:[Teste 3]])</f>
        <v>547.12898736989803</v>
      </c>
      <c r="G80" s="16"/>
      <c r="H80" s="16" t="s">
        <v>17</v>
      </c>
      <c r="I80" s="16" t="s">
        <v>5</v>
      </c>
      <c r="J80" s="17">
        <v>838.59</v>
      </c>
      <c r="K80" s="17">
        <v>649.9</v>
      </c>
      <c r="L80" s="17">
        <v>645.32000000000005</v>
      </c>
      <c r="M80" s="17">
        <f>AVERAGE(Table1436281283295331[[#This Row],[Teste 1]:[Teste 3]])</f>
        <v>711.27</v>
      </c>
      <c r="N80" s="16"/>
      <c r="O80" s="16" t="s">
        <v>17</v>
      </c>
      <c r="P80" s="16" t="s">
        <v>5</v>
      </c>
      <c r="Q80" s="17">
        <v>535.86731898238702</v>
      </c>
      <c r="R80" s="17">
        <v>521.288260364199</v>
      </c>
      <c r="S80" s="17">
        <v>545.26052104208395</v>
      </c>
      <c r="T80" s="17">
        <f>AVERAGE(Table1436281283295307343[[#This Row],[Teste 1]:[Teste 3]])</f>
        <v>534.13870012955658</v>
      </c>
    </row>
    <row r="81" spans="1:20" x14ac:dyDescent="0.25">
      <c r="A81" s="16" t="s">
        <v>17</v>
      </c>
      <c r="B81" s="16" t="s">
        <v>6</v>
      </c>
      <c r="C81" s="17">
        <v>187</v>
      </c>
      <c r="D81" s="17">
        <v>123</v>
      </c>
      <c r="E81" s="17">
        <v>136</v>
      </c>
      <c r="F81" s="17">
        <f>AVERAGE(Table1436281283319[[#This Row],[Teste 1]:[Teste 3]])</f>
        <v>148.66666666666666</v>
      </c>
      <c r="G81" s="16"/>
      <c r="H81" s="16" t="s">
        <v>17</v>
      </c>
      <c r="I81" s="16" t="s">
        <v>6</v>
      </c>
      <c r="J81" s="17">
        <v>243</v>
      </c>
      <c r="K81" s="17">
        <v>160</v>
      </c>
      <c r="L81" s="17">
        <v>177</v>
      </c>
      <c r="M81" s="17">
        <f>AVERAGE(Table1436281283295331[[#This Row],[Teste 1]:[Teste 3]])</f>
        <v>193.33333333333334</v>
      </c>
      <c r="N81" s="16"/>
      <c r="O81" s="16" t="s">
        <v>17</v>
      </c>
      <c r="P81" s="16" t="s">
        <v>6</v>
      </c>
      <c r="Q81" s="17">
        <v>213</v>
      </c>
      <c r="R81" s="17">
        <v>224</v>
      </c>
      <c r="S81" s="17">
        <v>251</v>
      </c>
      <c r="T81" s="17">
        <f>AVERAGE(Table1436281283295307343[[#This Row],[Teste 1]:[Teste 3]])</f>
        <v>229.33333333333334</v>
      </c>
    </row>
    <row r="82" spans="1:20" x14ac:dyDescent="0.25">
      <c r="A82" s="16" t="s">
        <v>17</v>
      </c>
      <c r="B82" s="16" t="s">
        <v>7</v>
      </c>
      <c r="C82" s="17">
        <v>83519</v>
      </c>
      <c r="D82" s="17">
        <v>101695</v>
      </c>
      <c r="E82" s="17">
        <v>160255</v>
      </c>
      <c r="F82" s="17">
        <f>AVERAGE(Table1436281283319[[#This Row],[Teste 1]:[Teste 3]])</f>
        <v>115156.33333333333</v>
      </c>
      <c r="G82" s="16"/>
      <c r="H82" s="16" t="s">
        <v>17</v>
      </c>
      <c r="I82" s="16" t="s">
        <v>7</v>
      </c>
      <c r="J82" s="17">
        <v>108575</v>
      </c>
      <c r="K82" s="17">
        <v>132204</v>
      </c>
      <c r="L82" s="17">
        <v>208332</v>
      </c>
      <c r="M82" s="17">
        <f>AVERAGE(Table1436281283295331[[#This Row],[Teste 1]:[Teste 3]])</f>
        <v>149703.66666666666</v>
      </c>
      <c r="N82" s="16"/>
      <c r="O82" s="16" t="s">
        <v>17</v>
      </c>
      <c r="P82" s="16" t="s">
        <v>7</v>
      </c>
      <c r="Q82" s="17">
        <v>14151</v>
      </c>
      <c r="R82" s="17">
        <v>30303</v>
      </c>
      <c r="S82" s="17">
        <v>36927</v>
      </c>
      <c r="T82" s="17">
        <f>AVERAGE(Table1436281283295307343[[#This Row],[Teste 1]:[Teste 3]])</f>
        <v>27127</v>
      </c>
    </row>
    <row r="83" spans="1:20" x14ac:dyDescent="0.25">
      <c r="A83" s="16" t="s">
        <v>17</v>
      </c>
      <c r="B83" s="16" t="s">
        <v>8</v>
      </c>
      <c r="C83" s="17">
        <v>1060</v>
      </c>
      <c r="D83" s="17">
        <v>1036</v>
      </c>
      <c r="E83" s="17">
        <v>962</v>
      </c>
      <c r="F83" s="17">
        <f>AVERAGE(Table1436281283319[[#This Row],[Teste 1]:[Teste 3]])</f>
        <v>1019.3333333333334</v>
      </c>
      <c r="G83" s="16"/>
      <c r="H83" s="16" t="s">
        <v>17</v>
      </c>
      <c r="I83" s="16" t="s">
        <v>8</v>
      </c>
      <c r="J83" s="17">
        <v>1378</v>
      </c>
      <c r="K83" s="17">
        <v>1347</v>
      </c>
      <c r="L83" s="17">
        <v>1251</v>
      </c>
      <c r="M83" s="17">
        <f>AVERAGE(Table1436281283295331[[#This Row],[Teste 1]:[Teste 3]])</f>
        <v>1325.3333333333333</v>
      </c>
      <c r="N83" s="16"/>
      <c r="O83" s="16" t="s">
        <v>17</v>
      </c>
      <c r="P83" s="16" t="s">
        <v>8</v>
      </c>
      <c r="Q83" s="17">
        <v>958</v>
      </c>
      <c r="R83" s="17">
        <v>851</v>
      </c>
      <c r="S83" s="17">
        <v>955</v>
      </c>
      <c r="T83" s="17">
        <f>AVERAGE(Table1436281283295307343[[#This Row],[Teste 1]:[Teste 3]])</f>
        <v>921.33333333333337</v>
      </c>
    </row>
    <row r="84" spans="1:20" x14ac:dyDescent="0.25">
      <c r="A84" s="16" t="s">
        <v>17</v>
      </c>
      <c r="B84" s="16" t="s">
        <v>9</v>
      </c>
      <c r="C84" s="17">
        <v>1998</v>
      </c>
      <c r="D84" s="17">
        <v>2103</v>
      </c>
      <c r="E84" s="17">
        <v>1784</v>
      </c>
      <c r="F84" s="17">
        <f>AVERAGE(Table1436281283319[[#This Row],[Teste 1]:[Teste 3]])</f>
        <v>1961.6666666666667</v>
      </c>
      <c r="G84" s="16"/>
      <c r="H84" s="16" t="s">
        <v>17</v>
      </c>
      <c r="I84" s="16" t="s">
        <v>9</v>
      </c>
      <c r="J84" s="17">
        <v>2598</v>
      </c>
      <c r="K84" s="17">
        <v>2734</v>
      </c>
      <c r="L84" s="17">
        <v>2319</v>
      </c>
      <c r="M84" s="17">
        <f>AVERAGE(Table1436281283295331[[#This Row],[Teste 1]:[Teste 3]])</f>
        <v>2550.3333333333335</v>
      </c>
      <c r="N84" s="16"/>
      <c r="O84" s="16" t="s">
        <v>17</v>
      </c>
      <c r="P84" s="16" t="s">
        <v>9</v>
      </c>
      <c r="Q84" s="17">
        <v>2005</v>
      </c>
      <c r="R84" s="17">
        <v>1614</v>
      </c>
      <c r="S84" s="17">
        <v>1737</v>
      </c>
      <c r="T84" s="17">
        <f>AVERAGE(Table1436281283295307343[[#This Row],[Teste 1]:[Teste 3]])</f>
        <v>1785.3333333333333</v>
      </c>
    </row>
    <row r="85" spans="1:20" x14ac:dyDescent="0.25">
      <c r="A85" s="16" t="s">
        <v>17</v>
      </c>
      <c r="B85" s="16" t="s">
        <v>11</v>
      </c>
      <c r="C85" s="17">
        <v>4995</v>
      </c>
      <c r="D85" s="17">
        <v>5068</v>
      </c>
      <c r="E85" s="17">
        <v>4891</v>
      </c>
      <c r="F85" s="17">
        <f>AVERAGE(Table1436281283319[[#This Row],[Teste 1]:[Teste 3]])</f>
        <v>4984.666666666667</v>
      </c>
      <c r="G85" s="16"/>
      <c r="H85" s="16" t="s">
        <v>17</v>
      </c>
      <c r="I85" s="16" t="s">
        <v>11</v>
      </c>
      <c r="J85" s="17">
        <v>4906</v>
      </c>
      <c r="K85" s="17">
        <v>5130</v>
      </c>
      <c r="L85" s="17">
        <v>4982</v>
      </c>
      <c r="M85" s="17">
        <f>AVERAGE(Table1436281283295331[[#This Row],[Teste 1]:[Teste 3]])</f>
        <v>5006</v>
      </c>
      <c r="N85" s="16"/>
      <c r="O85" s="16" t="s">
        <v>17</v>
      </c>
      <c r="P85" s="16" t="s">
        <v>11</v>
      </c>
      <c r="Q85" s="17">
        <v>5110</v>
      </c>
      <c r="R85" s="17">
        <v>5162</v>
      </c>
      <c r="S85" s="17">
        <v>4990</v>
      </c>
      <c r="T85" s="17">
        <f>AVERAGE(Table1436281283295307343[[#This Row],[Teste 1]:[Teste 3]])</f>
        <v>5087.333333333333</v>
      </c>
    </row>
    <row r="86" spans="1:20" x14ac:dyDescent="0.25">
      <c r="A86" s="16"/>
      <c r="B86" s="16"/>
      <c r="C86" s="17"/>
      <c r="D86" s="17"/>
      <c r="E86" s="17"/>
      <c r="F86" s="17"/>
      <c r="G86" s="16"/>
      <c r="H86" s="16"/>
      <c r="I86" s="16"/>
      <c r="J86" s="17"/>
      <c r="K86" s="17"/>
      <c r="L86" s="17"/>
      <c r="M86" s="17"/>
      <c r="N86" s="16"/>
      <c r="O86" s="16"/>
      <c r="P86" s="16"/>
      <c r="Q86" s="17"/>
      <c r="R86" s="17"/>
      <c r="S86" s="17"/>
      <c r="T86" s="17"/>
    </row>
    <row r="87" spans="1:20" x14ac:dyDescent="0.25">
      <c r="A87" s="16"/>
      <c r="B87" s="16"/>
      <c r="C87" s="17"/>
      <c r="D87" s="17"/>
      <c r="E87" s="17"/>
      <c r="F87" s="17"/>
      <c r="G87" s="16"/>
      <c r="H87" s="16"/>
      <c r="I87" s="16"/>
      <c r="J87" s="17"/>
      <c r="K87" s="17"/>
      <c r="L87" s="17"/>
      <c r="M87" s="17"/>
      <c r="N87" s="16"/>
      <c r="O87" s="16"/>
      <c r="P87" s="16"/>
      <c r="Q87" s="17"/>
      <c r="R87" s="17"/>
      <c r="S87" s="17"/>
      <c r="T87" s="17"/>
    </row>
    <row r="88" spans="1:20" x14ac:dyDescent="0.25">
      <c r="A88" s="16"/>
      <c r="B88" s="16"/>
      <c r="C88" s="17"/>
      <c r="D88" s="17"/>
      <c r="E88" s="17"/>
      <c r="F88" s="17"/>
      <c r="G88" s="16"/>
      <c r="H88" s="16"/>
      <c r="I88" s="16"/>
      <c r="J88" s="17"/>
      <c r="K88" s="17"/>
      <c r="L88" s="17"/>
      <c r="M88" s="17"/>
      <c r="N88" s="16"/>
      <c r="O88" s="16"/>
      <c r="P88" s="16"/>
      <c r="Q88" s="17"/>
      <c r="R88" s="17"/>
      <c r="S88" s="17"/>
      <c r="T88" s="17"/>
    </row>
    <row r="89" spans="1:20" x14ac:dyDescent="0.25">
      <c r="Q89" s="16"/>
    </row>
    <row r="90" spans="1:20" x14ac:dyDescent="0.25">
      <c r="Q90" s="16"/>
    </row>
    <row r="91" spans="1:20" ht="15.75" x14ac:dyDescent="0.25">
      <c r="A91" s="2" t="s">
        <v>66</v>
      </c>
      <c r="H91" s="2" t="s">
        <v>66</v>
      </c>
      <c r="O91" s="2" t="s">
        <v>66</v>
      </c>
      <c r="Q91" s="16"/>
    </row>
    <row r="92" spans="1:20" ht="15.75" x14ac:dyDescent="0.25">
      <c r="A92" s="2" t="s">
        <v>65</v>
      </c>
      <c r="H92" s="2" t="s">
        <v>65</v>
      </c>
      <c r="O92" s="2" t="s">
        <v>65</v>
      </c>
      <c r="Q92" s="16"/>
    </row>
    <row r="93" spans="1:20" x14ac:dyDescent="0.25">
      <c r="A93" s="16" t="s">
        <v>59</v>
      </c>
      <c r="B93" s="16" t="s">
        <v>66</v>
      </c>
      <c r="C93" s="16" t="s">
        <v>82</v>
      </c>
      <c r="D93" s="16" t="s">
        <v>64</v>
      </c>
      <c r="E93" s="16" t="s">
        <v>63</v>
      </c>
      <c r="F93" s="16" t="s">
        <v>18</v>
      </c>
      <c r="G93" s="16"/>
      <c r="H93" s="16" t="s">
        <v>12</v>
      </c>
      <c r="I93" s="16" t="s">
        <v>66</v>
      </c>
      <c r="J93" s="16" t="s">
        <v>82</v>
      </c>
      <c r="K93" s="16" t="s">
        <v>64</v>
      </c>
      <c r="L93" s="16" t="s">
        <v>63</v>
      </c>
      <c r="M93" s="16" t="s">
        <v>18</v>
      </c>
      <c r="N93" s="16"/>
      <c r="O93" s="16" t="s">
        <v>13</v>
      </c>
      <c r="P93" s="16" t="s">
        <v>66</v>
      </c>
      <c r="Q93" s="16" t="s">
        <v>82</v>
      </c>
      <c r="R93" s="16" t="s">
        <v>64</v>
      </c>
      <c r="S93" s="16" t="s">
        <v>63</v>
      </c>
      <c r="T93" s="16" t="s">
        <v>18</v>
      </c>
    </row>
    <row r="94" spans="1:20" x14ac:dyDescent="0.25">
      <c r="A94" s="16" t="s">
        <v>0</v>
      </c>
      <c r="B94" s="16" t="s">
        <v>1</v>
      </c>
      <c r="C94" s="17">
        <v>1422708</v>
      </c>
      <c r="D94" s="17">
        <v>1082810</v>
      </c>
      <c r="E94" s="17">
        <v>923736</v>
      </c>
      <c r="F94" s="17">
        <f>AVERAGE(Table1436281284320[[#This Row],[Teste 1]:[Teste 3]])</f>
        <v>1143084.6666666667</v>
      </c>
      <c r="G94" s="16"/>
      <c r="H94" s="16" t="s">
        <v>0</v>
      </c>
      <c r="I94" s="16" t="s">
        <v>1</v>
      </c>
      <c r="J94" s="17">
        <v>1678795</v>
      </c>
      <c r="K94" s="17">
        <v>1277716</v>
      </c>
      <c r="L94" s="17">
        <v>1090008</v>
      </c>
      <c r="M94" s="17">
        <f>AVERAGE(Table1436281284296332[[#This Row],[Teste 1]:[Teste 3]])</f>
        <v>1348839.6666666667</v>
      </c>
      <c r="N94" s="16"/>
      <c r="O94" s="16" t="s">
        <v>0</v>
      </c>
      <c r="P94" s="16" t="s">
        <v>1</v>
      </c>
      <c r="Q94" s="17">
        <v>274358</v>
      </c>
      <c r="R94" s="17">
        <v>287783</v>
      </c>
      <c r="S94" s="17">
        <v>292262</v>
      </c>
      <c r="T94" s="17">
        <f>AVERAGE(Table1436281284296308344[[#This Row],[Teste 1]:[Teste 3]])</f>
        <v>284801</v>
      </c>
    </row>
    <row r="95" spans="1:20" x14ac:dyDescent="0.25">
      <c r="A95" s="16" t="s">
        <v>0</v>
      </c>
      <c r="B95" s="16" t="s">
        <v>2</v>
      </c>
      <c r="C95" s="17">
        <v>702.88492086921497</v>
      </c>
      <c r="D95" s="17">
        <v>923.52305575308606</v>
      </c>
      <c r="E95" s="17">
        <v>1082.5603852182801</v>
      </c>
      <c r="F95" s="17">
        <f>AVERAGE(Table1436281284320[[#This Row],[Teste 1]:[Teste 3]])</f>
        <v>902.98945394686041</v>
      </c>
      <c r="G95" s="16"/>
      <c r="H95" s="16" t="s">
        <v>0</v>
      </c>
      <c r="I95" s="16" t="s">
        <v>2</v>
      </c>
      <c r="J95" s="17">
        <v>595.66999999999996</v>
      </c>
      <c r="K95" s="17">
        <v>782.65</v>
      </c>
      <c r="L95" s="17">
        <v>917.42</v>
      </c>
      <c r="M95" s="17">
        <f>AVERAGE(Table1436281284296332[[#This Row],[Teste 1]:[Teste 3]])</f>
        <v>765.24666666666656</v>
      </c>
      <c r="N95" s="16"/>
      <c r="O95" s="16" t="s">
        <v>0</v>
      </c>
      <c r="P95" s="16" t="s">
        <v>2</v>
      </c>
      <c r="Q95" s="17">
        <v>3644.8727574920299</v>
      </c>
      <c r="R95" s="17">
        <v>3474.8404179538002</v>
      </c>
      <c r="S95" s="17">
        <v>3421.5874797270899</v>
      </c>
      <c r="T95" s="17">
        <f>AVERAGE(Table1436281284296308344[[#This Row],[Teste 1]:[Teste 3]])</f>
        <v>3513.7668850576397</v>
      </c>
    </row>
    <row r="96" spans="1:20" x14ac:dyDescent="0.25">
      <c r="A96" s="16" t="s">
        <v>16</v>
      </c>
      <c r="B96" s="16" t="s">
        <v>4</v>
      </c>
      <c r="C96" s="17">
        <v>949748</v>
      </c>
      <c r="D96" s="17">
        <v>949899</v>
      </c>
      <c r="E96" s="17">
        <v>949904</v>
      </c>
      <c r="F96" s="17">
        <f>AVERAGE(Table1436281284320[[#This Row],[Teste 1]:[Teste 3]])</f>
        <v>949850.33333333337</v>
      </c>
      <c r="G96" s="16"/>
      <c r="H96" s="16" t="s">
        <v>16</v>
      </c>
      <c r="I96" s="16" t="s">
        <v>4</v>
      </c>
      <c r="J96" s="17">
        <v>950032</v>
      </c>
      <c r="K96" s="17">
        <v>950267</v>
      </c>
      <c r="L96" s="17">
        <v>94870</v>
      </c>
      <c r="M96" s="17">
        <f>AVERAGE(Table1436281284296332[[#This Row],[Teste 1]:[Teste 3]])</f>
        <v>665056.33333333337</v>
      </c>
      <c r="N96" s="16"/>
      <c r="O96" s="16" t="s">
        <v>16</v>
      </c>
      <c r="P96" s="16" t="s">
        <v>4</v>
      </c>
      <c r="Q96" s="17">
        <v>949662</v>
      </c>
      <c r="R96" s="17">
        <v>950074</v>
      </c>
      <c r="S96" s="17">
        <v>950272</v>
      </c>
      <c r="T96" s="17">
        <f>AVERAGE(Table1436281284296308344[[#This Row],[Teste 1]:[Teste 3]])</f>
        <v>950002.66666666663</v>
      </c>
    </row>
    <row r="97" spans="1:20" x14ac:dyDescent="0.25">
      <c r="A97" s="16" t="s">
        <v>16</v>
      </c>
      <c r="B97" s="16" t="s">
        <v>5</v>
      </c>
      <c r="C97" s="17">
        <v>1467.4228332146999</v>
      </c>
      <c r="D97" s="17">
        <v>1116.94324028133</v>
      </c>
      <c r="E97" s="17">
        <v>949.41372601862895</v>
      </c>
      <c r="F97" s="17">
        <f>AVERAGE(Table1436281284320[[#This Row],[Teste 1]:[Teste 3]])</f>
        <v>1177.9265998382195</v>
      </c>
      <c r="G97" s="16"/>
      <c r="H97" s="16" t="s">
        <v>16</v>
      </c>
      <c r="I97" s="16" t="s">
        <v>5</v>
      </c>
      <c r="J97" s="17">
        <v>1731.6</v>
      </c>
      <c r="K97" s="17">
        <v>1317.99</v>
      </c>
      <c r="L97" s="17">
        <v>1120.31</v>
      </c>
      <c r="M97" s="17">
        <f>AVERAGE(Table1436281284296332[[#This Row],[Teste 1]:[Teste 3]])</f>
        <v>1389.9666666666665</v>
      </c>
      <c r="N97" s="16"/>
      <c r="O97" s="16" t="s">
        <v>16</v>
      </c>
      <c r="P97" s="16" t="s">
        <v>5</v>
      </c>
      <c r="Q97" s="17">
        <v>262.738632271271</v>
      </c>
      <c r="R97" s="17">
        <v>275.09322010706501</v>
      </c>
      <c r="S97" s="17">
        <v>279.86316444133797</v>
      </c>
      <c r="T97" s="17">
        <f>AVERAGE(Table1436281284296308344[[#This Row],[Teste 1]:[Teste 3]])</f>
        <v>272.56500560655797</v>
      </c>
    </row>
    <row r="98" spans="1:20" x14ac:dyDescent="0.25">
      <c r="A98" s="16" t="s">
        <v>16</v>
      </c>
      <c r="B98" s="16" t="s">
        <v>6</v>
      </c>
      <c r="C98" s="17">
        <v>75</v>
      </c>
      <c r="D98" s="17">
        <v>71</v>
      </c>
      <c r="E98" s="17">
        <v>80</v>
      </c>
      <c r="F98" s="17">
        <f>AVERAGE(Table1436281284320[[#This Row],[Teste 1]:[Teste 3]])</f>
        <v>75.333333333333329</v>
      </c>
      <c r="G98" s="16"/>
      <c r="H98" s="16" t="s">
        <v>16</v>
      </c>
      <c r="I98" s="16" t="s">
        <v>6</v>
      </c>
      <c r="J98" s="17">
        <v>86</v>
      </c>
      <c r="K98" s="17">
        <v>84</v>
      </c>
      <c r="L98" s="17">
        <v>94</v>
      </c>
      <c r="M98" s="17">
        <f>AVERAGE(Table1436281284296332[[#This Row],[Teste 1]:[Teste 3]])</f>
        <v>88</v>
      </c>
      <c r="N98" s="16"/>
      <c r="O98" s="16" t="s">
        <v>16</v>
      </c>
      <c r="P98" s="16" t="s">
        <v>6</v>
      </c>
      <c r="Q98" s="17">
        <v>105</v>
      </c>
      <c r="R98" s="17">
        <v>106</v>
      </c>
      <c r="S98" s="17">
        <v>103</v>
      </c>
      <c r="T98" s="17">
        <f>AVERAGE(Table1436281284296308344[[#This Row],[Teste 1]:[Teste 3]])</f>
        <v>104.66666666666667</v>
      </c>
    </row>
    <row r="99" spans="1:20" x14ac:dyDescent="0.25">
      <c r="A99" s="16" t="s">
        <v>16</v>
      </c>
      <c r="B99" s="16" t="s">
        <v>7</v>
      </c>
      <c r="C99" s="17">
        <v>3737599</v>
      </c>
      <c r="D99" s="17">
        <v>2297855</v>
      </c>
      <c r="E99" s="17">
        <v>2117631</v>
      </c>
      <c r="F99" s="17">
        <f>AVERAGE(Table1436281284320[[#This Row],[Teste 1]:[Teste 3]])</f>
        <v>2717695</v>
      </c>
      <c r="G99" s="16"/>
      <c r="H99" s="16" t="s">
        <v>16</v>
      </c>
      <c r="I99" s="16" t="s">
        <v>7</v>
      </c>
      <c r="J99" s="17">
        <v>4410367</v>
      </c>
      <c r="K99" s="17">
        <v>2711469</v>
      </c>
      <c r="L99" s="17">
        <v>2498805</v>
      </c>
      <c r="M99" s="17">
        <f>AVERAGE(Table1436281284296332[[#This Row],[Teste 1]:[Teste 3]])</f>
        <v>3206880.3333333335</v>
      </c>
      <c r="N99" s="16"/>
      <c r="O99" s="16" t="s">
        <v>16</v>
      </c>
      <c r="P99" s="16" t="s">
        <v>7</v>
      </c>
      <c r="Q99" s="17">
        <v>542207</v>
      </c>
      <c r="R99" s="17">
        <v>308735</v>
      </c>
      <c r="S99" s="17">
        <v>345343</v>
      </c>
      <c r="T99" s="17">
        <f>AVERAGE(Table1436281284296308344[[#This Row],[Teste 1]:[Teste 3]])</f>
        <v>398761.66666666669</v>
      </c>
    </row>
    <row r="100" spans="1:20" x14ac:dyDescent="0.25">
      <c r="A100" s="16" t="s">
        <v>16</v>
      </c>
      <c r="B100" s="16" t="s">
        <v>8</v>
      </c>
      <c r="C100" s="17">
        <v>392</v>
      </c>
      <c r="D100" s="17">
        <v>346</v>
      </c>
      <c r="E100" s="17">
        <v>332</v>
      </c>
      <c r="F100" s="17">
        <f>AVERAGE(Table1436281284320[[#This Row],[Teste 1]:[Teste 3]])</f>
        <v>356.66666666666669</v>
      </c>
      <c r="G100" s="16"/>
      <c r="H100" s="16" t="s">
        <v>16</v>
      </c>
      <c r="I100" s="16" t="s">
        <v>8</v>
      </c>
      <c r="J100" s="17">
        <v>463</v>
      </c>
      <c r="K100" s="17">
        <v>408</v>
      </c>
      <c r="L100" s="17">
        <v>392</v>
      </c>
      <c r="M100" s="17">
        <f>AVERAGE(Table1436281284296332[[#This Row],[Teste 1]:[Teste 3]])</f>
        <v>421</v>
      </c>
      <c r="N100" s="16"/>
      <c r="O100" s="16" t="s">
        <v>16</v>
      </c>
      <c r="P100" s="16" t="s">
        <v>8</v>
      </c>
      <c r="Q100" s="17">
        <v>615</v>
      </c>
      <c r="R100" s="17">
        <v>635</v>
      </c>
      <c r="S100" s="17">
        <v>642</v>
      </c>
      <c r="T100" s="17">
        <f>AVERAGE(Table1436281284296308344[[#This Row],[Teste 1]:[Teste 3]])</f>
        <v>630.66666666666663</v>
      </c>
    </row>
    <row r="101" spans="1:20" x14ac:dyDescent="0.25">
      <c r="A101" s="16" t="s">
        <v>16</v>
      </c>
      <c r="B101" s="16" t="s">
        <v>9</v>
      </c>
      <c r="C101" s="17">
        <v>39807</v>
      </c>
      <c r="D101" s="17">
        <v>36703</v>
      </c>
      <c r="E101" s="17">
        <v>39967</v>
      </c>
      <c r="F101" s="17">
        <f>AVERAGE(Table1436281284320[[#This Row],[Teste 1]:[Teste 3]])</f>
        <v>38825.666666666664</v>
      </c>
      <c r="G101" s="16"/>
      <c r="H101" s="16" t="s">
        <v>16</v>
      </c>
      <c r="I101" s="16" t="s">
        <v>9</v>
      </c>
      <c r="J101" s="17">
        <v>46972</v>
      </c>
      <c r="K101" s="17">
        <v>43310</v>
      </c>
      <c r="L101" s="17">
        <v>47161</v>
      </c>
      <c r="M101" s="17">
        <f>AVERAGE(Table1436281284296332[[#This Row],[Teste 1]:[Teste 3]])</f>
        <v>45814.333333333336</v>
      </c>
      <c r="N101" s="16"/>
      <c r="O101" s="16" t="s">
        <v>16</v>
      </c>
      <c r="P101" s="16" t="s">
        <v>9</v>
      </c>
      <c r="Q101" s="17">
        <v>790</v>
      </c>
      <c r="R101" s="17">
        <v>816</v>
      </c>
      <c r="S101" s="17">
        <v>828</v>
      </c>
      <c r="T101" s="17">
        <f>AVERAGE(Table1436281284296308344[[#This Row],[Teste 1]:[Teste 3]])</f>
        <v>811.33333333333337</v>
      </c>
    </row>
    <row r="102" spans="1:20" x14ac:dyDescent="0.25">
      <c r="A102" s="16" t="s">
        <v>16</v>
      </c>
      <c r="B102" s="16" t="s">
        <v>11</v>
      </c>
      <c r="C102" s="17">
        <v>949748</v>
      </c>
      <c r="D102" s="17">
        <v>949899</v>
      </c>
      <c r="E102" s="17">
        <v>949904</v>
      </c>
      <c r="F102" s="17">
        <f>AVERAGE(Table1436281284320[[#This Row],[Teste 1]:[Teste 3]])</f>
        <v>949850.33333333337</v>
      </c>
      <c r="G102" s="16"/>
      <c r="H102" s="16" t="s">
        <v>16</v>
      </c>
      <c r="I102" s="16" t="s">
        <v>11</v>
      </c>
      <c r="J102" s="17">
        <v>950032</v>
      </c>
      <c r="K102" s="17">
        <v>950267</v>
      </c>
      <c r="L102" s="17">
        <v>94870</v>
      </c>
      <c r="M102" s="17">
        <f>AVERAGE(Table1436281284296332[[#This Row],[Teste 1]:[Teste 3]])</f>
        <v>665056.33333333337</v>
      </c>
      <c r="N102" s="16"/>
      <c r="O102" s="16" t="s">
        <v>16</v>
      </c>
      <c r="P102" s="16" t="s">
        <v>11</v>
      </c>
      <c r="Q102" s="17">
        <v>949662</v>
      </c>
      <c r="R102" s="17">
        <v>950074</v>
      </c>
      <c r="S102" s="17">
        <v>950272</v>
      </c>
      <c r="T102" s="17">
        <f>AVERAGE(Table1436281284296308344[[#This Row],[Teste 1]:[Teste 3]])</f>
        <v>950002.66666666663</v>
      </c>
    </row>
    <row r="103" spans="1:20" x14ac:dyDescent="0.25">
      <c r="A103" s="16" t="s">
        <v>3</v>
      </c>
      <c r="B103" s="16" t="s">
        <v>4</v>
      </c>
      <c r="C103" s="17">
        <v>1</v>
      </c>
      <c r="D103" s="17">
        <v>1</v>
      </c>
      <c r="E103" s="17">
        <v>1</v>
      </c>
      <c r="F103" s="17">
        <f>AVERAGE(Table1436281284320[[#This Row],[Teste 1]:[Teste 3]])</f>
        <v>1</v>
      </c>
      <c r="G103" s="16"/>
      <c r="H103" s="16" t="s">
        <v>3</v>
      </c>
      <c r="I103" s="16" t="s">
        <v>4</v>
      </c>
      <c r="J103" s="17">
        <v>1</v>
      </c>
      <c r="K103" s="17">
        <v>1</v>
      </c>
      <c r="L103" s="17">
        <v>1</v>
      </c>
      <c r="M103" s="17">
        <f>AVERAGE(Table1436281284296332[[#This Row],[Teste 1]:[Teste 3]])</f>
        <v>1</v>
      </c>
      <c r="N103" s="16"/>
      <c r="O103" s="16" t="s">
        <v>3</v>
      </c>
      <c r="P103" s="16" t="s">
        <v>4</v>
      </c>
      <c r="Q103" s="17">
        <v>1</v>
      </c>
      <c r="R103" s="17">
        <v>1</v>
      </c>
      <c r="S103" s="17">
        <v>1</v>
      </c>
      <c r="T103" s="17">
        <f>AVERAGE(Table1436281284296308344[[#This Row],[Teste 1]:[Teste 3]])</f>
        <v>1</v>
      </c>
    </row>
    <row r="104" spans="1:20" x14ac:dyDescent="0.25">
      <c r="A104" s="16" t="s">
        <v>3</v>
      </c>
      <c r="B104" s="16" t="s">
        <v>5</v>
      </c>
      <c r="C104" s="17">
        <v>2</v>
      </c>
      <c r="D104" s="17">
        <v>2</v>
      </c>
      <c r="E104" s="17">
        <v>2</v>
      </c>
      <c r="F104" s="17">
        <f>AVERAGE(Table1436281284320[[#This Row],[Teste 1]:[Teste 3]])</f>
        <v>2</v>
      </c>
      <c r="G104" s="16"/>
      <c r="H104" s="16" t="s">
        <v>3</v>
      </c>
      <c r="I104" s="16" t="s">
        <v>5</v>
      </c>
      <c r="J104" s="17">
        <v>4</v>
      </c>
      <c r="K104" s="17">
        <v>4</v>
      </c>
      <c r="L104" s="17">
        <v>4</v>
      </c>
      <c r="M104" s="17">
        <f>AVERAGE(Table1436281284296332[[#This Row],[Teste 1]:[Teste 3]])</f>
        <v>4</v>
      </c>
      <c r="N104" s="16"/>
      <c r="O104" s="16" t="s">
        <v>3</v>
      </c>
      <c r="P104" s="16" t="s">
        <v>5</v>
      </c>
      <c r="Q104" s="17">
        <v>1837</v>
      </c>
      <c r="R104" s="17">
        <v>2205</v>
      </c>
      <c r="S104" s="17">
        <v>2147</v>
      </c>
      <c r="T104" s="17">
        <f>AVERAGE(Table1436281284296308344[[#This Row],[Teste 1]:[Teste 3]])</f>
        <v>2063</v>
      </c>
    </row>
    <row r="105" spans="1:20" x14ac:dyDescent="0.25">
      <c r="A105" s="16" t="s">
        <v>3</v>
      </c>
      <c r="B105" s="16" t="s">
        <v>6</v>
      </c>
      <c r="C105" s="17">
        <v>2</v>
      </c>
      <c r="D105" s="17">
        <v>2</v>
      </c>
      <c r="E105" s="17">
        <v>2</v>
      </c>
      <c r="F105" s="17">
        <f>AVERAGE(Table1436281284320[[#This Row],[Teste 1]:[Teste 3]])</f>
        <v>2</v>
      </c>
      <c r="G105" s="16"/>
      <c r="H105" s="16" t="s">
        <v>3</v>
      </c>
      <c r="I105" s="16" t="s">
        <v>6</v>
      </c>
      <c r="J105" s="17">
        <v>4</v>
      </c>
      <c r="K105" s="17">
        <v>4</v>
      </c>
      <c r="L105" s="17">
        <v>4</v>
      </c>
      <c r="M105" s="17">
        <f>AVERAGE(Table1436281284296332[[#This Row],[Teste 1]:[Teste 3]])</f>
        <v>4</v>
      </c>
      <c r="N105" s="16"/>
      <c r="O105" s="16" t="s">
        <v>3</v>
      </c>
      <c r="P105" s="16" t="s">
        <v>6</v>
      </c>
      <c r="Q105" s="17">
        <v>1837</v>
      </c>
      <c r="R105" s="17">
        <v>2205</v>
      </c>
      <c r="S105" s="17">
        <v>2147</v>
      </c>
      <c r="T105" s="17">
        <f>AVERAGE(Table1436281284296308344[[#This Row],[Teste 1]:[Teste 3]])</f>
        <v>2063</v>
      </c>
    </row>
    <row r="106" spans="1:20" x14ac:dyDescent="0.25">
      <c r="A106" s="16" t="s">
        <v>3</v>
      </c>
      <c r="B106" s="16" t="s">
        <v>7</v>
      </c>
      <c r="C106" s="17">
        <v>2</v>
      </c>
      <c r="D106" s="17">
        <v>2</v>
      </c>
      <c r="E106" s="17">
        <v>2</v>
      </c>
      <c r="F106" s="17">
        <f>AVERAGE(Table1436281284320[[#This Row],[Teste 1]:[Teste 3]])</f>
        <v>2</v>
      </c>
      <c r="G106" s="16"/>
      <c r="H106" s="16" t="s">
        <v>3</v>
      </c>
      <c r="I106" s="16" t="s">
        <v>7</v>
      </c>
      <c r="J106" s="17">
        <v>4</v>
      </c>
      <c r="K106" s="17">
        <v>4</v>
      </c>
      <c r="L106" s="17">
        <v>4</v>
      </c>
      <c r="M106" s="17">
        <f>AVERAGE(Table1436281284296332[[#This Row],[Teste 1]:[Teste 3]])</f>
        <v>4</v>
      </c>
      <c r="N106" s="16"/>
      <c r="O106" s="16" t="s">
        <v>3</v>
      </c>
      <c r="P106" s="16" t="s">
        <v>7</v>
      </c>
      <c r="Q106" s="17">
        <v>1837</v>
      </c>
      <c r="R106" s="17">
        <v>2205</v>
      </c>
      <c r="S106" s="17">
        <v>2147</v>
      </c>
      <c r="T106" s="17">
        <f>AVERAGE(Table1436281284296308344[[#This Row],[Teste 1]:[Teste 3]])</f>
        <v>2063</v>
      </c>
    </row>
    <row r="107" spans="1:20" x14ac:dyDescent="0.25">
      <c r="A107" s="16" t="s">
        <v>3</v>
      </c>
      <c r="B107" s="16" t="s">
        <v>8</v>
      </c>
      <c r="C107" s="17">
        <v>2</v>
      </c>
      <c r="D107" s="17">
        <v>2</v>
      </c>
      <c r="E107" s="17">
        <v>2</v>
      </c>
      <c r="F107" s="17">
        <f>AVERAGE(Table1436281284320[[#This Row],[Teste 1]:[Teste 3]])</f>
        <v>2</v>
      </c>
      <c r="G107" s="16"/>
      <c r="H107" s="16" t="s">
        <v>3</v>
      </c>
      <c r="I107" s="16" t="s">
        <v>8</v>
      </c>
      <c r="J107" s="17">
        <v>4</v>
      </c>
      <c r="K107" s="17">
        <v>4</v>
      </c>
      <c r="L107" s="17">
        <v>4</v>
      </c>
      <c r="M107" s="17">
        <f>AVERAGE(Table1436281284296332[[#This Row],[Teste 1]:[Teste 3]])</f>
        <v>4</v>
      </c>
      <c r="N107" s="16"/>
      <c r="O107" s="16" t="s">
        <v>3</v>
      </c>
      <c r="P107" s="16" t="s">
        <v>8</v>
      </c>
      <c r="Q107" s="17">
        <v>1837</v>
      </c>
      <c r="R107" s="17">
        <v>2205</v>
      </c>
      <c r="S107" s="17">
        <v>2147</v>
      </c>
      <c r="T107" s="17">
        <f>AVERAGE(Table1436281284296308344[[#This Row],[Teste 1]:[Teste 3]])</f>
        <v>2063</v>
      </c>
    </row>
    <row r="108" spans="1:20" x14ac:dyDescent="0.25">
      <c r="A108" s="16" t="s">
        <v>3</v>
      </c>
      <c r="B108" s="16" t="s">
        <v>9</v>
      </c>
      <c r="C108" s="17">
        <v>2</v>
      </c>
      <c r="D108" s="17">
        <v>2</v>
      </c>
      <c r="E108" s="17">
        <v>2</v>
      </c>
      <c r="F108" s="17">
        <f>AVERAGE(Table1436281284320[[#This Row],[Teste 1]:[Teste 3]])</f>
        <v>2</v>
      </c>
      <c r="G108" s="16"/>
      <c r="H108" s="16" t="s">
        <v>3</v>
      </c>
      <c r="I108" s="16" t="s">
        <v>9</v>
      </c>
      <c r="J108" s="17">
        <v>4</v>
      </c>
      <c r="K108" s="17">
        <v>4</v>
      </c>
      <c r="L108" s="17">
        <v>4</v>
      </c>
      <c r="M108" s="17">
        <f>AVERAGE(Table1436281284296332[[#This Row],[Teste 1]:[Teste 3]])</f>
        <v>4</v>
      </c>
      <c r="N108" s="16"/>
      <c r="O108" s="16" t="s">
        <v>3</v>
      </c>
      <c r="P108" s="16" t="s">
        <v>9</v>
      </c>
      <c r="Q108" s="17">
        <v>1837</v>
      </c>
      <c r="R108" s="17">
        <v>2205</v>
      </c>
      <c r="S108" s="17">
        <v>2147</v>
      </c>
      <c r="T108" s="17">
        <f>AVERAGE(Table1436281284296308344[[#This Row],[Teste 1]:[Teste 3]])</f>
        <v>2063</v>
      </c>
    </row>
    <row r="109" spans="1:20" x14ac:dyDescent="0.25">
      <c r="A109" s="16" t="s">
        <v>17</v>
      </c>
      <c r="B109" s="16" t="s">
        <v>4</v>
      </c>
      <c r="C109" s="17">
        <v>50252</v>
      </c>
      <c r="D109" s="17">
        <v>50101</v>
      </c>
      <c r="E109" s="17">
        <v>50096</v>
      </c>
      <c r="F109" s="17">
        <f>AVERAGE(Table1436281284320[[#This Row],[Teste 1]:[Teste 3]])</f>
        <v>50149.666666666664</v>
      </c>
      <c r="G109" s="16"/>
      <c r="H109" s="16" t="s">
        <v>17</v>
      </c>
      <c r="I109" s="16" t="s">
        <v>4</v>
      </c>
      <c r="J109" s="17">
        <v>49968</v>
      </c>
      <c r="K109" s="17">
        <v>49733</v>
      </c>
      <c r="L109" s="17">
        <v>5130</v>
      </c>
      <c r="M109" s="17">
        <f>AVERAGE(Table1436281284296332[[#This Row],[Teste 1]:[Teste 3]])</f>
        <v>34943.666666666664</v>
      </c>
      <c r="N109" s="16"/>
      <c r="O109" s="16" t="s">
        <v>17</v>
      </c>
      <c r="P109" s="16" t="s">
        <v>4</v>
      </c>
      <c r="Q109" s="17">
        <v>50338</v>
      </c>
      <c r="R109" s="17">
        <v>49926</v>
      </c>
      <c r="S109" s="17">
        <v>49728</v>
      </c>
      <c r="T109" s="17">
        <f>AVERAGE(Table1436281284296308344[[#This Row],[Teste 1]:[Teste 3]])</f>
        <v>49997.333333333336</v>
      </c>
    </row>
    <row r="110" spans="1:20" x14ac:dyDescent="0.25">
      <c r="A110" s="16" t="s">
        <v>17</v>
      </c>
      <c r="B110" s="16" t="s">
        <v>5</v>
      </c>
      <c r="C110" s="17">
        <v>497.77604871447897</v>
      </c>
      <c r="D110" s="17">
        <v>360.80309774256</v>
      </c>
      <c r="E110" s="17">
        <v>369.177219738102</v>
      </c>
      <c r="F110" s="17">
        <f>AVERAGE(Table1436281284320[[#This Row],[Teste 1]:[Teste 3]])</f>
        <v>409.25212206504699</v>
      </c>
      <c r="G110" s="16"/>
      <c r="H110" s="16" t="s">
        <v>17</v>
      </c>
      <c r="I110" s="16" t="s">
        <v>5</v>
      </c>
      <c r="J110" s="17">
        <v>587.38</v>
      </c>
      <c r="K110" s="17">
        <v>425.75</v>
      </c>
      <c r="L110" s="17">
        <v>435.63</v>
      </c>
      <c r="M110" s="17">
        <f>AVERAGE(Table1436281284296332[[#This Row],[Teste 1]:[Teste 3]])</f>
        <v>482.92</v>
      </c>
      <c r="N110" s="16"/>
      <c r="O110" s="16" t="s">
        <v>17</v>
      </c>
      <c r="P110" s="16" t="s">
        <v>5</v>
      </c>
      <c r="Q110" s="17">
        <v>429.00691326631897</v>
      </c>
      <c r="R110" s="17">
        <v>463.98361575131099</v>
      </c>
      <c r="S110" s="17">
        <v>460.31036840411798</v>
      </c>
      <c r="T110" s="17">
        <f>AVERAGE(Table1436281284296308344[[#This Row],[Teste 1]:[Teste 3]])</f>
        <v>451.10029914058265</v>
      </c>
    </row>
    <row r="111" spans="1:20" x14ac:dyDescent="0.25">
      <c r="A111" s="16" t="s">
        <v>17</v>
      </c>
      <c r="B111" s="16" t="s">
        <v>6</v>
      </c>
      <c r="C111" s="17">
        <v>107</v>
      </c>
      <c r="D111" s="17">
        <v>121</v>
      </c>
      <c r="E111" s="17">
        <v>129</v>
      </c>
      <c r="F111" s="17">
        <f>AVERAGE(Table1436281284320[[#This Row],[Teste 1]:[Teste 3]])</f>
        <v>119</v>
      </c>
      <c r="G111" s="16"/>
      <c r="H111" s="16" t="s">
        <v>17</v>
      </c>
      <c r="I111" s="16" t="s">
        <v>6</v>
      </c>
      <c r="J111" s="17">
        <v>126</v>
      </c>
      <c r="K111" s="17">
        <v>143</v>
      </c>
      <c r="L111" s="17">
        <v>152</v>
      </c>
      <c r="M111" s="17">
        <f>AVERAGE(Table1436281284296332[[#This Row],[Teste 1]:[Teste 3]])</f>
        <v>140.33333333333334</v>
      </c>
      <c r="N111" s="16"/>
      <c r="O111" s="16" t="s">
        <v>17</v>
      </c>
      <c r="P111" s="16" t="s">
        <v>6</v>
      </c>
      <c r="Q111" s="17">
        <v>197</v>
      </c>
      <c r="R111" s="17">
        <v>205</v>
      </c>
      <c r="S111" s="17">
        <v>197</v>
      </c>
      <c r="T111" s="17">
        <f>AVERAGE(Table1436281284296308344[[#This Row],[Teste 1]:[Teste 3]])</f>
        <v>199.66666666666666</v>
      </c>
    </row>
    <row r="112" spans="1:20" x14ac:dyDescent="0.25">
      <c r="A112" s="16" t="s">
        <v>17</v>
      </c>
      <c r="B112" s="16" t="s">
        <v>7</v>
      </c>
      <c r="C112" s="17">
        <v>1785855</v>
      </c>
      <c r="D112" s="17">
        <v>33503</v>
      </c>
      <c r="E112" s="17">
        <v>32063</v>
      </c>
      <c r="F112" s="17">
        <f>AVERAGE(Table1436281284320[[#This Row],[Teste 1]:[Teste 3]])</f>
        <v>617140.33333333337</v>
      </c>
      <c r="G112" s="16"/>
      <c r="H112" s="16" t="s">
        <v>17</v>
      </c>
      <c r="I112" s="16" t="s">
        <v>7</v>
      </c>
      <c r="J112" s="17">
        <v>37309</v>
      </c>
      <c r="K112" s="17">
        <v>39534</v>
      </c>
      <c r="L112" s="17">
        <v>37834</v>
      </c>
      <c r="M112" s="17">
        <f>AVERAGE(Table1436281284296332[[#This Row],[Teste 1]:[Teste 3]])</f>
        <v>38225.666666666664</v>
      </c>
      <c r="N112" s="16"/>
      <c r="O112" s="16" t="s">
        <v>17</v>
      </c>
      <c r="P112" s="16" t="s">
        <v>7</v>
      </c>
      <c r="Q112" s="17">
        <v>10335</v>
      </c>
      <c r="R112" s="17">
        <v>14751</v>
      </c>
      <c r="S112" s="17">
        <v>26655</v>
      </c>
      <c r="T112" s="17">
        <f>AVERAGE(Table1436281284296308344[[#This Row],[Teste 1]:[Teste 3]])</f>
        <v>17247</v>
      </c>
    </row>
    <row r="113" spans="1:20" x14ac:dyDescent="0.25">
      <c r="A113" s="16" t="s">
        <v>17</v>
      </c>
      <c r="B113" s="16" t="s">
        <v>8</v>
      </c>
      <c r="C113" s="17">
        <v>541</v>
      </c>
      <c r="D113" s="17">
        <v>487</v>
      </c>
      <c r="E113" s="17">
        <v>516</v>
      </c>
      <c r="F113" s="17">
        <f>AVERAGE(Table1436281284320[[#This Row],[Teste 1]:[Teste 3]])</f>
        <v>514.66666666666663</v>
      </c>
      <c r="G113" s="16"/>
      <c r="H113" s="16" t="s">
        <v>17</v>
      </c>
      <c r="I113" s="16" t="s">
        <v>8</v>
      </c>
      <c r="J113" s="17">
        <v>638</v>
      </c>
      <c r="K113" s="17">
        <v>575</v>
      </c>
      <c r="L113" s="17">
        <v>609</v>
      </c>
      <c r="M113" s="17">
        <f>AVERAGE(Table1436281284296332[[#This Row],[Teste 1]:[Teste 3]])</f>
        <v>607.33333333333337</v>
      </c>
      <c r="N113" s="16"/>
      <c r="O113" s="16" t="s">
        <v>17</v>
      </c>
      <c r="P113" s="16" t="s">
        <v>8</v>
      </c>
      <c r="Q113" s="17">
        <v>814</v>
      </c>
      <c r="R113" s="17">
        <v>857</v>
      </c>
      <c r="S113" s="17">
        <v>856</v>
      </c>
      <c r="T113" s="17">
        <f>AVERAGE(Table1436281284296308344[[#This Row],[Teste 1]:[Teste 3]])</f>
        <v>842.33333333333337</v>
      </c>
    </row>
    <row r="114" spans="1:20" x14ac:dyDescent="0.25">
      <c r="A114" s="16" t="s">
        <v>17</v>
      </c>
      <c r="B114" s="16" t="s">
        <v>9</v>
      </c>
      <c r="C114" s="17">
        <v>1560</v>
      </c>
      <c r="D114" s="17">
        <v>929</v>
      </c>
      <c r="E114" s="17">
        <v>1016</v>
      </c>
      <c r="F114" s="17">
        <f>AVERAGE(Table1436281284320[[#This Row],[Teste 1]:[Teste 3]])</f>
        <v>1168.3333333333333</v>
      </c>
      <c r="G114" s="16"/>
      <c r="H114" s="16" t="s">
        <v>17</v>
      </c>
      <c r="I114" s="16" t="s">
        <v>9</v>
      </c>
      <c r="J114" s="17">
        <v>1841</v>
      </c>
      <c r="K114" s="17">
        <v>1096</v>
      </c>
      <c r="L114" s="17">
        <v>1199</v>
      </c>
      <c r="M114" s="17">
        <f>AVERAGE(Table1436281284296332[[#This Row],[Teste 1]:[Teste 3]])</f>
        <v>1378.6666666666667</v>
      </c>
      <c r="N114" s="16"/>
      <c r="O114" s="16" t="s">
        <v>17</v>
      </c>
      <c r="P114" s="16" t="s">
        <v>9</v>
      </c>
      <c r="Q114" s="17">
        <v>1015</v>
      </c>
      <c r="R114" s="17">
        <v>1071</v>
      </c>
      <c r="S114" s="17">
        <v>1059</v>
      </c>
      <c r="T114" s="17">
        <f>AVERAGE(Table1436281284296308344[[#This Row],[Teste 1]:[Teste 3]])</f>
        <v>1048.3333333333333</v>
      </c>
    </row>
    <row r="115" spans="1:20" x14ac:dyDescent="0.25">
      <c r="A115" s="16" t="s">
        <v>17</v>
      </c>
      <c r="B115" s="16" t="s">
        <v>11</v>
      </c>
      <c r="C115" s="17">
        <v>50252</v>
      </c>
      <c r="D115" s="17">
        <v>50101</v>
      </c>
      <c r="E115" s="17">
        <v>50096</v>
      </c>
      <c r="F115" s="17">
        <f>AVERAGE(Table1436281284320[[#This Row],[Teste 1]:[Teste 3]])</f>
        <v>50149.666666666664</v>
      </c>
      <c r="G115" s="16"/>
      <c r="H115" s="16" t="s">
        <v>17</v>
      </c>
      <c r="I115" s="16" t="s">
        <v>11</v>
      </c>
      <c r="J115" s="17">
        <v>49968</v>
      </c>
      <c r="K115" s="17">
        <v>49733</v>
      </c>
      <c r="L115" s="17">
        <v>5130</v>
      </c>
      <c r="M115" s="17">
        <f>AVERAGE(Table1436281284296332[[#This Row],[Teste 1]:[Teste 3]])</f>
        <v>34943.666666666664</v>
      </c>
      <c r="N115" s="16"/>
      <c r="O115" s="16" t="s">
        <v>17</v>
      </c>
      <c r="P115" s="16" t="s">
        <v>11</v>
      </c>
      <c r="Q115" s="17">
        <v>50338</v>
      </c>
      <c r="R115" s="17">
        <v>49926</v>
      </c>
      <c r="S115" s="17">
        <v>49728</v>
      </c>
      <c r="T115" s="17">
        <f>AVERAGE(Table1436281284296308344[[#This Row],[Teste 1]:[Teste 3]])</f>
        <v>49997.333333333336</v>
      </c>
    </row>
    <row r="116" spans="1:20" x14ac:dyDescent="0.25">
      <c r="A116" s="16"/>
      <c r="B116" s="16"/>
      <c r="C116" s="17"/>
      <c r="D116" s="17"/>
      <c r="E116" s="17"/>
      <c r="F116" s="17"/>
      <c r="G116" s="16"/>
      <c r="H116" s="16"/>
      <c r="I116" s="16"/>
      <c r="J116" s="17"/>
      <c r="K116" s="17"/>
      <c r="L116" s="17"/>
      <c r="M116" s="17"/>
      <c r="N116" s="16"/>
      <c r="O116" s="16"/>
      <c r="P116" s="16"/>
      <c r="Q116" s="17"/>
      <c r="R116" s="17"/>
      <c r="S116" s="17"/>
      <c r="T116" s="17"/>
    </row>
    <row r="117" spans="1:20" x14ac:dyDescent="0.25">
      <c r="A117" s="16"/>
      <c r="B117" s="16"/>
      <c r="C117" s="17"/>
      <c r="D117" s="17"/>
      <c r="E117" s="17"/>
      <c r="F117" s="17"/>
      <c r="G117" s="16"/>
      <c r="H117" s="16"/>
      <c r="I117" s="16"/>
      <c r="J117" s="17"/>
      <c r="K117" s="17"/>
      <c r="L117" s="17"/>
      <c r="M117" s="17"/>
      <c r="N117" s="16"/>
      <c r="O117" s="16"/>
      <c r="P117" s="16"/>
      <c r="Q117" s="17"/>
      <c r="R117" s="17"/>
      <c r="S117" s="17"/>
      <c r="T117" s="17"/>
    </row>
    <row r="118" spans="1:20" x14ac:dyDescent="0.25">
      <c r="A118" s="16"/>
      <c r="B118" s="16"/>
      <c r="C118" s="17"/>
      <c r="D118" s="17"/>
      <c r="E118" s="17"/>
      <c r="F118" s="17"/>
      <c r="G118" s="16"/>
      <c r="H118" s="16"/>
      <c r="I118" s="16"/>
      <c r="J118" s="17"/>
      <c r="K118" s="17"/>
      <c r="L118" s="17"/>
      <c r="M118" s="17"/>
      <c r="N118" s="16"/>
      <c r="O118" s="16"/>
      <c r="P118" s="16"/>
      <c r="Q118" s="17"/>
      <c r="R118" s="17"/>
      <c r="S118" s="17"/>
      <c r="T118" s="17"/>
    </row>
    <row r="119" spans="1:20" x14ac:dyDescent="0.25">
      <c r="Q119" s="16"/>
    </row>
    <row r="120" spans="1:20" ht="15.75" x14ac:dyDescent="0.25">
      <c r="A120" s="2" t="s">
        <v>74</v>
      </c>
      <c r="H120" s="2" t="s">
        <v>74</v>
      </c>
      <c r="O120" s="2" t="s">
        <v>74</v>
      </c>
      <c r="Q120" s="16"/>
    </row>
    <row r="121" spans="1:20" x14ac:dyDescent="0.25">
      <c r="A121" s="16" t="s">
        <v>59</v>
      </c>
      <c r="B121" s="16" t="s">
        <v>66</v>
      </c>
      <c r="C121" s="16" t="s">
        <v>82</v>
      </c>
      <c r="D121" s="16" t="s">
        <v>64</v>
      </c>
      <c r="E121" s="16" t="s">
        <v>63</v>
      </c>
      <c r="F121" s="16" t="s">
        <v>18</v>
      </c>
      <c r="G121" s="16"/>
      <c r="H121" s="16" t="s">
        <v>12</v>
      </c>
      <c r="I121" s="16" t="s">
        <v>66</v>
      </c>
      <c r="J121" s="16" t="s">
        <v>82</v>
      </c>
      <c r="K121" s="16" t="s">
        <v>64</v>
      </c>
      <c r="L121" s="16" t="s">
        <v>63</v>
      </c>
      <c r="M121" s="16" t="s">
        <v>18</v>
      </c>
      <c r="N121" s="16"/>
      <c r="O121" s="16" t="s">
        <v>13</v>
      </c>
      <c r="P121" s="16" t="s">
        <v>66</v>
      </c>
      <c r="Q121" s="16" t="s">
        <v>82</v>
      </c>
      <c r="R121" s="16" t="s">
        <v>64</v>
      </c>
      <c r="S121" s="16" t="s">
        <v>63</v>
      </c>
      <c r="T121" s="16" t="s">
        <v>18</v>
      </c>
    </row>
    <row r="122" spans="1:20" x14ac:dyDescent="0.25">
      <c r="A122" s="16" t="s">
        <v>0</v>
      </c>
      <c r="B122" s="16" t="s">
        <v>1</v>
      </c>
      <c r="C122" s="17">
        <v>628296</v>
      </c>
      <c r="D122" s="17">
        <v>651794</v>
      </c>
      <c r="E122" s="17">
        <v>781836</v>
      </c>
      <c r="F122" s="17">
        <f>AVERAGE(Table1436281282285321[[#This Row],[Teste 1]:[Teste 3]])</f>
        <v>687308.66666666663</v>
      </c>
      <c r="G122" s="16"/>
      <c r="H122" s="16" t="s">
        <v>0</v>
      </c>
      <c r="I122" s="16" t="s">
        <v>1</v>
      </c>
      <c r="J122" s="17">
        <v>722540</v>
      </c>
      <c r="K122" s="17">
        <v>749563</v>
      </c>
      <c r="L122" s="17">
        <v>899111</v>
      </c>
      <c r="M122" s="17">
        <f>AVERAGE(Table1436281282285297333[[#This Row],[Teste 1]:[Teste 3]])</f>
        <v>790404.66666666663</v>
      </c>
      <c r="N122" s="16"/>
      <c r="O122" s="16" t="s">
        <v>0</v>
      </c>
      <c r="P122" s="16" t="s">
        <v>1</v>
      </c>
      <c r="Q122" s="17">
        <v>126319</v>
      </c>
      <c r="R122" s="17">
        <v>124268</v>
      </c>
      <c r="S122" s="17">
        <v>116515</v>
      </c>
      <c r="T122" s="17">
        <f>AVERAGE(Table1436281282285297309345[[#This Row],[Teste 1]:[Teste 3]])</f>
        <v>122367.33333333333</v>
      </c>
    </row>
    <row r="123" spans="1:20" x14ac:dyDescent="0.25">
      <c r="A123" s="16" t="s">
        <v>0</v>
      </c>
      <c r="B123" s="16" t="s">
        <v>2</v>
      </c>
      <c r="C123" s="17">
        <v>1591.6065039408099</v>
      </c>
      <c r="D123" s="17">
        <v>1534.2270717435199</v>
      </c>
      <c r="E123" s="17">
        <v>1133.99770478864</v>
      </c>
      <c r="F123" s="17">
        <f>AVERAGE(Table1436281282285321[[#This Row],[Teste 1]:[Teste 3]])</f>
        <v>1419.9437601576567</v>
      </c>
      <c r="G123" s="16"/>
      <c r="H123" s="16" t="s">
        <v>0</v>
      </c>
      <c r="I123" s="16" t="s">
        <v>2</v>
      </c>
      <c r="J123" s="17">
        <v>1384.01</v>
      </c>
      <c r="K123" s="17">
        <v>1334.11</v>
      </c>
      <c r="L123" s="17">
        <v>986.85</v>
      </c>
      <c r="M123" s="17">
        <f>AVERAGE(Table1436281282285297333[[#This Row],[Teste 1]:[Teste 3]])</f>
        <v>1234.99</v>
      </c>
      <c r="N123" s="16"/>
      <c r="O123" s="16" t="s">
        <v>0</v>
      </c>
      <c r="P123" s="16" t="s">
        <v>2</v>
      </c>
      <c r="Q123" s="17">
        <v>7916.4654565029796</v>
      </c>
      <c r="R123" s="17">
        <v>8047.1239578974401</v>
      </c>
      <c r="S123" s="17">
        <v>8582.5859331416505</v>
      </c>
      <c r="T123" s="17">
        <f>AVERAGE(Table1436281282285297309345[[#This Row],[Teste 1]:[Teste 3]])</f>
        <v>8182.0584491806903</v>
      </c>
    </row>
    <row r="124" spans="1:20" x14ac:dyDescent="0.25">
      <c r="A124" s="16" t="s">
        <v>16</v>
      </c>
      <c r="B124" s="16" t="s">
        <v>4</v>
      </c>
      <c r="C124" s="17">
        <v>950032</v>
      </c>
      <c r="D124" s="17">
        <v>949968</v>
      </c>
      <c r="E124" s="17">
        <v>949772</v>
      </c>
      <c r="F124" s="17">
        <f>AVERAGE(Table1436281282285321[[#This Row],[Teste 1]:[Teste 3]])</f>
        <v>949924</v>
      </c>
      <c r="G124" s="16"/>
      <c r="H124" s="16" t="s">
        <v>16</v>
      </c>
      <c r="I124" s="16" t="s">
        <v>4</v>
      </c>
      <c r="J124" s="17">
        <v>949894</v>
      </c>
      <c r="K124" s="17">
        <v>949778</v>
      </c>
      <c r="L124" s="17">
        <v>949748</v>
      </c>
      <c r="M124" s="17">
        <f>AVERAGE(Table1436281282285297333[[#This Row],[Teste 1]:[Teste 3]])</f>
        <v>949806.66666666663</v>
      </c>
      <c r="N124" s="16"/>
      <c r="O124" s="16" t="s">
        <v>16</v>
      </c>
      <c r="P124" s="16" t="s">
        <v>4</v>
      </c>
      <c r="Q124" s="17">
        <v>950022</v>
      </c>
      <c r="R124" s="17">
        <v>950091</v>
      </c>
      <c r="S124" s="17">
        <v>950267</v>
      </c>
      <c r="T124" s="17">
        <f>AVERAGE(Table1436281282285297309345[[#This Row],[Teste 1]:[Teste 3]])</f>
        <v>950126.66666666663</v>
      </c>
    </row>
    <row r="125" spans="1:20" x14ac:dyDescent="0.25">
      <c r="A125" s="16" t="s">
        <v>16</v>
      </c>
      <c r="B125" s="16" t="s">
        <v>5</v>
      </c>
      <c r="C125" s="17">
        <v>1916.0202203715201</v>
      </c>
      <c r="D125" s="17">
        <v>2010.6752974837</v>
      </c>
      <c r="E125" s="17">
        <v>2723.6688689496</v>
      </c>
      <c r="F125" s="17">
        <f>AVERAGE(Table1436281282285321[[#This Row],[Teste 1]:[Teste 3]])</f>
        <v>2216.7881289349402</v>
      </c>
      <c r="G125" s="16"/>
      <c r="H125" s="16" t="s">
        <v>16</v>
      </c>
      <c r="I125" s="16" t="s">
        <v>5</v>
      </c>
      <c r="J125" s="17">
        <v>2203.42</v>
      </c>
      <c r="K125" s="17">
        <v>2312.27</v>
      </c>
      <c r="L125" s="17">
        <v>3132.22</v>
      </c>
      <c r="M125" s="17">
        <f>AVERAGE(Table1436281282285297333[[#This Row],[Teste 1]:[Teste 3]])</f>
        <v>2549.3033333333333</v>
      </c>
      <c r="N125" s="16"/>
      <c r="O125" s="16" t="s">
        <v>16</v>
      </c>
      <c r="P125" s="16" t="s">
        <v>5</v>
      </c>
      <c r="Q125" s="17">
        <v>362.41582194938599</v>
      </c>
      <c r="R125" s="17">
        <v>356.09056711409698</v>
      </c>
      <c r="S125" s="17">
        <v>334.19968598299198</v>
      </c>
      <c r="T125" s="17">
        <f>AVERAGE(Table1436281282285297309345[[#This Row],[Teste 1]:[Teste 3]])</f>
        <v>350.90202501549169</v>
      </c>
    </row>
    <row r="126" spans="1:20" x14ac:dyDescent="0.25">
      <c r="A126" s="16" t="s">
        <v>16</v>
      </c>
      <c r="B126" s="16" t="s">
        <v>6</v>
      </c>
      <c r="C126" s="17">
        <v>73</v>
      </c>
      <c r="D126" s="17">
        <v>75</v>
      </c>
      <c r="E126" s="17">
        <v>66</v>
      </c>
      <c r="F126" s="17">
        <f>AVERAGE(Table1436281282285321[[#This Row],[Teste 1]:[Teste 3]])</f>
        <v>71.333333333333329</v>
      </c>
      <c r="G126" s="16"/>
      <c r="H126" s="16" t="s">
        <v>16</v>
      </c>
      <c r="I126" s="16" t="s">
        <v>6</v>
      </c>
      <c r="J126" s="17">
        <v>84</v>
      </c>
      <c r="K126" s="17">
        <v>86</v>
      </c>
      <c r="L126" s="17">
        <v>76</v>
      </c>
      <c r="M126" s="17">
        <f>AVERAGE(Table1436281282285297333[[#This Row],[Teste 1]:[Teste 3]])</f>
        <v>82</v>
      </c>
      <c r="N126" s="16"/>
      <c r="O126" s="16" t="s">
        <v>16</v>
      </c>
      <c r="P126" s="16" t="s">
        <v>6</v>
      </c>
      <c r="Q126" s="17">
        <v>110</v>
      </c>
      <c r="R126" s="17">
        <v>101</v>
      </c>
      <c r="S126" s="17">
        <v>101</v>
      </c>
      <c r="T126" s="17">
        <f>AVERAGE(Table1436281282285297309345[[#This Row],[Teste 1]:[Teste 3]])</f>
        <v>104</v>
      </c>
    </row>
    <row r="127" spans="1:20" x14ac:dyDescent="0.25">
      <c r="A127" s="16" t="s">
        <v>16</v>
      </c>
      <c r="B127" s="16" t="s">
        <v>7</v>
      </c>
      <c r="C127" s="17">
        <v>3938303</v>
      </c>
      <c r="D127" s="17">
        <v>4116479</v>
      </c>
      <c r="E127" s="17">
        <v>3940351</v>
      </c>
      <c r="F127" s="17">
        <f>AVERAGE(Table1436281282285321[[#This Row],[Teste 1]:[Teste 3]])</f>
        <v>3998377.6666666665</v>
      </c>
      <c r="G127" s="16"/>
      <c r="H127" s="16" t="s">
        <v>16</v>
      </c>
      <c r="I127" s="16" t="s">
        <v>7</v>
      </c>
      <c r="J127" s="17">
        <v>4529048</v>
      </c>
      <c r="K127" s="17">
        <v>4733951</v>
      </c>
      <c r="L127" s="17">
        <v>4531404</v>
      </c>
      <c r="M127" s="17">
        <f>AVERAGE(Table1436281282285297333[[#This Row],[Teste 1]:[Teste 3]])</f>
        <v>4598134.333333333</v>
      </c>
      <c r="N127" s="16"/>
      <c r="O127" s="16" t="s">
        <v>16</v>
      </c>
      <c r="P127" s="16" t="s">
        <v>7</v>
      </c>
      <c r="Q127" s="17">
        <v>245247</v>
      </c>
      <c r="R127" s="17">
        <v>153471</v>
      </c>
      <c r="S127" s="17">
        <v>342015</v>
      </c>
      <c r="T127" s="17">
        <f>AVERAGE(Table1436281282285297309345[[#This Row],[Teste 1]:[Teste 3]])</f>
        <v>246911</v>
      </c>
    </row>
    <row r="128" spans="1:20" x14ac:dyDescent="0.25">
      <c r="A128" s="16" t="s">
        <v>16</v>
      </c>
      <c r="B128" s="16" t="s">
        <v>8</v>
      </c>
      <c r="C128" s="17">
        <v>1297</v>
      </c>
      <c r="D128" s="17">
        <v>724</v>
      </c>
      <c r="E128" s="17">
        <v>1511</v>
      </c>
      <c r="F128" s="17">
        <f>AVERAGE(Table1436281282285321[[#This Row],[Teste 1]:[Teste 3]])</f>
        <v>1177.3333333333333</v>
      </c>
      <c r="G128" s="16"/>
      <c r="H128" s="16" t="s">
        <v>16</v>
      </c>
      <c r="I128" s="16" t="s">
        <v>8</v>
      </c>
      <c r="J128" s="17">
        <v>1492</v>
      </c>
      <c r="K128" s="17">
        <v>833</v>
      </c>
      <c r="L128" s="17">
        <v>1738</v>
      </c>
      <c r="M128" s="17">
        <f>AVERAGE(Table1436281282285297333[[#This Row],[Teste 1]:[Teste 3]])</f>
        <v>1354.3333333333333</v>
      </c>
      <c r="N128" s="16"/>
      <c r="O128" s="16" t="s">
        <v>16</v>
      </c>
      <c r="P128" s="16" t="s">
        <v>8</v>
      </c>
      <c r="Q128" s="17">
        <v>953</v>
      </c>
      <c r="R128" s="17">
        <v>945</v>
      </c>
      <c r="S128" s="17">
        <v>881</v>
      </c>
      <c r="T128" s="17">
        <f>AVERAGE(Table1436281282285297309345[[#This Row],[Teste 1]:[Teste 3]])</f>
        <v>926.33333333333337</v>
      </c>
    </row>
    <row r="129" spans="1:20" x14ac:dyDescent="0.25">
      <c r="A129" s="16" t="s">
        <v>16</v>
      </c>
      <c r="B129" s="16" t="s">
        <v>9</v>
      </c>
      <c r="C129" s="17">
        <v>44383</v>
      </c>
      <c r="D129" s="17">
        <v>47647</v>
      </c>
      <c r="E129" s="17">
        <v>58175</v>
      </c>
      <c r="F129" s="17">
        <f>AVERAGE(Table1436281282285321[[#This Row],[Teste 1]:[Teste 3]])</f>
        <v>50068.333333333336</v>
      </c>
      <c r="G129" s="16"/>
      <c r="H129" s="16" t="s">
        <v>16</v>
      </c>
      <c r="I129" s="16" t="s">
        <v>9</v>
      </c>
      <c r="J129" s="17">
        <v>51041</v>
      </c>
      <c r="K129" s="17">
        <v>54794</v>
      </c>
      <c r="L129" s="17">
        <v>66901</v>
      </c>
      <c r="M129" s="17">
        <f>AVERAGE(Table1436281282285297333[[#This Row],[Teste 1]:[Teste 3]])</f>
        <v>57578.666666666664</v>
      </c>
      <c r="N129" s="16"/>
      <c r="O129" s="16" t="s">
        <v>16</v>
      </c>
      <c r="P129" s="16" t="s">
        <v>9</v>
      </c>
      <c r="Q129" s="17">
        <v>1253</v>
      </c>
      <c r="R129" s="17">
        <v>1313</v>
      </c>
      <c r="S129" s="17">
        <v>1171</v>
      </c>
      <c r="T129" s="17">
        <f>AVERAGE(Table1436281282285297309345[[#This Row],[Teste 1]:[Teste 3]])</f>
        <v>1245.6666666666667</v>
      </c>
    </row>
    <row r="130" spans="1:20" x14ac:dyDescent="0.25">
      <c r="A130" s="16" t="s">
        <v>16</v>
      </c>
      <c r="B130" s="16" t="s">
        <v>11</v>
      </c>
      <c r="C130" s="17">
        <v>950032</v>
      </c>
      <c r="D130" s="17">
        <v>949968</v>
      </c>
      <c r="E130" s="17">
        <v>949772</v>
      </c>
      <c r="F130" s="17">
        <f>AVERAGE(Table1436281282285321[[#This Row],[Teste 1]:[Teste 3]])</f>
        <v>949924</v>
      </c>
      <c r="G130" s="16"/>
      <c r="H130" s="16" t="s">
        <v>16</v>
      </c>
      <c r="I130" s="16" t="s">
        <v>11</v>
      </c>
      <c r="J130" s="17">
        <v>949894</v>
      </c>
      <c r="K130" s="17">
        <v>949778</v>
      </c>
      <c r="L130" s="17">
        <v>949748</v>
      </c>
      <c r="M130" s="17">
        <f>AVERAGE(Table1436281282285297333[[#This Row],[Teste 1]:[Teste 3]])</f>
        <v>949806.66666666663</v>
      </c>
      <c r="N130" s="16"/>
      <c r="O130" s="16" t="s">
        <v>16</v>
      </c>
      <c r="P130" s="16" t="s">
        <v>11</v>
      </c>
      <c r="Q130" s="17">
        <v>950022</v>
      </c>
      <c r="R130" s="17">
        <v>950091</v>
      </c>
      <c r="S130" s="17">
        <v>950267</v>
      </c>
      <c r="T130" s="17">
        <f>AVERAGE(Table1436281282285297309345[[#This Row],[Teste 1]:[Teste 3]])</f>
        <v>950126.66666666663</v>
      </c>
    </row>
    <row r="131" spans="1:20" x14ac:dyDescent="0.25">
      <c r="A131" s="16" t="s">
        <v>3</v>
      </c>
      <c r="B131" s="16" t="s">
        <v>4</v>
      </c>
      <c r="C131" s="17">
        <v>3</v>
      </c>
      <c r="D131" s="17">
        <v>3</v>
      </c>
      <c r="E131" s="17">
        <v>3</v>
      </c>
      <c r="F131" s="17">
        <f>AVERAGE(Table1436281282285321[[#This Row],[Teste 1]:[Teste 3]])</f>
        <v>3</v>
      </c>
      <c r="G131" s="16"/>
      <c r="H131" s="16" t="s">
        <v>3</v>
      </c>
      <c r="I131" s="16" t="s">
        <v>4</v>
      </c>
      <c r="J131" s="17">
        <v>3</v>
      </c>
      <c r="K131" s="17">
        <v>3</v>
      </c>
      <c r="L131" s="17">
        <v>3</v>
      </c>
      <c r="M131" s="17">
        <f>AVERAGE(Table1436281282285297333[[#This Row],[Teste 1]:[Teste 3]])</f>
        <v>3</v>
      </c>
      <c r="N131" s="16"/>
      <c r="O131" s="16" t="s">
        <v>3</v>
      </c>
      <c r="P131" s="16" t="s">
        <v>4</v>
      </c>
      <c r="Q131" s="17">
        <v>3</v>
      </c>
      <c r="R131" s="17">
        <v>3</v>
      </c>
      <c r="S131" s="17">
        <v>3</v>
      </c>
      <c r="T131" s="17">
        <f>AVERAGE(Table1436281282285297309345[[#This Row],[Teste 1]:[Teste 3]])</f>
        <v>3</v>
      </c>
    </row>
    <row r="132" spans="1:20" x14ac:dyDescent="0.25">
      <c r="A132" s="16" t="s">
        <v>3</v>
      </c>
      <c r="B132" s="16" t="s">
        <v>5</v>
      </c>
      <c r="C132" s="17">
        <v>0.66666666666666596</v>
      </c>
      <c r="D132" s="17">
        <v>0.66666666666666596</v>
      </c>
      <c r="E132" s="17">
        <v>1</v>
      </c>
      <c r="F132" s="17">
        <f>AVERAGE(Table1436281282285321[[#This Row],[Teste 1]:[Teste 3]])</f>
        <v>0.77777777777777735</v>
      </c>
      <c r="G132" s="16"/>
      <c r="H132" s="16" t="s">
        <v>3</v>
      </c>
      <c r="I132" s="16" t="s">
        <v>5</v>
      </c>
      <c r="J132" s="17">
        <v>0</v>
      </c>
      <c r="K132" s="17">
        <v>0</v>
      </c>
      <c r="L132" s="17">
        <v>0</v>
      </c>
      <c r="M132" s="17">
        <f>AVERAGE(Table1436281282285297333[[#This Row],[Teste 1]:[Teste 3]])</f>
        <v>0</v>
      </c>
      <c r="N132" s="16"/>
      <c r="O132" s="16" t="s">
        <v>3</v>
      </c>
      <c r="P132" s="16" t="s">
        <v>5</v>
      </c>
      <c r="Q132" s="17">
        <v>790</v>
      </c>
      <c r="R132" s="17">
        <v>654</v>
      </c>
      <c r="S132" s="17">
        <v>815.33333333333303</v>
      </c>
      <c r="T132" s="17">
        <f>AVERAGE(Table1436281282285297309345[[#This Row],[Teste 1]:[Teste 3]])</f>
        <v>753.11111111111097</v>
      </c>
    </row>
    <row r="133" spans="1:20" x14ac:dyDescent="0.25">
      <c r="A133" s="16" t="s">
        <v>3</v>
      </c>
      <c r="B133" s="16" t="s">
        <v>6</v>
      </c>
      <c r="C133" s="17">
        <v>0</v>
      </c>
      <c r="D133" s="17">
        <v>0</v>
      </c>
      <c r="E133" s="17">
        <v>0</v>
      </c>
      <c r="F133" s="17">
        <f>AVERAGE(Table1436281282285321[[#This Row],[Teste 1]:[Teste 3]])</f>
        <v>0</v>
      </c>
      <c r="G133" s="16"/>
      <c r="H133" s="16" t="s">
        <v>3</v>
      </c>
      <c r="I133" s="16" t="s">
        <v>6</v>
      </c>
      <c r="J133" s="17">
        <v>3</v>
      </c>
      <c r="K133" s="17">
        <v>11</v>
      </c>
      <c r="L133" s="17">
        <v>7</v>
      </c>
      <c r="M133" s="17">
        <f>AVERAGE(Table1436281282285297333[[#This Row],[Teste 1]:[Teste 3]])</f>
        <v>7</v>
      </c>
      <c r="N133" s="16"/>
      <c r="O133" s="16" t="s">
        <v>3</v>
      </c>
      <c r="P133" s="16" t="s">
        <v>6</v>
      </c>
      <c r="Q133" s="17">
        <v>1</v>
      </c>
      <c r="R133" s="17">
        <v>1</v>
      </c>
      <c r="S133" s="17">
        <v>1</v>
      </c>
      <c r="T133" s="17">
        <f>AVERAGE(Table1436281282285297309345[[#This Row],[Teste 1]:[Teste 3]])</f>
        <v>1</v>
      </c>
    </row>
    <row r="134" spans="1:20" x14ac:dyDescent="0.25">
      <c r="A134" s="16" t="s">
        <v>3</v>
      </c>
      <c r="B134" s="16" t="s">
        <v>7</v>
      </c>
      <c r="C134" s="17">
        <v>2</v>
      </c>
      <c r="D134" s="17">
        <v>2</v>
      </c>
      <c r="E134" s="17">
        <v>3</v>
      </c>
      <c r="F134" s="17">
        <f>AVERAGE(Table1436281282285321[[#This Row],[Teste 1]:[Teste 3]])</f>
        <v>2.3333333333333335</v>
      </c>
      <c r="G134" s="16"/>
      <c r="H134" s="16" t="s">
        <v>3</v>
      </c>
      <c r="I134" s="16" t="s">
        <v>7</v>
      </c>
      <c r="J134" s="17">
        <v>3</v>
      </c>
      <c r="K134" s="17">
        <v>11</v>
      </c>
      <c r="L134" s="17">
        <v>7</v>
      </c>
      <c r="M134" s="17">
        <f>AVERAGE(Table1436281282285297333[[#This Row],[Teste 1]:[Teste 3]])</f>
        <v>7</v>
      </c>
      <c r="N134" s="16"/>
      <c r="O134" s="16" t="s">
        <v>3</v>
      </c>
      <c r="P134" s="16" t="s">
        <v>7</v>
      </c>
      <c r="Q134" s="17">
        <v>2363</v>
      </c>
      <c r="R134" s="17">
        <v>1954</v>
      </c>
      <c r="S134" s="17">
        <v>2439</v>
      </c>
      <c r="T134" s="17">
        <f>AVERAGE(Table1436281282285297309345[[#This Row],[Teste 1]:[Teste 3]])</f>
        <v>2252</v>
      </c>
    </row>
    <row r="135" spans="1:20" x14ac:dyDescent="0.25">
      <c r="A135" s="16" t="s">
        <v>3</v>
      </c>
      <c r="B135" s="16" t="s">
        <v>8</v>
      </c>
      <c r="C135" s="17">
        <v>2</v>
      </c>
      <c r="D135" s="17">
        <v>2</v>
      </c>
      <c r="E135" s="17">
        <v>3</v>
      </c>
      <c r="F135" s="17">
        <f>AVERAGE(Table1436281282285321[[#This Row],[Teste 1]:[Teste 3]])</f>
        <v>2.3333333333333335</v>
      </c>
      <c r="G135" s="16"/>
      <c r="H135" s="16" t="s">
        <v>3</v>
      </c>
      <c r="I135" s="16" t="s">
        <v>8</v>
      </c>
      <c r="J135" s="17">
        <v>3</v>
      </c>
      <c r="K135" s="17">
        <v>11</v>
      </c>
      <c r="L135" s="17">
        <v>7</v>
      </c>
      <c r="M135" s="17">
        <f>AVERAGE(Table1436281282285297333[[#This Row],[Teste 1]:[Teste 3]])</f>
        <v>7</v>
      </c>
      <c r="N135" s="16"/>
      <c r="O135" s="16" t="s">
        <v>3</v>
      </c>
      <c r="P135" s="16" t="s">
        <v>8</v>
      </c>
      <c r="Q135" s="17">
        <v>2363</v>
      </c>
      <c r="R135" s="17">
        <v>1954</v>
      </c>
      <c r="S135" s="17">
        <v>2439</v>
      </c>
      <c r="T135" s="17">
        <f>AVERAGE(Table1436281282285297309345[[#This Row],[Teste 1]:[Teste 3]])</f>
        <v>2252</v>
      </c>
    </row>
    <row r="136" spans="1:20" x14ac:dyDescent="0.25">
      <c r="A136" s="16" t="s">
        <v>3</v>
      </c>
      <c r="B136" s="16" t="s">
        <v>9</v>
      </c>
      <c r="C136" s="17">
        <v>2</v>
      </c>
      <c r="D136" s="17">
        <v>2</v>
      </c>
      <c r="E136" s="17">
        <v>3</v>
      </c>
      <c r="F136" s="17">
        <f>AVERAGE(Table1436281282285321[[#This Row],[Teste 1]:[Teste 3]])</f>
        <v>2.3333333333333335</v>
      </c>
      <c r="G136" s="16"/>
      <c r="H136" s="16" t="s">
        <v>3</v>
      </c>
      <c r="I136" s="16" t="s">
        <v>9</v>
      </c>
      <c r="J136" s="17">
        <v>3</v>
      </c>
      <c r="K136" s="17">
        <v>11</v>
      </c>
      <c r="L136" s="17">
        <v>7</v>
      </c>
      <c r="M136" s="17">
        <f>AVERAGE(Table1436281282285297333[[#This Row],[Teste 1]:[Teste 3]])</f>
        <v>7</v>
      </c>
      <c r="N136" s="16"/>
      <c r="O136" s="16" t="s">
        <v>3</v>
      </c>
      <c r="P136" s="16" t="s">
        <v>9</v>
      </c>
      <c r="Q136" s="17">
        <v>2363</v>
      </c>
      <c r="R136" s="17">
        <v>1954</v>
      </c>
      <c r="S136" s="17">
        <v>2439</v>
      </c>
      <c r="T136" s="17">
        <f>AVERAGE(Table1436281282285297309345[[#This Row],[Teste 1]:[Teste 3]])</f>
        <v>2252</v>
      </c>
    </row>
    <row r="137" spans="1:20" x14ac:dyDescent="0.25">
      <c r="A137" s="16" t="s">
        <v>17</v>
      </c>
      <c r="B137" s="16" t="s">
        <v>4</v>
      </c>
      <c r="C137" s="17">
        <v>49968</v>
      </c>
      <c r="D137" s="17">
        <v>50032</v>
      </c>
      <c r="E137" s="17">
        <v>50228</v>
      </c>
      <c r="F137" s="17">
        <f>AVERAGE(Table1436281282285321[[#This Row],[Teste 1]:[Teste 3]])</f>
        <v>50076</v>
      </c>
      <c r="G137" s="16"/>
      <c r="H137" s="16" t="s">
        <v>17</v>
      </c>
      <c r="I137" s="16" t="s">
        <v>4</v>
      </c>
      <c r="J137" s="17">
        <v>50106</v>
      </c>
      <c r="K137" s="17">
        <v>50222</v>
      </c>
      <c r="L137" s="17">
        <v>50252</v>
      </c>
      <c r="M137" s="17">
        <f>AVERAGE(Table1436281282285297333[[#This Row],[Teste 1]:[Teste 3]])</f>
        <v>50193.333333333336</v>
      </c>
      <c r="N137" s="16"/>
      <c r="O137" s="16" t="s">
        <v>17</v>
      </c>
      <c r="P137" s="16" t="s">
        <v>4</v>
      </c>
      <c r="Q137" s="17">
        <v>49978</v>
      </c>
      <c r="R137" s="17">
        <v>49909</v>
      </c>
      <c r="S137" s="17">
        <v>49733</v>
      </c>
      <c r="T137" s="17">
        <f>AVERAGE(Table1436281282285297309345[[#This Row],[Teste 1]:[Teste 3]])</f>
        <v>49873.333333333336</v>
      </c>
    </row>
    <row r="138" spans="1:20" x14ac:dyDescent="0.25">
      <c r="A138" s="16" t="s">
        <v>17</v>
      </c>
      <c r="B138" s="16" t="s">
        <v>5</v>
      </c>
      <c r="C138" s="17">
        <v>556.14907540826096</v>
      </c>
      <c r="D138" s="17">
        <v>490.28591701311097</v>
      </c>
      <c r="E138" s="17">
        <v>575.19518993390102</v>
      </c>
      <c r="F138" s="17">
        <f>AVERAGE(Table1436281282285321[[#This Row],[Teste 1]:[Teste 3]])</f>
        <v>540.54339411842432</v>
      </c>
      <c r="G138" s="16"/>
      <c r="H138" s="16" t="s">
        <v>17</v>
      </c>
      <c r="I138" s="16" t="s">
        <v>5</v>
      </c>
      <c r="J138" s="17">
        <v>639.57000000000005</v>
      </c>
      <c r="K138" s="17">
        <v>563.83000000000004</v>
      </c>
      <c r="L138" s="17">
        <v>661.48</v>
      </c>
      <c r="M138" s="17">
        <f>AVERAGE(Table1436281282285297333[[#This Row],[Teste 1]:[Teste 3]])</f>
        <v>621.62666666666667</v>
      </c>
      <c r="N138" s="16"/>
      <c r="O138" s="16" t="s">
        <v>17</v>
      </c>
      <c r="P138" s="16" t="s">
        <v>5</v>
      </c>
      <c r="Q138" s="17">
        <v>572.81425827364001</v>
      </c>
      <c r="R138" s="17">
        <v>574.16538099340801</v>
      </c>
      <c r="S138" s="17">
        <v>539.35240182574898</v>
      </c>
      <c r="T138" s="17">
        <f>AVERAGE(Table1436281282285297309345[[#This Row],[Teste 1]:[Teste 3]])</f>
        <v>562.1106803642657</v>
      </c>
    </row>
    <row r="139" spans="1:20" x14ac:dyDescent="0.25">
      <c r="A139" s="16" t="s">
        <v>17</v>
      </c>
      <c r="B139" s="16" t="s">
        <v>6</v>
      </c>
      <c r="C139" s="17">
        <v>121</v>
      </c>
      <c r="D139" s="17">
        <v>111</v>
      </c>
      <c r="E139" s="17">
        <v>118</v>
      </c>
      <c r="F139" s="17">
        <f>AVERAGE(Table1436281282285321[[#This Row],[Teste 1]:[Teste 3]])</f>
        <v>116.66666666666667</v>
      </c>
      <c r="G139" s="16"/>
      <c r="H139" s="16" t="s">
        <v>17</v>
      </c>
      <c r="I139" s="16" t="s">
        <v>6</v>
      </c>
      <c r="J139" s="17">
        <v>139</v>
      </c>
      <c r="K139" s="17">
        <v>128</v>
      </c>
      <c r="L139" s="17">
        <v>136</v>
      </c>
      <c r="M139" s="17">
        <f>AVERAGE(Table1436281282285297333[[#This Row],[Teste 1]:[Teste 3]])</f>
        <v>134.33333333333334</v>
      </c>
      <c r="N139" s="16"/>
      <c r="O139" s="16" t="s">
        <v>17</v>
      </c>
      <c r="P139" s="16" t="s">
        <v>6</v>
      </c>
      <c r="Q139" s="17">
        <v>204</v>
      </c>
      <c r="R139" s="17">
        <v>201</v>
      </c>
      <c r="S139" s="17">
        <v>215</v>
      </c>
      <c r="T139" s="17">
        <f>AVERAGE(Table1436281282285297309345[[#This Row],[Teste 1]:[Teste 3]])</f>
        <v>206.66666666666666</v>
      </c>
    </row>
    <row r="140" spans="1:20" x14ac:dyDescent="0.25">
      <c r="A140" s="16" t="s">
        <v>17</v>
      </c>
      <c r="B140" s="16" t="s">
        <v>7</v>
      </c>
      <c r="C140" s="17">
        <v>95295</v>
      </c>
      <c r="D140" s="17">
        <v>61023</v>
      </c>
      <c r="E140" s="17">
        <v>74175</v>
      </c>
      <c r="F140" s="17">
        <f>AVERAGE(Table1436281282285321[[#This Row],[Teste 1]:[Teste 3]])</f>
        <v>76831</v>
      </c>
      <c r="G140" s="16"/>
      <c r="H140" s="16" t="s">
        <v>17</v>
      </c>
      <c r="I140" s="16" t="s">
        <v>7</v>
      </c>
      <c r="J140" s="17">
        <v>109589</v>
      </c>
      <c r="K140" s="17">
        <v>70177</v>
      </c>
      <c r="L140" s="17">
        <v>85301</v>
      </c>
      <c r="M140" s="17">
        <f>AVERAGE(Table1436281282285297333[[#This Row],[Teste 1]:[Teste 3]])</f>
        <v>88355.666666666672</v>
      </c>
      <c r="N140" s="16"/>
      <c r="O140" s="16" t="s">
        <v>17</v>
      </c>
      <c r="P140" s="16" t="s">
        <v>7</v>
      </c>
      <c r="Q140" s="17">
        <v>12655</v>
      </c>
      <c r="R140" s="17">
        <v>32095</v>
      </c>
      <c r="S140" s="17">
        <v>36671</v>
      </c>
      <c r="T140" s="17">
        <f>AVERAGE(Table1436281282285297309345[[#This Row],[Teste 1]:[Teste 3]])</f>
        <v>27140.333333333332</v>
      </c>
    </row>
    <row r="141" spans="1:20" x14ac:dyDescent="0.25">
      <c r="A141" s="16" t="s">
        <v>17</v>
      </c>
      <c r="B141" s="16" t="s">
        <v>8</v>
      </c>
      <c r="C141" s="17">
        <v>1271</v>
      </c>
      <c r="D141" s="17">
        <v>841</v>
      </c>
      <c r="E141" s="17">
        <v>1231</v>
      </c>
      <c r="F141" s="17">
        <f>AVERAGE(Table1436281282285321[[#This Row],[Teste 1]:[Teste 3]])</f>
        <v>1114.3333333333333</v>
      </c>
      <c r="G141" s="16"/>
      <c r="H141" s="16" t="s">
        <v>17</v>
      </c>
      <c r="I141" s="16" t="s">
        <v>8</v>
      </c>
      <c r="J141" s="17">
        <v>1462</v>
      </c>
      <c r="K141" s="17">
        <v>967</v>
      </c>
      <c r="L141" s="17">
        <v>1416</v>
      </c>
      <c r="M141" s="17">
        <f>AVERAGE(Table1436281282285297333[[#This Row],[Teste 1]:[Teste 3]])</f>
        <v>1281.6666666666667</v>
      </c>
      <c r="N141" s="16"/>
      <c r="O141" s="16" t="s">
        <v>17</v>
      </c>
      <c r="P141" s="16" t="s">
        <v>8</v>
      </c>
      <c r="Q141" s="17">
        <v>1188</v>
      </c>
      <c r="R141" s="17">
        <v>1193</v>
      </c>
      <c r="S141" s="17">
        <v>1115</v>
      </c>
      <c r="T141" s="17">
        <f>AVERAGE(Table1436281282285297309345[[#This Row],[Teste 1]:[Teste 3]])</f>
        <v>1165.3333333333333</v>
      </c>
    </row>
    <row r="142" spans="1:20" x14ac:dyDescent="0.25">
      <c r="A142" s="16" t="s">
        <v>17</v>
      </c>
      <c r="B142" s="16" t="s">
        <v>9</v>
      </c>
      <c r="C142" s="17">
        <v>4519</v>
      </c>
      <c r="D142" s="17">
        <v>5175</v>
      </c>
      <c r="E142" s="17">
        <v>5999</v>
      </c>
      <c r="F142" s="17">
        <f>AVERAGE(Table1436281282285321[[#This Row],[Teste 1]:[Teste 3]])</f>
        <v>5231</v>
      </c>
      <c r="G142" s="16"/>
      <c r="H142" s="16" t="s">
        <v>17</v>
      </c>
      <c r="I142" s="16" t="s">
        <v>9</v>
      </c>
      <c r="J142" s="17">
        <v>5197</v>
      </c>
      <c r="K142" s="17">
        <v>5951</v>
      </c>
      <c r="L142" s="17">
        <v>6899</v>
      </c>
      <c r="M142" s="17">
        <f>AVERAGE(Table1436281282285297333[[#This Row],[Teste 1]:[Teste 3]])</f>
        <v>6015.666666666667</v>
      </c>
      <c r="N142" s="16"/>
      <c r="O142" s="16" t="s">
        <v>17</v>
      </c>
      <c r="P142" s="16" t="s">
        <v>9</v>
      </c>
      <c r="Q142" s="17">
        <v>1518</v>
      </c>
      <c r="R142" s="17">
        <v>1617</v>
      </c>
      <c r="S142" s="17">
        <v>1442</v>
      </c>
      <c r="T142" s="17">
        <f>AVERAGE(Table1436281282285297309345[[#This Row],[Teste 1]:[Teste 3]])</f>
        <v>1525.6666666666667</v>
      </c>
    </row>
    <row r="143" spans="1:20" x14ac:dyDescent="0.25">
      <c r="A143" s="16" t="s">
        <v>17</v>
      </c>
      <c r="B143" s="16" t="s">
        <v>11</v>
      </c>
      <c r="C143" s="17">
        <v>49968</v>
      </c>
      <c r="D143" s="17">
        <v>50032</v>
      </c>
      <c r="E143" s="17">
        <v>50228</v>
      </c>
      <c r="F143" s="17">
        <f>AVERAGE(Table1436281282285321[[#This Row],[Teste 1]:[Teste 3]])</f>
        <v>50076</v>
      </c>
      <c r="G143" s="16"/>
      <c r="H143" s="16" t="s">
        <v>17</v>
      </c>
      <c r="I143" s="16" t="s">
        <v>11</v>
      </c>
      <c r="J143" s="17">
        <v>50106</v>
      </c>
      <c r="K143" s="17">
        <v>50222</v>
      </c>
      <c r="L143" s="17">
        <v>50252</v>
      </c>
      <c r="M143" s="17">
        <f>AVERAGE(Table1436281282285297333[[#This Row],[Teste 1]:[Teste 3]])</f>
        <v>50193.333333333336</v>
      </c>
      <c r="N143" s="16"/>
      <c r="O143" s="16" t="s">
        <v>17</v>
      </c>
      <c r="P143" s="16" t="s">
        <v>11</v>
      </c>
      <c r="Q143" s="17">
        <v>49978</v>
      </c>
      <c r="R143" s="17">
        <v>49909</v>
      </c>
      <c r="S143" s="17">
        <v>49733</v>
      </c>
      <c r="T143" s="17">
        <f>AVERAGE(Table1436281282285297309345[[#This Row],[Teste 1]:[Teste 3]])</f>
        <v>49873.333333333336</v>
      </c>
    </row>
    <row r="144" spans="1:20" x14ac:dyDescent="0.25">
      <c r="A144" s="16"/>
      <c r="B144" s="16"/>
      <c r="C144" s="17"/>
      <c r="D144" s="17"/>
      <c r="E144" s="17"/>
      <c r="F144" s="17"/>
      <c r="G144" s="16"/>
      <c r="H144" s="16"/>
      <c r="I144" s="16"/>
      <c r="J144" s="17"/>
      <c r="K144" s="17"/>
      <c r="L144" s="17"/>
      <c r="M144" s="17"/>
      <c r="N144" s="16"/>
      <c r="O144" s="16"/>
      <c r="P144" s="16"/>
      <c r="Q144" s="17"/>
      <c r="R144" s="17"/>
      <c r="S144" s="17"/>
      <c r="T144" s="17"/>
    </row>
    <row r="145" spans="1:20" x14ac:dyDescent="0.25">
      <c r="A145" s="16"/>
      <c r="B145" s="16"/>
      <c r="C145" s="17"/>
      <c r="D145" s="17"/>
      <c r="E145" s="17"/>
      <c r="F145" s="17"/>
      <c r="G145" s="16"/>
      <c r="H145" s="16"/>
      <c r="I145" s="16"/>
      <c r="J145" s="17"/>
      <c r="K145" s="17"/>
      <c r="L145" s="17"/>
      <c r="M145" s="17"/>
      <c r="N145" s="16"/>
      <c r="O145" s="16"/>
      <c r="P145" s="16"/>
      <c r="Q145" s="17"/>
      <c r="R145" s="17"/>
      <c r="S145" s="17"/>
      <c r="T145" s="17"/>
    </row>
    <row r="146" spans="1:20" x14ac:dyDescent="0.25">
      <c r="A146" s="16"/>
      <c r="B146" s="16"/>
      <c r="C146" s="17"/>
      <c r="D146" s="17"/>
      <c r="E146" s="17"/>
      <c r="F146" s="17"/>
      <c r="G146" s="16"/>
      <c r="H146" s="16"/>
      <c r="I146" s="16"/>
      <c r="J146" s="17"/>
      <c r="K146" s="17"/>
      <c r="L146" s="17"/>
      <c r="M146" s="17"/>
      <c r="N146" s="16"/>
      <c r="O146" s="16"/>
      <c r="P146" s="16"/>
      <c r="Q146" s="17"/>
      <c r="R146" s="17"/>
      <c r="S146" s="17"/>
      <c r="T146" s="17"/>
    </row>
    <row r="147" spans="1:20" x14ac:dyDescent="0.25">
      <c r="C147" s="15"/>
      <c r="D147" s="15"/>
      <c r="E147" s="15"/>
      <c r="F147" s="15"/>
      <c r="Q147" s="16"/>
    </row>
    <row r="148" spans="1:20" ht="15.75" x14ac:dyDescent="0.25">
      <c r="A148" s="2" t="s">
        <v>73</v>
      </c>
      <c r="H148" s="2" t="s">
        <v>73</v>
      </c>
      <c r="O148" s="2" t="s">
        <v>73</v>
      </c>
      <c r="Q148" s="16"/>
    </row>
    <row r="149" spans="1:20" x14ac:dyDescent="0.25">
      <c r="A149" s="16" t="s">
        <v>59</v>
      </c>
      <c r="B149" s="16" t="s">
        <v>66</v>
      </c>
      <c r="C149" s="16" t="s">
        <v>82</v>
      </c>
      <c r="D149" s="16" t="s">
        <v>64</v>
      </c>
      <c r="E149" s="16" t="s">
        <v>63</v>
      </c>
      <c r="F149" s="16" t="s">
        <v>18</v>
      </c>
      <c r="G149" s="16"/>
      <c r="H149" s="16" t="s">
        <v>12</v>
      </c>
      <c r="I149" s="16" t="s">
        <v>66</v>
      </c>
      <c r="J149" s="16" t="s">
        <v>82</v>
      </c>
      <c r="K149" s="16" t="s">
        <v>64</v>
      </c>
      <c r="L149" s="16" t="s">
        <v>63</v>
      </c>
      <c r="M149" s="16" t="s">
        <v>18</v>
      </c>
      <c r="N149" s="16"/>
      <c r="O149" s="16" t="s">
        <v>13</v>
      </c>
      <c r="P149" s="16" t="s">
        <v>66</v>
      </c>
      <c r="Q149" s="16" t="s">
        <v>82</v>
      </c>
      <c r="R149" s="16" t="s">
        <v>64</v>
      </c>
      <c r="S149" s="16" t="s">
        <v>63</v>
      </c>
      <c r="T149" s="16" t="s">
        <v>18</v>
      </c>
    </row>
    <row r="150" spans="1:20" x14ac:dyDescent="0.25">
      <c r="A150" s="16" t="s">
        <v>0</v>
      </c>
      <c r="B150" s="16" t="s">
        <v>1</v>
      </c>
      <c r="C150" s="17">
        <v>698883</v>
      </c>
      <c r="D150" s="17">
        <v>607155</v>
      </c>
      <c r="E150" s="17">
        <v>646592</v>
      </c>
      <c r="F150" s="17">
        <f>AVERAGE(Table1436281283286322[[#This Row],[Teste 1]:[Teste 3]])</f>
        <v>650876.66666666663</v>
      </c>
      <c r="G150" s="16"/>
      <c r="H150" s="16" t="s">
        <v>0</v>
      </c>
      <c r="I150" s="16" t="s">
        <v>1</v>
      </c>
      <c r="J150" s="17">
        <v>465922</v>
      </c>
      <c r="K150" s="17">
        <v>404770</v>
      </c>
      <c r="L150" s="17">
        <v>431061</v>
      </c>
      <c r="M150" s="17">
        <f>AVERAGE(Table1436281283286298334[[#This Row],[Teste 1]:[Teste 3]])</f>
        <v>433917.66666666669</v>
      </c>
      <c r="N150" s="16"/>
      <c r="O150" s="16" t="s">
        <v>0</v>
      </c>
      <c r="P150" s="16" t="s">
        <v>1</v>
      </c>
      <c r="Q150" s="17">
        <v>101483</v>
      </c>
      <c r="R150" s="17">
        <v>88380</v>
      </c>
      <c r="S150" s="17">
        <v>98940</v>
      </c>
      <c r="T150" s="17">
        <f>AVERAGE(Table1436281283286298310346[[#This Row],[Teste 1]:[Teste 3]])</f>
        <v>96267.666666666672</v>
      </c>
    </row>
    <row r="151" spans="1:20" x14ac:dyDescent="0.25">
      <c r="A151" s="16" t="s">
        <v>0</v>
      </c>
      <c r="B151" s="16" t="s">
        <v>2</v>
      </c>
      <c r="C151" s="17">
        <v>1430.8546637992299</v>
      </c>
      <c r="D151" s="17">
        <v>1827.3032270522001</v>
      </c>
      <c r="E151" s="17">
        <v>1546.5703256458401</v>
      </c>
      <c r="F151" s="17">
        <f>AVERAGE(Table1436281283286322[[#This Row],[Teste 1]:[Teste 3]])</f>
        <v>1601.5760721657568</v>
      </c>
      <c r="G151" s="16"/>
      <c r="H151" s="16" t="s">
        <v>0</v>
      </c>
      <c r="I151" s="16" t="s">
        <v>2</v>
      </c>
      <c r="J151" s="17">
        <v>2146.2800000000002</v>
      </c>
      <c r="K151" s="17">
        <v>2740.96</v>
      </c>
      <c r="L151" s="17">
        <v>2319.86</v>
      </c>
      <c r="M151" s="17">
        <f>AVERAGE(Table1436281283286298334[[#This Row],[Teste 1]:[Teste 3]])</f>
        <v>2402.3666666666668</v>
      </c>
      <c r="N151" s="16"/>
      <c r="O151" s="16" t="s">
        <v>0</v>
      </c>
      <c r="P151" s="16" t="s">
        <v>2</v>
      </c>
      <c r="Q151" s="17">
        <v>9853.8671501630797</v>
      </c>
      <c r="R151" s="17">
        <v>11314.7770988911</v>
      </c>
      <c r="S151" s="17">
        <v>10107.135637760201</v>
      </c>
      <c r="T151" s="17">
        <f>AVERAGE(Table1436281283286298310346[[#This Row],[Teste 1]:[Teste 3]])</f>
        <v>10425.259962271461</v>
      </c>
    </row>
    <row r="152" spans="1:20" x14ac:dyDescent="0.25">
      <c r="A152" s="16" t="s">
        <v>16</v>
      </c>
      <c r="B152" s="16" t="s">
        <v>4</v>
      </c>
      <c r="C152" s="17">
        <v>949894</v>
      </c>
      <c r="D152" s="17">
        <v>949837</v>
      </c>
      <c r="E152" s="17">
        <v>949856</v>
      </c>
      <c r="F152" s="17">
        <f>AVERAGE(Table1436281283286322[[#This Row],[Teste 1]:[Teste 3]])</f>
        <v>949862.33333333337</v>
      </c>
      <c r="G152" s="16"/>
      <c r="H152" s="16" t="s">
        <v>16</v>
      </c>
      <c r="I152" s="16" t="s">
        <v>4</v>
      </c>
      <c r="J152" s="17">
        <v>950074</v>
      </c>
      <c r="K152" s="17">
        <v>950267</v>
      </c>
      <c r="L152" s="17">
        <v>949968</v>
      </c>
      <c r="M152" s="17">
        <f>AVERAGE(Table1436281283286298334[[#This Row],[Teste 1]:[Teste 3]])</f>
        <v>950103</v>
      </c>
      <c r="N152" s="16"/>
      <c r="O152" s="16" t="s">
        <v>16</v>
      </c>
      <c r="P152" s="16" t="s">
        <v>4</v>
      </c>
      <c r="Q152" s="17">
        <v>949977</v>
      </c>
      <c r="R152" s="17">
        <v>950080</v>
      </c>
      <c r="S152" s="17">
        <v>949778</v>
      </c>
      <c r="T152" s="17">
        <f>AVERAGE(Table1436281283286298310346[[#This Row],[Teste 1]:[Teste 3]])</f>
        <v>949945</v>
      </c>
    </row>
    <row r="153" spans="1:20" x14ac:dyDescent="0.25">
      <c r="A153" s="16" t="s">
        <v>16</v>
      </c>
      <c r="B153" s="16" t="s">
        <v>5</v>
      </c>
      <c r="C153" s="17">
        <v>4329.8398358132499</v>
      </c>
      <c r="D153" s="17">
        <v>1237.79434892513</v>
      </c>
      <c r="E153" s="17">
        <v>3979.3023995216099</v>
      </c>
      <c r="F153" s="17">
        <f>AVERAGE(Table1436281283286322[[#This Row],[Teste 1]:[Teste 3]])</f>
        <v>3182.3121947533305</v>
      </c>
      <c r="G153" s="16"/>
      <c r="H153" s="16" t="s">
        <v>16</v>
      </c>
      <c r="I153" s="16" t="s">
        <v>5</v>
      </c>
      <c r="J153" s="17">
        <v>2886.56</v>
      </c>
      <c r="K153" s="17">
        <v>825.2</v>
      </c>
      <c r="L153" s="17">
        <v>2652.87</v>
      </c>
      <c r="M153" s="17">
        <f>AVERAGE(Table1436281283286298334[[#This Row],[Teste 1]:[Teste 3]])</f>
        <v>2121.5433333333335</v>
      </c>
      <c r="N153" s="16"/>
      <c r="O153" s="16" t="s">
        <v>16</v>
      </c>
      <c r="P153" s="16" t="s">
        <v>5</v>
      </c>
      <c r="Q153" s="17">
        <v>588.90634931161401</v>
      </c>
      <c r="R153" s="17">
        <v>510.35219455203702</v>
      </c>
      <c r="S153" s="17">
        <v>573.03661066059601</v>
      </c>
      <c r="T153" s="17">
        <f>AVERAGE(Table1436281283286298310346[[#This Row],[Teste 1]:[Teste 3]])</f>
        <v>557.43171817474911</v>
      </c>
    </row>
    <row r="154" spans="1:20" x14ac:dyDescent="0.25">
      <c r="A154" s="16" t="s">
        <v>16</v>
      </c>
      <c r="B154" s="16" t="s">
        <v>6</v>
      </c>
      <c r="C154" s="17">
        <v>75</v>
      </c>
      <c r="D154" s="17">
        <v>70</v>
      </c>
      <c r="E154" s="17">
        <v>79</v>
      </c>
      <c r="F154" s="17">
        <f>AVERAGE(Table1436281283286322[[#This Row],[Teste 1]:[Teste 3]])</f>
        <v>74.666666666666671</v>
      </c>
      <c r="G154" s="16"/>
      <c r="H154" s="16" t="s">
        <v>16</v>
      </c>
      <c r="I154" s="16" t="s">
        <v>6</v>
      </c>
      <c r="J154" s="17">
        <v>50</v>
      </c>
      <c r="K154" s="17">
        <v>47</v>
      </c>
      <c r="L154" s="17">
        <v>53</v>
      </c>
      <c r="M154" s="17">
        <f>AVERAGE(Table1436281283286298334[[#This Row],[Teste 1]:[Teste 3]])</f>
        <v>50</v>
      </c>
      <c r="N154" s="16"/>
      <c r="O154" s="16" t="s">
        <v>16</v>
      </c>
      <c r="P154" s="16" t="s">
        <v>6</v>
      </c>
      <c r="Q154" s="17">
        <v>97</v>
      </c>
      <c r="R154" s="17">
        <v>104</v>
      </c>
      <c r="S154" s="17">
        <v>108</v>
      </c>
      <c r="T154" s="17">
        <f>AVERAGE(Table1436281283286298310346[[#This Row],[Teste 1]:[Teste 3]])</f>
        <v>103</v>
      </c>
    </row>
    <row r="155" spans="1:20" x14ac:dyDescent="0.25">
      <c r="A155" s="16" t="s">
        <v>16</v>
      </c>
      <c r="B155" s="16" t="s">
        <v>7</v>
      </c>
      <c r="C155" s="17">
        <v>4102143</v>
      </c>
      <c r="D155" s="17">
        <v>3702783</v>
      </c>
      <c r="E155" s="17">
        <v>6049791</v>
      </c>
      <c r="F155" s="17">
        <f>AVERAGE(Table1436281283286322[[#This Row],[Teste 1]:[Teste 3]])</f>
        <v>4618239</v>
      </c>
      <c r="G155" s="16"/>
      <c r="H155" s="16" t="s">
        <v>16</v>
      </c>
      <c r="I155" s="16" t="s">
        <v>7</v>
      </c>
      <c r="J155" s="17">
        <v>2734762</v>
      </c>
      <c r="K155" s="17">
        <v>2468522</v>
      </c>
      <c r="L155" s="17">
        <v>2033194</v>
      </c>
      <c r="M155" s="17">
        <f>AVERAGE(Table1436281283286298334[[#This Row],[Teste 1]:[Teste 3]])</f>
        <v>2412159.3333333335</v>
      </c>
      <c r="N155" s="16"/>
      <c r="O155" s="16" t="s">
        <v>16</v>
      </c>
      <c r="P155" s="16" t="s">
        <v>7</v>
      </c>
      <c r="Q155" s="17">
        <v>244607</v>
      </c>
      <c r="R155" s="17">
        <v>193279</v>
      </c>
      <c r="S155" s="17">
        <v>294143</v>
      </c>
      <c r="T155" s="17">
        <f>AVERAGE(Table1436281283286298310346[[#This Row],[Teste 1]:[Teste 3]])</f>
        <v>244009.66666666666</v>
      </c>
    </row>
    <row r="156" spans="1:20" x14ac:dyDescent="0.25">
      <c r="A156" s="16" t="s">
        <v>16</v>
      </c>
      <c r="B156" s="16" t="s">
        <v>8</v>
      </c>
      <c r="C156" s="17">
        <v>2191</v>
      </c>
      <c r="D156" s="17">
        <v>431</v>
      </c>
      <c r="E156" s="17">
        <v>407</v>
      </c>
      <c r="F156" s="17">
        <f>AVERAGE(Table1436281283286322[[#This Row],[Teste 1]:[Teste 3]])</f>
        <v>1009.6666666666666</v>
      </c>
      <c r="G156" s="16"/>
      <c r="H156" s="16" t="s">
        <v>16</v>
      </c>
      <c r="I156" s="16" t="s">
        <v>8</v>
      </c>
      <c r="J156" s="17">
        <v>1461</v>
      </c>
      <c r="K156" s="17">
        <v>287</v>
      </c>
      <c r="L156" s="17">
        <v>271</v>
      </c>
      <c r="M156" s="17">
        <f>AVERAGE(Table1436281283286298334[[#This Row],[Teste 1]:[Teste 3]])</f>
        <v>673</v>
      </c>
      <c r="N156" s="16"/>
      <c r="O156" s="16" t="s">
        <v>16</v>
      </c>
      <c r="P156" s="16" t="s">
        <v>8</v>
      </c>
      <c r="Q156" s="17">
        <v>1894</v>
      </c>
      <c r="R156" s="17">
        <v>1642</v>
      </c>
      <c r="S156" s="17">
        <v>1861</v>
      </c>
      <c r="T156" s="17">
        <f>AVERAGE(Table1436281283286298310346[[#This Row],[Teste 1]:[Teste 3]])</f>
        <v>1799</v>
      </c>
    </row>
    <row r="157" spans="1:20" x14ac:dyDescent="0.25">
      <c r="A157" s="16" t="s">
        <v>16</v>
      </c>
      <c r="B157" s="16" t="s">
        <v>9</v>
      </c>
      <c r="C157" s="17">
        <v>65407</v>
      </c>
      <c r="D157" s="17">
        <v>1657</v>
      </c>
      <c r="E157" s="17">
        <v>53727</v>
      </c>
      <c r="F157" s="17">
        <f>AVERAGE(Table1436281283286322[[#This Row],[Teste 1]:[Teste 3]])</f>
        <v>40263.666666666664</v>
      </c>
      <c r="G157" s="16"/>
      <c r="H157" s="16" t="s">
        <v>16</v>
      </c>
      <c r="I157" s="16" t="s">
        <v>9</v>
      </c>
      <c r="J157" s="17">
        <v>43605</v>
      </c>
      <c r="K157" s="17">
        <v>1105</v>
      </c>
      <c r="L157" s="17">
        <v>35818</v>
      </c>
      <c r="M157" s="17">
        <f>AVERAGE(Table1436281283286298334[[#This Row],[Teste 1]:[Teste 3]])</f>
        <v>26842.666666666668</v>
      </c>
      <c r="N157" s="16"/>
      <c r="O157" s="16" t="s">
        <v>16</v>
      </c>
      <c r="P157" s="16" t="s">
        <v>9</v>
      </c>
      <c r="Q157" s="17">
        <v>2519</v>
      </c>
      <c r="R157" s="17">
        <v>2167</v>
      </c>
      <c r="S157" s="17">
        <v>2423</v>
      </c>
      <c r="T157" s="17">
        <f>AVERAGE(Table1436281283286298310346[[#This Row],[Teste 1]:[Teste 3]])</f>
        <v>2369.6666666666665</v>
      </c>
    </row>
    <row r="158" spans="1:20" x14ac:dyDescent="0.25">
      <c r="A158" s="16" t="s">
        <v>16</v>
      </c>
      <c r="B158" s="16" t="s">
        <v>11</v>
      </c>
      <c r="C158" s="17">
        <v>949894</v>
      </c>
      <c r="D158" s="17">
        <v>949837</v>
      </c>
      <c r="E158" s="17">
        <v>949856</v>
      </c>
      <c r="F158" s="17">
        <f>AVERAGE(Table1436281283286322[[#This Row],[Teste 1]:[Teste 3]])</f>
        <v>949862.33333333337</v>
      </c>
      <c r="G158" s="16"/>
      <c r="H158" s="16" t="s">
        <v>16</v>
      </c>
      <c r="I158" s="16" t="s">
        <v>11</v>
      </c>
      <c r="J158" s="17">
        <v>950074</v>
      </c>
      <c r="K158" s="17">
        <v>950267</v>
      </c>
      <c r="L158" s="17">
        <v>949968</v>
      </c>
      <c r="M158" s="17">
        <f>AVERAGE(Table1436281283286298334[[#This Row],[Teste 1]:[Teste 3]])</f>
        <v>950103</v>
      </c>
      <c r="N158" s="16"/>
      <c r="O158" s="16" t="s">
        <v>16</v>
      </c>
      <c r="P158" s="16" t="s">
        <v>11</v>
      </c>
      <c r="Q158" s="17">
        <v>949977</v>
      </c>
      <c r="R158" s="17">
        <v>950080</v>
      </c>
      <c r="S158" s="17">
        <v>949778</v>
      </c>
      <c r="T158" s="17">
        <f>AVERAGE(Table1436281283286298310346[[#This Row],[Teste 1]:[Teste 3]])</f>
        <v>949945</v>
      </c>
    </row>
    <row r="159" spans="1:20" x14ac:dyDescent="0.25">
      <c r="A159" s="16" t="s">
        <v>3</v>
      </c>
      <c r="B159" s="16" t="s">
        <v>4</v>
      </c>
      <c r="C159" s="17">
        <v>6</v>
      </c>
      <c r="D159" s="17">
        <v>6</v>
      </c>
      <c r="E159" s="17">
        <v>6</v>
      </c>
      <c r="F159" s="17">
        <f>AVERAGE(Table1436281283286322[[#This Row],[Teste 1]:[Teste 3]])</f>
        <v>6</v>
      </c>
      <c r="G159" s="16"/>
      <c r="H159" s="16" t="s">
        <v>3</v>
      </c>
      <c r="I159" s="16" t="s">
        <v>4</v>
      </c>
      <c r="J159" s="17">
        <v>6</v>
      </c>
      <c r="K159" s="17">
        <v>6</v>
      </c>
      <c r="L159" s="17">
        <v>6</v>
      </c>
      <c r="M159" s="17">
        <f>AVERAGE(Table1436281283286298334[[#This Row],[Teste 1]:[Teste 3]])</f>
        <v>6</v>
      </c>
      <c r="N159" s="16"/>
      <c r="O159" s="16" t="s">
        <v>3</v>
      </c>
      <c r="P159" s="16" t="s">
        <v>4</v>
      </c>
      <c r="Q159" s="17">
        <v>6</v>
      </c>
      <c r="R159" s="17">
        <v>6</v>
      </c>
      <c r="S159" s="17">
        <v>6</v>
      </c>
      <c r="T159" s="17">
        <f>AVERAGE(Table1436281283286298310346[[#This Row],[Teste 1]:[Teste 3]])</f>
        <v>6</v>
      </c>
    </row>
    <row r="160" spans="1:20" x14ac:dyDescent="0.25">
      <c r="A160" s="16" t="s">
        <v>3</v>
      </c>
      <c r="B160" s="16" t="s">
        <v>5</v>
      </c>
      <c r="C160" s="17">
        <v>0.66666666666666596</v>
      </c>
      <c r="D160" s="17">
        <v>0.66666666666666596</v>
      </c>
      <c r="E160" s="17">
        <v>0.5</v>
      </c>
      <c r="F160" s="17">
        <f>AVERAGE(Table1436281283286322[[#This Row],[Teste 1]:[Teste 3]])</f>
        <v>0.61111111111111061</v>
      </c>
      <c r="G160" s="16"/>
      <c r="H160" s="16" t="s">
        <v>3</v>
      </c>
      <c r="I160" s="16" t="s">
        <v>5</v>
      </c>
      <c r="J160" s="17">
        <v>1.3332999999999999</v>
      </c>
      <c r="K160" s="17">
        <v>1.333</v>
      </c>
      <c r="L160" s="17">
        <v>1.333</v>
      </c>
      <c r="M160" s="17">
        <f>AVERAGE(Table1436281283286298334[[#This Row],[Teste 1]:[Teste 3]])</f>
        <v>1.3331</v>
      </c>
      <c r="N160" s="16"/>
      <c r="O160" s="16" t="s">
        <v>3</v>
      </c>
      <c r="P160" s="16" t="s">
        <v>5</v>
      </c>
      <c r="Q160" s="17">
        <v>366</v>
      </c>
      <c r="R160" s="17">
        <v>350.33333333333297</v>
      </c>
      <c r="S160" s="17">
        <v>401.5</v>
      </c>
      <c r="T160" s="17">
        <f>AVERAGE(Table1436281283286298310346[[#This Row],[Teste 1]:[Teste 3]])</f>
        <v>372.61111111111103</v>
      </c>
    </row>
    <row r="161" spans="1:20" x14ac:dyDescent="0.25">
      <c r="A161" s="16" t="s">
        <v>3</v>
      </c>
      <c r="B161" s="16" t="s">
        <v>6</v>
      </c>
      <c r="C161" s="17">
        <v>0</v>
      </c>
      <c r="D161" s="17">
        <v>0</v>
      </c>
      <c r="E161" s="17">
        <v>0</v>
      </c>
      <c r="F161" s="17">
        <f>AVERAGE(Table1436281283286322[[#This Row],[Teste 1]:[Teste 3]])</f>
        <v>0</v>
      </c>
      <c r="G161" s="16"/>
      <c r="H161" s="16" t="s">
        <v>3</v>
      </c>
      <c r="I161" s="16" t="s">
        <v>6</v>
      </c>
      <c r="J161" s="17">
        <v>1</v>
      </c>
      <c r="K161" s="17">
        <v>1</v>
      </c>
      <c r="L161" s="17">
        <v>0</v>
      </c>
      <c r="M161" s="17">
        <f>AVERAGE(Table1436281283286298334[[#This Row],[Teste 1]:[Teste 3]])</f>
        <v>0.66666666666666663</v>
      </c>
      <c r="N161" s="16"/>
      <c r="O161" s="16" t="s">
        <v>3</v>
      </c>
      <c r="P161" s="16" t="s">
        <v>6</v>
      </c>
      <c r="Q161" s="17">
        <v>1</v>
      </c>
      <c r="R161" s="17">
        <v>1</v>
      </c>
      <c r="S161" s="17">
        <v>2</v>
      </c>
      <c r="T161" s="17">
        <f>AVERAGE(Table1436281283286298310346[[#This Row],[Teste 1]:[Teste 3]])</f>
        <v>1.3333333333333333</v>
      </c>
    </row>
    <row r="162" spans="1:20" x14ac:dyDescent="0.25">
      <c r="A162" s="16" t="s">
        <v>3</v>
      </c>
      <c r="B162" s="16" t="s">
        <v>7</v>
      </c>
      <c r="C162" s="17">
        <v>2</v>
      </c>
      <c r="D162" s="17">
        <v>2</v>
      </c>
      <c r="E162" s="17">
        <v>2</v>
      </c>
      <c r="F162" s="17">
        <f>AVERAGE(Table1436281283286322[[#This Row],[Teste 1]:[Teste 3]])</f>
        <v>2</v>
      </c>
      <c r="G162" s="16"/>
      <c r="H162" s="16" t="s">
        <v>3</v>
      </c>
      <c r="I162" s="16" t="s">
        <v>7</v>
      </c>
      <c r="J162" s="17">
        <v>3</v>
      </c>
      <c r="K162" s="17">
        <v>2</v>
      </c>
      <c r="L162" s="17">
        <v>3</v>
      </c>
      <c r="M162" s="17">
        <f>AVERAGE(Table1436281283286298334[[#This Row],[Teste 1]:[Teste 3]])</f>
        <v>2.6666666666666665</v>
      </c>
      <c r="N162" s="16"/>
      <c r="O162" s="16" t="s">
        <v>3</v>
      </c>
      <c r="P162" s="16" t="s">
        <v>7</v>
      </c>
      <c r="Q162" s="17">
        <v>2183</v>
      </c>
      <c r="R162" s="17">
        <v>2089</v>
      </c>
      <c r="S162" s="17">
        <v>2393</v>
      </c>
      <c r="T162" s="17">
        <f>AVERAGE(Table1436281283286298310346[[#This Row],[Teste 1]:[Teste 3]])</f>
        <v>2221.6666666666665</v>
      </c>
    </row>
    <row r="163" spans="1:20" x14ac:dyDescent="0.25">
      <c r="A163" s="16" t="s">
        <v>3</v>
      </c>
      <c r="B163" s="16" t="s">
        <v>8</v>
      </c>
      <c r="C163" s="17">
        <v>2</v>
      </c>
      <c r="D163" s="17">
        <v>2</v>
      </c>
      <c r="E163" s="17">
        <v>2</v>
      </c>
      <c r="F163" s="17">
        <f>AVERAGE(Table1436281283286322[[#This Row],[Teste 1]:[Teste 3]])</f>
        <v>2</v>
      </c>
      <c r="G163" s="16"/>
      <c r="H163" s="16" t="s">
        <v>3</v>
      </c>
      <c r="I163" s="16" t="s">
        <v>8</v>
      </c>
      <c r="J163" s="17">
        <v>3</v>
      </c>
      <c r="K163" s="17">
        <v>2</v>
      </c>
      <c r="L163" s="17">
        <v>3</v>
      </c>
      <c r="M163" s="17">
        <f>AVERAGE(Table1436281283286298334[[#This Row],[Teste 1]:[Teste 3]])</f>
        <v>2.6666666666666665</v>
      </c>
      <c r="N163" s="16"/>
      <c r="O163" s="16" t="s">
        <v>3</v>
      </c>
      <c r="P163" s="16" t="s">
        <v>8</v>
      </c>
      <c r="Q163" s="17">
        <v>2183</v>
      </c>
      <c r="R163" s="17">
        <v>2089</v>
      </c>
      <c r="S163" s="17">
        <v>2393</v>
      </c>
      <c r="T163" s="17">
        <f>AVERAGE(Table1436281283286298310346[[#This Row],[Teste 1]:[Teste 3]])</f>
        <v>2221.6666666666665</v>
      </c>
    </row>
    <row r="164" spans="1:20" x14ac:dyDescent="0.25">
      <c r="A164" s="16" t="s">
        <v>3</v>
      </c>
      <c r="B164" s="16" t="s">
        <v>9</v>
      </c>
      <c r="C164" s="17">
        <v>2</v>
      </c>
      <c r="D164" s="17">
        <v>2</v>
      </c>
      <c r="E164" s="17">
        <v>2</v>
      </c>
      <c r="F164" s="17">
        <f>AVERAGE(Table1436281283286322[[#This Row],[Teste 1]:[Teste 3]])</f>
        <v>2</v>
      </c>
      <c r="G164" s="16"/>
      <c r="H164" s="16" t="s">
        <v>3</v>
      </c>
      <c r="I164" s="16" t="s">
        <v>9</v>
      </c>
      <c r="J164" s="17">
        <v>3</v>
      </c>
      <c r="K164" s="17">
        <v>2</v>
      </c>
      <c r="L164" s="17">
        <v>3</v>
      </c>
      <c r="M164" s="17">
        <f>AVERAGE(Table1436281283286298334[[#This Row],[Teste 1]:[Teste 3]])</f>
        <v>2.6666666666666665</v>
      </c>
      <c r="N164" s="16"/>
      <c r="O164" s="16" t="s">
        <v>3</v>
      </c>
      <c r="P164" s="16" t="s">
        <v>9</v>
      </c>
      <c r="Q164" s="17">
        <v>2183</v>
      </c>
      <c r="R164" s="17">
        <v>2089</v>
      </c>
      <c r="S164" s="17">
        <v>2393</v>
      </c>
      <c r="T164" s="17">
        <f>AVERAGE(Table1436281283286298310346[[#This Row],[Teste 1]:[Teste 3]])</f>
        <v>2221.6666666666665</v>
      </c>
    </row>
    <row r="165" spans="1:20" x14ac:dyDescent="0.25">
      <c r="A165" s="16" t="s">
        <v>17</v>
      </c>
      <c r="B165" s="16" t="s">
        <v>4</v>
      </c>
      <c r="C165" s="17">
        <v>50106</v>
      </c>
      <c r="D165" s="17">
        <v>50163</v>
      </c>
      <c r="E165" s="17">
        <v>50144</v>
      </c>
      <c r="F165" s="17">
        <f>AVERAGE(Table1436281283286322[[#This Row],[Teste 1]:[Teste 3]])</f>
        <v>50137.666666666664</v>
      </c>
      <c r="G165" s="16"/>
      <c r="H165" s="16" t="s">
        <v>17</v>
      </c>
      <c r="I165" s="16" t="s">
        <v>4</v>
      </c>
      <c r="J165" s="17">
        <v>49926</v>
      </c>
      <c r="K165" s="17">
        <v>49733</v>
      </c>
      <c r="L165" s="17">
        <v>50228</v>
      </c>
      <c r="M165" s="17">
        <f>AVERAGE(Table1436281283286298334[[#This Row],[Teste 1]:[Teste 3]])</f>
        <v>49962.333333333336</v>
      </c>
      <c r="N165" s="16"/>
      <c r="O165" s="16" t="s">
        <v>17</v>
      </c>
      <c r="P165" s="16" t="s">
        <v>4</v>
      </c>
      <c r="Q165" s="17">
        <v>50023</v>
      </c>
      <c r="R165" s="17">
        <v>49920</v>
      </c>
      <c r="S165" s="17">
        <v>50222</v>
      </c>
      <c r="T165" s="17">
        <f>AVERAGE(Table1436281283286298310346[[#This Row],[Teste 1]:[Teste 3]])</f>
        <v>50055</v>
      </c>
    </row>
    <row r="166" spans="1:20" x14ac:dyDescent="0.25">
      <c r="A166" s="16" t="s">
        <v>17</v>
      </c>
      <c r="B166" s="16" t="s">
        <v>5</v>
      </c>
      <c r="C166" s="17">
        <v>614.48403384824098</v>
      </c>
      <c r="D166" s="17">
        <v>349.32531945856499</v>
      </c>
      <c r="E166" s="17">
        <v>423.88642708997997</v>
      </c>
      <c r="F166" s="17">
        <f>AVERAGE(Table1436281283286322[[#This Row],[Teste 1]:[Teste 3]])</f>
        <v>462.56526013226198</v>
      </c>
      <c r="G166" s="16"/>
      <c r="H166" s="16" t="s">
        <v>17</v>
      </c>
      <c r="I166" s="16" t="s">
        <v>5</v>
      </c>
      <c r="J166" s="17">
        <v>409.66</v>
      </c>
      <c r="K166" s="17">
        <v>232.88</v>
      </c>
      <c r="L166" s="17">
        <v>282.58999999999997</v>
      </c>
      <c r="M166" s="17">
        <f>AVERAGE(Table1436281283286298334[[#This Row],[Teste 1]:[Teste 3]])</f>
        <v>308.37666666666661</v>
      </c>
      <c r="N166" s="16"/>
      <c r="O166" s="16" t="s">
        <v>17</v>
      </c>
      <c r="P166" s="16" t="s">
        <v>5</v>
      </c>
      <c r="Q166" s="17">
        <v>818.43478000119899</v>
      </c>
      <c r="R166" s="17">
        <v>733.73323317307597</v>
      </c>
      <c r="S166" s="17">
        <v>805.41999522121705</v>
      </c>
      <c r="T166" s="17">
        <f>AVERAGE(Table1436281283286298310346[[#This Row],[Teste 1]:[Teste 3]])</f>
        <v>785.862669465164</v>
      </c>
    </row>
    <row r="167" spans="1:20" x14ac:dyDescent="0.25">
      <c r="A167" s="16" t="s">
        <v>17</v>
      </c>
      <c r="B167" s="16" t="s">
        <v>6</v>
      </c>
      <c r="C167" s="17">
        <v>125</v>
      </c>
      <c r="D167" s="17">
        <v>134</v>
      </c>
      <c r="E167" s="17">
        <v>114</v>
      </c>
      <c r="F167" s="17">
        <f>AVERAGE(Table1436281283286322[[#This Row],[Teste 1]:[Teste 3]])</f>
        <v>124.33333333333333</v>
      </c>
      <c r="G167" s="16"/>
      <c r="H167" s="16" t="s">
        <v>17</v>
      </c>
      <c r="I167" s="16" t="s">
        <v>6</v>
      </c>
      <c r="J167" s="17">
        <v>83</v>
      </c>
      <c r="K167" s="17">
        <v>89</v>
      </c>
      <c r="L167" s="17">
        <v>76</v>
      </c>
      <c r="M167" s="17">
        <f>AVERAGE(Table1436281283286298334[[#This Row],[Teste 1]:[Teste 3]])</f>
        <v>82.666666666666671</v>
      </c>
      <c r="N167" s="16"/>
      <c r="O167" s="16" t="s">
        <v>17</v>
      </c>
      <c r="P167" s="16" t="s">
        <v>6</v>
      </c>
      <c r="Q167" s="17">
        <v>204</v>
      </c>
      <c r="R167" s="17">
        <v>209</v>
      </c>
      <c r="S167" s="17">
        <v>219</v>
      </c>
      <c r="T167" s="17">
        <f>AVERAGE(Table1436281283286298310346[[#This Row],[Teste 1]:[Teste 3]])</f>
        <v>210.66666666666666</v>
      </c>
    </row>
    <row r="168" spans="1:20" ht="16.149999999999999" customHeight="1" x14ac:dyDescent="0.25">
      <c r="A168" s="16" t="s">
        <v>17</v>
      </c>
      <c r="B168" s="16" t="s">
        <v>7</v>
      </c>
      <c r="C168" s="17">
        <v>52831</v>
      </c>
      <c r="D168" s="17">
        <v>27183</v>
      </c>
      <c r="E168" s="17">
        <v>34303</v>
      </c>
      <c r="F168" s="17">
        <f>AVERAGE(Table1436281283286322[[#This Row],[Teste 1]:[Teste 3]])</f>
        <v>38105.666666666664</v>
      </c>
      <c r="G168" s="16"/>
      <c r="H168" s="16" t="s">
        <v>17</v>
      </c>
      <c r="I168" s="16" t="s">
        <v>7</v>
      </c>
      <c r="J168" s="17">
        <v>35221</v>
      </c>
      <c r="K168" s="17">
        <v>18122</v>
      </c>
      <c r="L168" s="17">
        <v>22869</v>
      </c>
      <c r="M168" s="17">
        <f>AVERAGE(Table1436281283286298334[[#This Row],[Teste 1]:[Teste 3]])</f>
        <v>25404</v>
      </c>
      <c r="N168" s="16"/>
      <c r="O168" s="16" t="s">
        <v>17</v>
      </c>
      <c r="P168" s="16" t="s">
        <v>7</v>
      </c>
      <c r="Q168" s="17">
        <v>210943</v>
      </c>
      <c r="R168" s="17">
        <v>17855</v>
      </c>
      <c r="S168" s="17">
        <v>293119</v>
      </c>
      <c r="T168" s="17">
        <f>AVERAGE(Table1436281283286298310346[[#This Row],[Teste 1]:[Teste 3]])</f>
        <v>173972.33333333334</v>
      </c>
    </row>
    <row r="169" spans="1:20" x14ac:dyDescent="0.25">
      <c r="A169" s="16" t="s">
        <v>17</v>
      </c>
      <c r="B169" s="16" t="s">
        <v>8</v>
      </c>
      <c r="C169" s="17">
        <v>1171</v>
      </c>
      <c r="D169" s="17">
        <v>607</v>
      </c>
      <c r="E169" s="17">
        <v>692</v>
      </c>
      <c r="F169" s="17">
        <f>AVERAGE(Table1436281283286322[[#This Row],[Teste 1]:[Teste 3]])</f>
        <v>823.33333333333337</v>
      </c>
      <c r="G169" s="16"/>
      <c r="H169" s="16" t="s">
        <v>17</v>
      </c>
      <c r="I169" s="16" t="s">
        <v>8</v>
      </c>
      <c r="J169" s="17">
        <v>781</v>
      </c>
      <c r="K169" s="17">
        <v>405</v>
      </c>
      <c r="L169" s="17">
        <v>461</v>
      </c>
      <c r="M169" s="17">
        <f>AVERAGE(Table1436281283286298334[[#This Row],[Teste 1]:[Teste 3]])</f>
        <v>549</v>
      </c>
      <c r="N169" s="16"/>
      <c r="O169" s="16" t="s">
        <v>17</v>
      </c>
      <c r="P169" s="16" t="s">
        <v>8</v>
      </c>
      <c r="Q169" s="17">
        <v>2125</v>
      </c>
      <c r="R169" s="17">
        <v>1872</v>
      </c>
      <c r="S169" s="17">
        <v>2093</v>
      </c>
      <c r="T169" s="17">
        <f>AVERAGE(Table1436281283286298310346[[#This Row],[Teste 1]:[Teste 3]])</f>
        <v>2030</v>
      </c>
    </row>
    <row r="170" spans="1:20" x14ac:dyDescent="0.25">
      <c r="A170" s="16" t="s">
        <v>17</v>
      </c>
      <c r="B170" s="16" t="s">
        <v>9</v>
      </c>
      <c r="C170" s="17">
        <v>9391</v>
      </c>
      <c r="D170" s="17">
        <v>1308</v>
      </c>
      <c r="E170" s="17">
        <v>2551</v>
      </c>
      <c r="F170" s="17">
        <f>AVERAGE(Table1436281283286322[[#This Row],[Teste 1]:[Teste 3]])</f>
        <v>4416.666666666667</v>
      </c>
      <c r="G170" s="16"/>
      <c r="H170" s="16" t="s">
        <v>17</v>
      </c>
      <c r="I170" s="16" t="s">
        <v>9</v>
      </c>
      <c r="J170" s="17">
        <v>6261</v>
      </c>
      <c r="K170" s="17">
        <v>872</v>
      </c>
      <c r="L170" s="17">
        <v>1701</v>
      </c>
      <c r="M170" s="17">
        <f>AVERAGE(Table1436281283286298334[[#This Row],[Teste 1]:[Teste 3]])</f>
        <v>2944.6666666666665</v>
      </c>
      <c r="N170" s="16"/>
      <c r="O170" s="16" t="s">
        <v>17</v>
      </c>
      <c r="P170" s="16" t="s">
        <v>9</v>
      </c>
      <c r="Q170" s="17">
        <v>2785</v>
      </c>
      <c r="R170" s="17">
        <v>2415</v>
      </c>
      <c r="S170" s="17">
        <v>2093</v>
      </c>
      <c r="T170" s="17">
        <f>AVERAGE(Table1436281283286298310346[[#This Row],[Teste 1]:[Teste 3]])</f>
        <v>2431</v>
      </c>
    </row>
    <row r="171" spans="1:20" x14ac:dyDescent="0.25">
      <c r="A171" s="16" t="s">
        <v>17</v>
      </c>
      <c r="B171" s="16" t="s">
        <v>11</v>
      </c>
      <c r="C171" s="17">
        <v>50106</v>
      </c>
      <c r="D171" s="17">
        <v>50163</v>
      </c>
      <c r="E171" s="17">
        <v>50144</v>
      </c>
      <c r="F171" s="17">
        <f>AVERAGE(Table1436281283286322[[#This Row],[Teste 1]:[Teste 3]])</f>
        <v>50137.666666666664</v>
      </c>
      <c r="G171" s="16"/>
      <c r="H171" s="16" t="s">
        <v>17</v>
      </c>
      <c r="I171" s="16" t="s">
        <v>11</v>
      </c>
      <c r="J171" s="17">
        <v>49926</v>
      </c>
      <c r="K171" s="17">
        <v>49733</v>
      </c>
      <c r="L171" s="17">
        <v>50228</v>
      </c>
      <c r="M171" s="17">
        <f>AVERAGE(Table1436281283286298334[[#This Row],[Teste 1]:[Teste 3]])</f>
        <v>49962.333333333336</v>
      </c>
      <c r="N171" s="16"/>
      <c r="O171" s="16" t="s">
        <v>17</v>
      </c>
      <c r="P171" s="16" t="s">
        <v>11</v>
      </c>
      <c r="Q171" s="17">
        <v>50023</v>
      </c>
      <c r="R171" s="17">
        <v>49920</v>
      </c>
      <c r="S171" s="17">
        <v>50222</v>
      </c>
      <c r="T171" s="17">
        <f>AVERAGE(Table1436281283286298310346[[#This Row],[Teste 1]:[Teste 3]])</f>
        <v>50055</v>
      </c>
    </row>
    <row r="172" spans="1:20" x14ac:dyDescent="0.25">
      <c r="A172" s="16"/>
      <c r="B172" s="16"/>
      <c r="C172" s="17"/>
      <c r="D172" s="17"/>
      <c r="E172" s="17"/>
      <c r="F172" s="17"/>
      <c r="G172" s="16"/>
      <c r="H172" s="16"/>
      <c r="I172" s="16"/>
      <c r="J172" s="17"/>
      <c r="K172" s="17"/>
      <c r="L172" s="17"/>
      <c r="M172" s="17"/>
      <c r="N172" s="16"/>
      <c r="O172" s="16"/>
      <c r="P172" s="16"/>
      <c r="Q172" s="17"/>
      <c r="R172" s="17"/>
      <c r="S172" s="17"/>
      <c r="T172" s="17"/>
    </row>
    <row r="173" spans="1:20" x14ac:dyDescent="0.25">
      <c r="A173" s="16"/>
      <c r="B173" s="16"/>
      <c r="C173" s="17"/>
      <c r="D173" s="17"/>
      <c r="E173" s="17"/>
      <c r="F173" s="17"/>
      <c r="G173" s="16"/>
      <c r="H173" s="16"/>
      <c r="I173" s="16"/>
      <c r="J173" s="17"/>
      <c r="K173" s="17"/>
      <c r="L173" s="17"/>
      <c r="M173" s="17"/>
      <c r="N173" s="16"/>
      <c r="O173" s="16"/>
      <c r="P173" s="16"/>
      <c r="Q173" s="17"/>
      <c r="R173" s="17"/>
      <c r="S173" s="17"/>
      <c r="T173" s="17"/>
    </row>
    <row r="174" spans="1:20" x14ac:dyDescent="0.25">
      <c r="A174" s="16"/>
      <c r="B174" s="16"/>
      <c r="C174" s="17"/>
      <c r="D174" s="17"/>
      <c r="E174" s="17"/>
      <c r="F174" s="17"/>
      <c r="G174" s="16"/>
      <c r="H174" s="16"/>
      <c r="I174" s="16"/>
      <c r="J174" s="17"/>
      <c r="K174" s="17"/>
      <c r="L174" s="17"/>
      <c r="M174" s="17"/>
      <c r="N174" s="16"/>
      <c r="O174" s="16"/>
      <c r="P174" s="16"/>
      <c r="Q174" s="17"/>
      <c r="R174" s="17"/>
      <c r="S174" s="17"/>
      <c r="T174" s="17"/>
    </row>
    <row r="175" spans="1:20" x14ac:dyDescent="0.25">
      <c r="Q175" s="16"/>
    </row>
    <row r="176" spans="1:20" x14ac:dyDescent="0.25">
      <c r="Q176" s="16"/>
    </row>
    <row r="177" spans="1:20" ht="15.75" x14ac:dyDescent="0.25">
      <c r="A177" s="2" t="s">
        <v>81</v>
      </c>
      <c r="H177" s="2" t="s">
        <v>81</v>
      </c>
      <c r="O177" s="2" t="s">
        <v>81</v>
      </c>
      <c r="Q177" s="16"/>
    </row>
    <row r="178" spans="1:20" ht="15.75" x14ac:dyDescent="0.25">
      <c r="A178" s="2" t="s">
        <v>65</v>
      </c>
      <c r="H178" s="2" t="s">
        <v>65</v>
      </c>
      <c r="O178" s="2" t="s">
        <v>65</v>
      </c>
      <c r="Q178" s="16"/>
    </row>
    <row r="179" spans="1:20" x14ac:dyDescent="0.25">
      <c r="A179" s="16" t="s">
        <v>59</v>
      </c>
      <c r="B179" s="16" t="s">
        <v>81</v>
      </c>
      <c r="C179" s="16" t="s">
        <v>82</v>
      </c>
      <c r="D179" s="16" t="s">
        <v>64</v>
      </c>
      <c r="E179" s="16" t="s">
        <v>63</v>
      </c>
      <c r="F179" s="16" t="s">
        <v>18</v>
      </c>
      <c r="G179" s="16"/>
      <c r="H179" s="16" t="s">
        <v>12</v>
      </c>
      <c r="I179" s="16" t="s">
        <v>81</v>
      </c>
      <c r="J179" s="16" t="s">
        <v>82</v>
      </c>
      <c r="K179" s="16" t="s">
        <v>64</v>
      </c>
      <c r="L179" s="16" t="s">
        <v>63</v>
      </c>
      <c r="M179" s="16" t="s">
        <v>18</v>
      </c>
      <c r="N179" s="16"/>
      <c r="O179" s="16" t="s">
        <v>13</v>
      </c>
      <c r="P179" s="16" t="s">
        <v>81</v>
      </c>
      <c r="Q179" s="16" t="s">
        <v>82</v>
      </c>
      <c r="R179" s="16" t="s">
        <v>64</v>
      </c>
      <c r="S179" s="16" t="s">
        <v>63</v>
      </c>
      <c r="T179" s="16" t="s">
        <v>18</v>
      </c>
    </row>
    <row r="180" spans="1:20" x14ac:dyDescent="0.25">
      <c r="A180" s="16" t="s">
        <v>0</v>
      </c>
      <c r="B180" s="16" t="s">
        <v>1</v>
      </c>
      <c r="C180" s="17">
        <v>52032790</v>
      </c>
      <c r="D180" s="17">
        <v>52077477</v>
      </c>
      <c r="E180" s="17">
        <v>52037209</v>
      </c>
      <c r="F180" s="17">
        <f>AVERAGE(Table1436281287323[[#This Row],[Teste 1]:[Teste 3]])</f>
        <v>52049158.666666664</v>
      </c>
      <c r="G180" s="16"/>
      <c r="H180" s="16" t="s">
        <v>0</v>
      </c>
      <c r="I180" s="16" t="s">
        <v>1</v>
      </c>
      <c r="J180" s="17">
        <v>52323598</v>
      </c>
      <c r="K180" s="17">
        <v>52576680</v>
      </c>
      <c r="L180" s="17">
        <v>52705193</v>
      </c>
      <c r="M180" s="17">
        <f>AVERAGE(Table1436281287299335[[#This Row],[Teste 1]:[Teste 3]])</f>
        <v>52535157</v>
      </c>
      <c r="N180" s="16"/>
      <c r="O180" s="16" t="s">
        <v>0</v>
      </c>
      <c r="P180" s="16" t="s">
        <v>1</v>
      </c>
      <c r="Q180" s="17">
        <v>4550346</v>
      </c>
      <c r="R180" s="17">
        <v>5055450</v>
      </c>
      <c r="S180" s="17">
        <v>5067807</v>
      </c>
      <c r="T180" s="17">
        <f>AVERAGE(Table1436281287299311347[[#This Row],[Teste 1]:[Teste 3]])</f>
        <v>4891201</v>
      </c>
    </row>
    <row r="181" spans="1:20" x14ac:dyDescent="0.25">
      <c r="A181" s="16" t="s">
        <v>0</v>
      </c>
      <c r="B181" s="16" t="s">
        <v>2</v>
      </c>
      <c r="C181" s="17">
        <v>217.23645253741901</v>
      </c>
      <c r="D181" s="17">
        <v>192.02159121495001</v>
      </c>
      <c r="E181" s="17">
        <v>201.05129121495</v>
      </c>
      <c r="F181" s="17">
        <f>AVERAGE(Table1436281287323[[#This Row],[Teste 1]:[Teste 3]])</f>
        <v>203.43644498910635</v>
      </c>
      <c r="G181" s="16"/>
      <c r="H181" s="16" t="s">
        <v>0</v>
      </c>
      <c r="I181" s="16" t="s">
        <v>2</v>
      </c>
      <c r="J181" s="17">
        <v>211.31</v>
      </c>
      <c r="K181" s="17">
        <v>190.19</v>
      </c>
      <c r="L181" s="17">
        <v>189.73</v>
      </c>
      <c r="M181" s="17">
        <f>AVERAGE(Table1436281287299335[[#This Row],[Teste 1]:[Teste 3]])</f>
        <v>197.07666666666668</v>
      </c>
      <c r="N181" s="16"/>
      <c r="O181" s="16" t="s">
        <v>0</v>
      </c>
      <c r="P181" s="16" t="s">
        <v>2</v>
      </c>
      <c r="Q181" s="17">
        <v>2197.6350809367</v>
      </c>
      <c r="R181" s="17">
        <v>1978.0632782442699</v>
      </c>
      <c r="S181" s="17">
        <v>1973.2401016849999</v>
      </c>
      <c r="T181" s="17">
        <f>AVERAGE(Table1436281287299311347[[#This Row],[Teste 1]:[Teste 3]])</f>
        <v>2049.6461536219899</v>
      </c>
    </row>
    <row r="182" spans="1:20" x14ac:dyDescent="0.25">
      <c r="A182" s="16" t="s">
        <v>16</v>
      </c>
      <c r="B182" s="16" t="s">
        <v>4</v>
      </c>
      <c r="C182" s="17">
        <v>9499433</v>
      </c>
      <c r="D182" s="17">
        <v>9499732</v>
      </c>
      <c r="E182" s="17">
        <v>9000000</v>
      </c>
      <c r="F182" s="17">
        <f>AVERAGE(Table1436281287323[[#This Row],[Teste 1]:[Teste 3]])</f>
        <v>9333055</v>
      </c>
      <c r="G182" s="16"/>
      <c r="H182" s="16" t="s">
        <v>16</v>
      </c>
      <c r="I182" s="16" t="s">
        <v>4</v>
      </c>
      <c r="J182" s="17">
        <v>9499288</v>
      </c>
      <c r="K182" s="17">
        <v>9499483</v>
      </c>
      <c r="L182" s="17">
        <v>9501454</v>
      </c>
      <c r="M182" s="17">
        <f>AVERAGE(Table1436281287299335[[#This Row],[Teste 1]:[Teste 3]])</f>
        <v>9500075</v>
      </c>
      <c r="N182" s="16"/>
      <c r="O182" s="16" t="s">
        <v>16</v>
      </c>
      <c r="P182" s="16" t="s">
        <v>4</v>
      </c>
      <c r="Q182" s="17">
        <v>9499717</v>
      </c>
      <c r="R182" s="17">
        <v>9500163</v>
      </c>
      <c r="S182" s="17">
        <v>9500098</v>
      </c>
      <c r="T182" s="17">
        <f>AVERAGE(Table1436281287299311347[[#This Row],[Teste 1]:[Teste 3]])</f>
        <v>9499992.666666666</v>
      </c>
    </row>
    <row r="183" spans="1:20" x14ac:dyDescent="0.25">
      <c r="A183" s="16" t="s">
        <v>16</v>
      </c>
      <c r="B183" s="16" t="s">
        <v>5</v>
      </c>
      <c r="C183" s="17">
        <v>4825.1876034074803</v>
      </c>
      <c r="D183" s="17">
        <v>5461.8269325913598</v>
      </c>
      <c r="E183" s="17">
        <v>4752.7813064074799</v>
      </c>
      <c r="F183" s="17">
        <f>AVERAGE(Table1436281287323[[#This Row],[Teste 1]:[Teste 3]])</f>
        <v>5013.2652808021066</v>
      </c>
      <c r="G183" s="16"/>
      <c r="H183" s="16" t="s">
        <v>16</v>
      </c>
      <c r="I183" s="16" t="s">
        <v>5</v>
      </c>
      <c r="J183" s="17">
        <v>4601.54</v>
      </c>
      <c r="K183" s="17">
        <v>5127.8100000000004</v>
      </c>
      <c r="L183" s="17">
        <v>5143.6400000000003</v>
      </c>
      <c r="M183" s="17">
        <f>AVERAGE(Table1436281287299335[[#This Row],[Teste 1]:[Teste 3]])</f>
        <v>4957.6633333333339</v>
      </c>
      <c r="N183" s="16"/>
      <c r="O183" s="16" t="s">
        <v>16</v>
      </c>
      <c r="P183" s="16" t="s">
        <v>5</v>
      </c>
      <c r="Q183" s="17">
        <v>442.45596442504501</v>
      </c>
      <c r="R183" s="17">
        <v>493.05839636646198</v>
      </c>
      <c r="S183" s="17">
        <v>494.58101800634</v>
      </c>
      <c r="T183" s="17">
        <f>AVERAGE(Table1436281287299311347[[#This Row],[Teste 1]:[Teste 3]])</f>
        <v>476.69845959928233</v>
      </c>
    </row>
    <row r="184" spans="1:20" x14ac:dyDescent="0.25">
      <c r="A184" s="16" t="s">
        <v>16</v>
      </c>
      <c r="B184" s="16" t="s">
        <v>6</v>
      </c>
      <c r="C184" s="17">
        <v>68</v>
      </c>
      <c r="D184" s="17">
        <v>75</v>
      </c>
      <c r="E184" s="17">
        <v>63</v>
      </c>
      <c r="F184" s="17">
        <f>AVERAGE(Table1436281287323[[#This Row],[Teste 1]:[Teste 3]])</f>
        <v>68.666666666666671</v>
      </c>
      <c r="G184" s="16"/>
      <c r="H184" s="16" t="s">
        <v>16</v>
      </c>
      <c r="I184" s="16" t="s">
        <v>6</v>
      </c>
      <c r="J184" s="17">
        <v>946</v>
      </c>
      <c r="K184" s="17">
        <v>1060</v>
      </c>
      <c r="L184" s="17">
        <v>1019</v>
      </c>
      <c r="M184" s="17">
        <f>AVERAGE(Table1436281287299335[[#This Row],[Teste 1]:[Teste 3]])</f>
        <v>1008.3333333333334</v>
      </c>
      <c r="N184" s="16"/>
      <c r="O184" s="16" t="s">
        <v>16</v>
      </c>
      <c r="P184" s="16" t="s">
        <v>6</v>
      </c>
      <c r="Q184" s="17">
        <v>91</v>
      </c>
      <c r="R184" s="17">
        <v>102</v>
      </c>
      <c r="S184" s="17">
        <v>98</v>
      </c>
      <c r="T184" s="17">
        <f>AVERAGE(Table1436281287299311347[[#This Row],[Teste 1]:[Teste 3]])</f>
        <v>97</v>
      </c>
    </row>
    <row r="185" spans="1:20" x14ac:dyDescent="0.25">
      <c r="A185" s="16" t="s">
        <v>16</v>
      </c>
      <c r="B185" s="16" t="s">
        <v>7</v>
      </c>
      <c r="C185" s="17">
        <v>5365759</v>
      </c>
      <c r="D185" s="17">
        <v>6103039</v>
      </c>
      <c r="E185" s="17"/>
      <c r="F185" s="17">
        <f>AVERAGE(Table1436281287323[[#This Row],[Teste 1]:[Teste 3]])</f>
        <v>5734399</v>
      </c>
      <c r="G185" s="16"/>
      <c r="H185" s="16" t="s">
        <v>16</v>
      </c>
      <c r="I185" s="16" t="s">
        <v>7</v>
      </c>
      <c r="J185" s="17">
        <v>18817833</v>
      </c>
      <c r="K185" s="17">
        <v>21235292</v>
      </c>
      <c r="L185" s="17">
        <v>13280041</v>
      </c>
      <c r="M185" s="17">
        <f>AVERAGE(Table1436281287299335[[#This Row],[Teste 1]:[Teste 3]])</f>
        <v>17777722</v>
      </c>
      <c r="N185" s="16"/>
      <c r="O185" s="16" t="s">
        <v>16</v>
      </c>
      <c r="P185" s="16" t="s">
        <v>7</v>
      </c>
      <c r="Q185" s="17">
        <v>1809407</v>
      </c>
      <c r="R185" s="17">
        <v>2041855</v>
      </c>
      <c r="S185" s="17">
        <v>1276927</v>
      </c>
      <c r="T185" s="17">
        <f>AVERAGE(Table1436281287299311347[[#This Row],[Teste 1]:[Teste 3]])</f>
        <v>1709396.3333333333</v>
      </c>
    </row>
    <row r="186" spans="1:20" x14ac:dyDescent="0.25">
      <c r="A186" s="16" t="s">
        <v>16</v>
      </c>
      <c r="B186" s="16" t="s">
        <v>8</v>
      </c>
      <c r="C186" s="17">
        <v>2149</v>
      </c>
      <c r="D186" s="17">
        <v>2389</v>
      </c>
      <c r="E186" s="17">
        <v>2089</v>
      </c>
      <c r="F186" s="17">
        <f>AVERAGE(Table1436281287323[[#This Row],[Teste 1]:[Teste 3]])</f>
        <v>2209</v>
      </c>
      <c r="G186" s="16"/>
      <c r="H186" s="16" t="s">
        <v>16</v>
      </c>
      <c r="I186" s="16" t="s">
        <v>8</v>
      </c>
      <c r="J186" s="17">
        <v>7748</v>
      </c>
      <c r="K186" s="17">
        <v>9183</v>
      </c>
      <c r="L186" s="17">
        <v>9360</v>
      </c>
      <c r="M186" s="17">
        <f>AVERAGE(Table1436281287299335[[#This Row],[Teste 1]:[Teste 3]])</f>
        <v>8763.6666666666661</v>
      </c>
      <c r="N186" s="16"/>
      <c r="O186" s="16" t="s">
        <v>16</v>
      </c>
      <c r="P186" s="16" t="s">
        <v>8</v>
      </c>
      <c r="Q186" s="17">
        <v>745</v>
      </c>
      <c r="R186" s="17">
        <v>883</v>
      </c>
      <c r="S186" s="17">
        <v>900</v>
      </c>
      <c r="T186" s="17">
        <f>AVERAGE(Table1436281287299311347[[#This Row],[Teste 1]:[Teste 3]])</f>
        <v>842.66666666666663</v>
      </c>
    </row>
    <row r="187" spans="1:20" x14ac:dyDescent="0.25">
      <c r="A187" s="16" t="s">
        <v>16</v>
      </c>
      <c r="B187" s="16" t="s">
        <v>9</v>
      </c>
      <c r="C187" s="17">
        <v>56223</v>
      </c>
      <c r="D187" s="17">
        <v>59199</v>
      </c>
      <c r="E187" s="17">
        <v>56110</v>
      </c>
      <c r="F187" s="17">
        <f>AVERAGE(Table1436281287323[[#This Row],[Teste 1]:[Teste 3]])</f>
        <v>57177.333333333336</v>
      </c>
      <c r="G187" s="16"/>
      <c r="H187" s="16" t="s">
        <v>16</v>
      </c>
      <c r="I187" s="16" t="s">
        <v>9</v>
      </c>
      <c r="J187" s="17">
        <v>10108</v>
      </c>
      <c r="K187" s="17">
        <v>13634</v>
      </c>
      <c r="L187" s="17">
        <v>13842</v>
      </c>
      <c r="M187" s="17">
        <f>AVERAGE(Table1436281287299335[[#This Row],[Teste 1]:[Teste 3]])</f>
        <v>12528</v>
      </c>
      <c r="N187" s="16"/>
      <c r="O187" s="16" t="s">
        <v>16</v>
      </c>
      <c r="P187" s="16" t="s">
        <v>9</v>
      </c>
      <c r="Q187" s="17">
        <v>972</v>
      </c>
      <c r="R187" s="17">
        <v>1311</v>
      </c>
      <c r="S187" s="17">
        <v>1331</v>
      </c>
      <c r="T187" s="17">
        <f>AVERAGE(Table1436281287299311347[[#This Row],[Teste 1]:[Teste 3]])</f>
        <v>1204.6666666666667</v>
      </c>
    </row>
    <row r="188" spans="1:20" x14ac:dyDescent="0.25">
      <c r="A188" s="16" t="s">
        <v>16</v>
      </c>
      <c r="B188" s="16" t="s">
        <v>11</v>
      </c>
      <c r="C188" s="17">
        <v>9499433</v>
      </c>
      <c r="D188" s="17">
        <v>9499732</v>
      </c>
      <c r="E188" s="17">
        <v>9000000</v>
      </c>
      <c r="F188" s="17">
        <f>AVERAGE(Table1436281287323[[#This Row],[Teste 1]:[Teste 3]])</f>
        <v>9333055</v>
      </c>
      <c r="G188" s="16"/>
      <c r="H188" s="16" t="s">
        <v>16</v>
      </c>
      <c r="I188" s="16" t="s">
        <v>11</v>
      </c>
      <c r="J188" s="17">
        <v>9499288</v>
      </c>
      <c r="K188" s="17">
        <v>9499483</v>
      </c>
      <c r="L188" s="17">
        <v>9501454</v>
      </c>
      <c r="M188" s="17">
        <f>AVERAGE(Table1436281287299335[[#This Row],[Teste 1]:[Teste 3]])</f>
        <v>9500075</v>
      </c>
      <c r="N188" s="16"/>
      <c r="O188" s="16" t="s">
        <v>16</v>
      </c>
      <c r="P188" s="16" t="s">
        <v>11</v>
      </c>
      <c r="Q188" s="17">
        <v>9499717</v>
      </c>
      <c r="R188" s="17">
        <v>9500163</v>
      </c>
      <c r="S188" s="17">
        <v>9500098</v>
      </c>
      <c r="T188" s="17">
        <f>AVERAGE(Table1436281287299311347[[#This Row],[Teste 1]:[Teste 3]])</f>
        <v>9499992.666666666</v>
      </c>
    </row>
    <row r="189" spans="1:20" x14ac:dyDescent="0.25">
      <c r="A189" s="16" t="s">
        <v>3</v>
      </c>
      <c r="B189" s="16" t="s">
        <v>4</v>
      </c>
      <c r="C189" s="17">
        <v>1</v>
      </c>
      <c r="D189" s="17">
        <v>1</v>
      </c>
      <c r="E189" s="17">
        <v>1</v>
      </c>
      <c r="F189" s="17">
        <f>AVERAGE(Table1436281287323[[#This Row],[Teste 1]:[Teste 3]])</f>
        <v>1</v>
      </c>
      <c r="G189" s="16"/>
      <c r="H189" s="16" t="s">
        <v>3</v>
      </c>
      <c r="I189" s="16" t="s">
        <v>4</v>
      </c>
      <c r="J189" s="17">
        <v>1</v>
      </c>
      <c r="K189" s="17">
        <v>1</v>
      </c>
      <c r="L189" s="17">
        <v>1</v>
      </c>
      <c r="M189" s="17">
        <f>AVERAGE(Table1436281287299335[[#This Row],[Teste 1]:[Teste 3]])</f>
        <v>1</v>
      </c>
      <c r="N189" s="16"/>
      <c r="O189" s="16" t="s">
        <v>3</v>
      </c>
      <c r="P189" s="16" t="s">
        <v>4</v>
      </c>
      <c r="Q189" s="17">
        <v>1</v>
      </c>
      <c r="R189" s="17">
        <v>1</v>
      </c>
      <c r="S189" s="17">
        <v>1</v>
      </c>
      <c r="T189" s="17">
        <f>AVERAGE(Table1436281287299311347[[#This Row],[Teste 1]:[Teste 3]])</f>
        <v>1</v>
      </c>
    </row>
    <row r="190" spans="1:20" x14ac:dyDescent="0.25">
      <c r="A190" s="16" t="s">
        <v>3</v>
      </c>
      <c r="B190" s="16" t="s">
        <v>5</v>
      </c>
      <c r="C190" s="17">
        <v>1</v>
      </c>
      <c r="D190" s="17">
        <v>2</v>
      </c>
      <c r="E190" s="17">
        <v>1</v>
      </c>
      <c r="F190" s="17">
        <f>AVERAGE(Table1436281287323[[#This Row],[Teste 1]:[Teste 3]])</f>
        <v>1.3333333333333333</v>
      </c>
      <c r="G190" s="16"/>
      <c r="H190" s="16" t="s">
        <v>3</v>
      </c>
      <c r="I190" s="16" t="s">
        <v>5</v>
      </c>
      <c r="J190" s="17">
        <v>8</v>
      </c>
      <c r="K190" s="17">
        <v>10</v>
      </c>
      <c r="L190" s="17">
        <v>9</v>
      </c>
      <c r="M190" s="17">
        <f>AVERAGE(Table1436281287299335[[#This Row],[Teste 1]:[Teste 3]])</f>
        <v>9</v>
      </c>
      <c r="N190" s="16"/>
      <c r="O190" s="16" t="s">
        <v>3</v>
      </c>
      <c r="P190" s="16" t="s">
        <v>5</v>
      </c>
      <c r="Q190" s="17">
        <v>2917</v>
      </c>
      <c r="R190" s="17">
        <v>10052</v>
      </c>
      <c r="S190" s="17">
        <v>20376</v>
      </c>
      <c r="T190" s="17">
        <f>AVERAGE(Table1436281287299311347[[#This Row],[Teste 1]:[Teste 3]])</f>
        <v>11115</v>
      </c>
    </row>
    <row r="191" spans="1:20" x14ac:dyDescent="0.25">
      <c r="A191" s="16" t="s">
        <v>3</v>
      </c>
      <c r="B191" s="16" t="s">
        <v>6</v>
      </c>
      <c r="C191" s="17">
        <v>1</v>
      </c>
      <c r="D191" s="17">
        <v>2</v>
      </c>
      <c r="E191" s="17">
        <v>1</v>
      </c>
      <c r="F191" s="17">
        <f>AVERAGE(Table1436281287323[[#This Row],[Teste 1]:[Teste 3]])</f>
        <v>1.3333333333333333</v>
      </c>
      <c r="G191" s="16"/>
      <c r="H191" s="16" t="s">
        <v>3</v>
      </c>
      <c r="I191" s="16" t="s">
        <v>6</v>
      </c>
      <c r="J191" s="17">
        <v>8</v>
      </c>
      <c r="K191" s="17">
        <v>10</v>
      </c>
      <c r="L191" s="17">
        <v>9</v>
      </c>
      <c r="M191" s="17">
        <f>AVERAGE(Table1436281287299335[[#This Row],[Teste 1]:[Teste 3]])</f>
        <v>9</v>
      </c>
      <c r="N191" s="16"/>
      <c r="O191" s="16" t="s">
        <v>3</v>
      </c>
      <c r="P191" s="16" t="s">
        <v>6</v>
      </c>
      <c r="Q191" s="17">
        <v>2917</v>
      </c>
      <c r="R191" s="17">
        <v>10048</v>
      </c>
      <c r="S191" s="17">
        <v>20368</v>
      </c>
      <c r="T191" s="17">
        <f>AVERAGE(Table1436281287299311347[[#This Row],[Teste 1]:[Teste 3]])</f>
        <v>11111</v>
      </c>
    </row>
    <row r="192" spans="1:20" x14ac:dyDescent="0.25">
      <c r="A192" s="16" t="s">
        <v>3</v>
      </c>
      <c r="B192" s="16" t="s">
        <v>7</v>
      </c>
      <c r="C192" s="17">
        <v>1</v>
      </c>
      <c r="D192" s="17">
        <v>2</v>
      </c>
      <c r="E192" s="17">
        <v>1</v>
      </c>
      <c r="F192" s="17">
        <f>AVERAGE(Table1436281287323[[#This Row],[Teste 1]:[Teste 3]])</f>
        <v>1.3333333333333333</v>
      </c>
      <c r="G192" s="16"/>
      <c r="H192" s="16" t="s">
        <v>3</v>
      </c>
      <c r="I192" s="16" t="s">
        <v>7</v>
      </c>
      <c r="J192" s="17">
        <v>8</v>
      </c>
      <c r="K192" s="17">
        <v>10</v>
      </c>
      <c r="L192" s="17">
        <v>9</v>
      </c>
      <c r="M192" s="17">
        <f>AVERAGE(Table1436281287299335[[#This Row],[Teste 1]:[Teste 3]])</f>
        <v>9</v>
      </c>
      <c r="N192" s="16"/>
      <c r="O192" s="16" t="s">
        <v>3</v>
      </c>
      <c r="P192" s="16" t="s">
        <v>7</v>
      </c>
      <c r="Q192" s="17">
        <v>2917</v>
      </c>
      <c r="R192" s="17">
        <v>10055</v>
      </c>
      <c r="S192" s="17">
        <v>20383</v>
      </c>
      <c r="T192" s="17">
        <f>AVERAGE(Table1436281287299311347[[#This Row],[Teste 1]:[Teste 3]])</f>
        <v>11118.333333333334</v>
      </c>
    </row>
    <row r="193" spans="1:20" x14ac:dyDescent="0.25">
      <c r="A193" s="16" t="s">
        <v>3</v>
      </c>
      <c r="B193" s="16" t="s">
        <v>8</v>
      </c>
      <c r="C193" s="17">
        <v>1</v>
      </c>
      <c r="D193" s="17">
        <v>2</v>
      </c>
      <c r="E193" s="17">
        <v>1</v>
      </c>
      <c r="F193" s="17">
        <f>AVERAGE(Table1436281287323[[#This Row],[Teste 1]:[Teste 3]])</f>
        <v>1.3333333333333333</v>
      </c>
      <c r="G193" s="16"/>
      <c r="H193" s="16" t="s">
        <v>3</v>
      </c>
      <c r="I193" s="16" t="s">
        <v>8</v>
      </c>
      <c r="J193" s="17">
        <v>8</v>
      </c>
      <c r="K193" s="17">
        <v>10</v>
      </c>
      <c r="L193" s="17">
        <v>9</v>
      </c>
      <c r="M193" s="17">
        <f>AVERAGE(Table1436281287299335[[#This Row],[Teste 1]:[Teste 3]])</f>
        <v>9</v>
      </c>
      <c r="N193" s="16"/>
      <c r="O193" s="16" t="s">
        <v>3</v>
      </c>
      <c r="P193" s="16" t="s">
        <v>8</v>
      </c>
      <c r="Q193" s="17">
        <v>2917</v>
      </c>
      <c r="R193" s="17">
        <v>10055</v>
      </c>
      <c r="S193" s="17">
        <v>20383</v>
      </c>
      <c r="T193" s="17">
        <f>AVERAGE(Table1436281287299311347[[#This Row],[Teste 1]:[Teste 3]])</f>
        <v>11118.333333333334</v>
      </c>
    </row>
    <row r="194" spans="1:20" x14ac:dyDescent="0.25">
      <c r="A194" s="16" t="s">
        <v>3</v>
      </c>
      <c r="B194" s="16" t="s">
        <v>9</v>
      </c>
      <c r="C194" s="17">
        <v>1</v>
      </c>
      <c r="D194" s="17">
        <v>2</v>
      </c>
      <c r="E194" s="17">
        <v>1</v>
      </c>
      <c r="F194" s="17">
        <f>AVERAGE(Table1436281287323[[#This Row],[Teste 1]:[Teste 3]])</f>
        <v>1.3333333333333333</v>
      </c>
      <c r="G194" s="16"/>
      <c r="H194" s="16" t="s">
        <v>3</v>
      </c>
      <c r="I194" s="16" t="s">
        <v>9</v>
      </c>
      <c r="J194" s="17">
        <v>8</v>
      </c>
      <c r="K194" s="17">
        <v>10</v>
      </c>
      <c r="L194" s="17">
        <v>9</v>
      </c>
      <c r="M194" s="17">
        <f>AVERAGE(Table1436281287299335[[#This Row],[Teste 1]:[Teste 3]])</f>
        <v>9</v>
      </c>
      <c r="N194" s="16"/>
      <c r="O194" s="16" t="s">
        <v>3</v>
      </c>
      <c r="P194" s="16" t="s">
        <v>9</v>
      </c>
      <c r="Q194" s="17">
        <v>2917</v>
      </c>
      <c r="R194" s="17">
        <v>10055</v>
      </c>
      <c r="S194" s="17">
        <v>20383</v>
      </c>
      <c r="T194" s="17">
        <f>AVERAGE(Table1436281287299311347[[#This Row],[Teste 1]:[Teste 3]])</f>
        <v>11118.333333333334</v>
      </c>
    </row>
    <row r="195" spans="1:20" x14ac:dyDescent="0.25">
      <c r="A195" s="16" t="s">
        <v>17</v>
      </c>
      <c r="B195" s="16" t="s">
        <v>4</v>
      </c>
      <c r="C195" s="17">
        <v>500567</v>
      </c>
      <c r="D195" s="17">
        <v>500268</v>
      </c>
      <c r="E195" s="17">
        <v>500000</v>
      </c>
      <c r="F195" s="17">
        <f>AVERAGE(Table1436281287323[[#This Row],[Teste 1]:[Teste 3]])</f>
        <v>500278.33333333331</v>
      </c>
      <c r="G195" s="16"/>
      <c r="H195" s="16" t="s">
        <v>17</v>
      </c>
      <c r="I195" s="16" t="s">
        <v>4</v>
      </c>
      <c r="J195" s="17">
        <v>500712</v>
      </c>
      <c r="K195" s="17">
        <v>500517</v>
      </c>
      <c r="L195" s="17">
        <v>498546</v>
      </c>
      <c r="M195" s="17">
        <f>AVERAGE(Table1436281287299335[[#This Row],[Teste 1]:[Teste 3]])</f>
        <v>499925</v>
      </c>
      <c r="N195" s="16"/>
      <c r="O195" s="16" t="s">
        <v>17</v>
      </c>
      <c r="P195" s="16" t="s">
        <v>4</v>
      </c>
      <c r="Q195" s="17">
        <v>500283</v>
      </c>
      <c r="R195" s="17">
        <v>499837</v>
      </c>
      <c r="S195" s="17">
        <v>499902</v>
      </c>
      <c r="T195" s="17">
        <f>AVERAGE(Table1436281287299311347[[#This Row],[Teste 1]:[Teste 3]])</f>
        <v>500007.33333333331</v>
      </c>
    </row>
    <row r="196" spans="1:20" x14ac:dyDescent="0.25">
      <c r="A196" s="16" t="s">
        <v>17</v>
      </c>
      <c r="B196" s="16" t="s">
        <v>5</v>
      </c>
      <c r="C196" s="17">
        <v>327.35415838439201</v>
      </c>
      <c r="D196" s="17">
        <v>311.84553479335</v>
      </c>
      <c r="E196" s="17">
        <v>333.54899999999998</v>
      </c>
      <c r="F196" s="17">
        <f>AVERAGE(Table1436281287323[[#This Row],[Teste 1]:[Teste 3]])</f>
        <v>324.24956439258068</v>
      </c>
      <c r="G196" s="16"/>
      <c r="H196" s="16" t="s">
        <v>17</v>
      </c>
      <c r="I196" s="16" t="s">
        <v>5</v>
      </c>
      <c r="J196" s="17">
        <v>6651.12</v>
      </c>
      <c r="K196" s="17">
        <v>7101.09</v>
      </c>
      <c r="L196" s="17">
        <v>7079.21</v>
      </c>
      <c r="M196" s="17">
        <f>AVERAGE(Table1436281287299335[[#This Row],[Teste 1]:[Teste 3]])</f>
        <v>6943.8066666666664</v>
      </c>
      <c r="N196" s="16"/>
      <c r="O196" s="16" t="s">
        <v>17</v>
      </c>
      <c r="P196" s="16" t="s">
        <v>5</v>
      </c>
      <c r="Q196" s="17">
        <v>639.53037780616103</v>
      </c>
      <c r="R196" s="17">
        <v>682.79742195955805</v>
      </c>
      <c r="S196" s="17">
        <v>680.69365395617501</v>
      </c>
      <c r="T196" s="17">
        <f>AVERAGE(Table1436281287299311347[[#This Row],[Teste 1]:[Teste 3]])</f>
        <v>667.67381790729803</v>
      </c>
    </row>
    <row r="197" spans="1:20" x14ac:dyDescent="0.25">
      <c r="A197" s="16" t="s">
        <v>17</v>
      </c>
      <c r="B197" s="16" t="s">
        <v>6</v>
      </c>
      <c r="C197" s="17">
        <v>120</v>
      </c>
      <c r="D197" s="17">
        <v>134</v>
      </c>
      <c r="E197" s="17">
        <v>117</v>
      </c>
      <c r="F197" s="17">
        <f>AVERAGE(Table1436281287323[[#This Row],[Teste 1]:[Teste 3]])</f>
        <v>123.66666666666667</v>
      </c>
      <c r="G197" s="16"/>
      <c r="H197" s="16" t="s">
        <v>17</v>
      </c>
      <c r="I197" s="16" t="s">
        <v>6</v>
      </c>
      <c r="J197" s="17">
        <v>1976</v>
      </c>
      <c r="K197" s="17">
        <v>2038</v>
      </c>
      <c r="L197" s="17">
        <v>2028</v>
      </c>
      <c r="M197" s="17">
        <f>AVERAGE(Table1436281287299335[[#This Row],[Teste 1]:[Teste 3]])</f>
        <v>2014</v>
      </c>
      <c r="N197" s="16"/>
      <c r="O197" s="16" t="s">
        <v>17</v>
      </c>
      <c r="P197" s="16" t="s">
        <v>6</v>
      </c>
      <c r="Q197" s="17">
        <v>190</v>
      </c>
      <c r="R197" s="17">
        <v>196</v>
      </c>
      <c r="S197" s="17">
        <v>195</v>
      </c>
      <c r="T197" s="17">
        <f>AVERAGE(Table1436281287299311347[[#This Row],[Teste 1]:[Teste 3]])</f>
        <v>193.66666666666666</v>
      </c>
    </row>
    <row r="198" spans="1:20" x14ac:dyDescent="0.25">
      <c r="A198" s="16" t="s">
        <v>17</v>
      </c>
      <c r="B198" s="16" t="s">
        <v>7</v>
      </c>
      <c r="C198" s="17">
        <v>58783</v>
      </c>
      <c r="D198" s="17">
        <v>31887</v>
      </c>
      <c r="E198" s="17">
        <v>60112</v>
      </c>
      <c r="F198" s="17">
        <f>AVERAGE(Table1436281287323[[#This Row],[Teste 1]:[Teste 3]])</f>
        <v>50260.666666666664</v>
      </c>
      <c r="G198" s="16"/>
      <c r="H198" s="16" t="s">
        <v>17</v>
      </c>
      <c r="I198" s="16" t="s">
        <v>7</v>
      </c>
      <c r="J198" s="17">
        <v>9403586</v>
      </c>
      <c r="K198" s="17">
        <v>8093686</v>
      </c>
      <c r="L198" s="17">
        <v>7827446</v>
      </c>
      <c r="M198" s="17">
        <f>AVERAGE(Table1436281287299335[[#This Row],[Teste 1]:[Teste 3]])</f>
        <v>8441572.666666666</v>
      </c>
      <c r="N198" s="16"/>
      <c r="O198" s="16" t="s">
        <v>17</v>
      </c>
      <c r="P198" s="16" t="s">
        <v>7</v>
      </c>
      <c r="Q198" s="17">
        <v>904191</v>
      </c>
      <c r="R198" s="17">
        <v>778239</v>
      </c>
      <c r="S198" s="17">
        <v>752639</v>
      </c>
      <c r="T198" s="17">
        <f>AVERAGE(Table1436281287299311347[[#This Row],[Teste 1]:[Teste 3]])</f>
        <v>811689.66666666663</v>
      </c>
    </row>
    <row r="199" spans="1:20" x14ac:dyDescent="0.25">
      <c r="A199" s="16" t="s">
        <v>17</v>
      </c>
      <c r="B199" s="16" t="s">
        <v>8</v>
      </c>
      <c r="C199" s="17">
        <v>524</v>
      </c>
      <c r="D199" s="17">
        <v>478</v>
      </c>
      <c r="E199" s="17">
        <v>569</v>
      </c>
      <c r="F199" s="17">
        <f>AVERAGE(Table1436281287323[[#This Row],[Teste 1]:[Teste 3]])</f>
        <v>523.66666666666663</v>
      </c>
      <c r="G199" s="16"/>
      <c r="H199" s="16" t="s">
        <v>17</v>
      </c>
      <c r="I199" s="16" t="s">
        <v>8</v>
      </c>
      <c r="J199" s="17">
        <v>10067</v>
      </c>
      <c r="K199" s="17">
        <v>11492</v>
      </c>
      <c r="L199" s="17">
        <v>11658</v>
      </c>
      <c r="M199" s="17">
        <f>AVERAGE(Table1436281287299335[[#This Row],[Teste 1]:[Teste 3]])</f>
        <v>11072.333333333334</v>
      </c>
      <c r="N199" s="16"/>
      <c r="O199" s="16" t="s">
        <v>17</v>
      </c>
      <c r="P199" s="16" t="s">
        <v>8</v>
      </c>
      <c r="Q199" s="17">
        <v>968</v>
      </c>
      <c r="R199" s="17">
        <v>1105</v>
      </c>
      <c r="S199" s="17">
        <v>1121</v>
      </c>
      <c r="T199" s="17">
        <f>AVERAGE(Table1436281287299311347[[#This Row],[Teste 1]:[Teste 3]])</f>
        <v>1064.6666666666667</v>
      </c>
    </row>
    <row r="200" spans="1:20" x14ac:dyDescent="0.25">
      <c r="A200" s="16" t="s">
        <v>17</v>
      </c>
      <c r="B200" s="16" t="s">
        <v>9</v>
      </c>
      <c r="C200" s="17">
        <v>884</v>
      </c>
      <c r="D200" s="17">
        <v>773</v>
      </c>
      <c r="E200" s="17">
        <v>901</v>
      </c>
      <c r="F200" s="17">
        <f>AVERAGE(Table1436281287323[[#This Row],[Teste 1]:[Teste 3]])</f>
        <v>852.66666666666663</v>
      </c>
      <c r="G200" s="16"/>
      <c r="H200" s="16" t="s">
        <v>17</v>
      </c>
      <c r="I200" s="16" t="s">
        <v>9</v>
      </c>
      <c r="J200" s="17">
        <v>12376</v>
      </c>
      <c r="K200" s="17">
        <v>16328</v>
      </c>
      <c r="L200" s="17">
        <v>16473</v>
      </c>
      <c r="M200" s="17">
        <f>AVERAGE(Table1436281287299335[[#This Row],[Teste 1]:[Teste 3]])</f>
        <v>15059</v>
      </c>
      <c r="N200" s="16"/>
      <c r="O200" s="16" t="s">
        <v>17</v>
      </c>
      <c r="P200" s="16" t="s">
        <v>9</v>
      </c>
      <c r="Q200" s="17">
        <v>1190</v>
      </c>
      <c r="R200" s="17">
        <v>1570</v>
      </c>
      <c r="S200" s="17">
        <v>1584</v>
      </c>
      <c r="T200" s="17">
        <f>AVERAGE(Table1436281287299311347[[#This Row],[Teste 1]:[Teste 3]])</f>
        <v>1448</v>
      </c>
    </row>
    <row r="201" spans="1:20" x14ac:dyDescent="0.25">
      <c r="A201" s="16" t="s">
        <v>17</v>
      </c>
      <c r="B201" s="16" t="s">
        <v>11</v>
      </c>
      <c r="C201" s="17">
        <v>500567</v>
      </c>
      <c r="D201" s="17">
        <v>500268</v>
      </c>
      <c r="E201" s="17">
        <v>500000</v>
      </c>
      <c r="F201" s="17">
        <f>AVERAGE(Table1436281287323[[#This Row],[Teste 1]:[Teste 3]])</f>
        <v>500278.33333333331</v>
      </c>
      <c r="G201" s="16"/>
      <c r="H201" s="16" t="s">
        <v>17</v>
      </c>
      <c r="I201" s="16" t="s">
        <v>11</v>
      </c>
      <c r="J201" s="17">
        <v>500712</v>
      </c>
      <c r="K201" s="17">
        <v>500517</v>
      </c>
      <c r="L201" s="17">
        <v>498546</v>
      </c>
      <c r="M201" s="17">
        <f>AVERAGE(Table1436281287299335[[#This Row],[Teste 1]:[Teste 3]])</f>
        <v>499925</v>
      </c>
      <c r="N201" s="16"/>
      <c r="O201" s="16" t="s">
        <v>17</v>
      </c>
      <c r="P201" s="16" t="s">
        <v>11</v>
      </c>
      <c r="Q201" s="17">
        <v>500283</v>
      </c>
      <c r="R201" s="17">
        <v>499837</v>
      </c>
      <c r="S201" s="17">
        <v>499902</v>
      </c>
      <c r="T201" s="17">
        <f>AVERAGE(Table1436281287299311347[[#This Row],[Teste 1]:[Teste 3]])</f>
        <v>500007.33333333331</v>
      </c>
    </row>
    <row r="202" spans="1:20" x14ac:dyDescent="0.25">
      <c r="A202" s="16"/>
      <c r="B202" s="16"/>
      <c r="C202" s="17"/>
      <c r="D202" s="17"/>
      <c r="E202" s="17"/>
      <c r="F202" s="17"/>
      <c r="G202" s="16"/>
      <c r="H202" s="16"/>
      <c r="I202" s="16"/>
      <c r="J202" s="17"/>
      <c r="K202" s="17"/>
      <c r="L202" s="17"/>
      <c r="M202" s="17"/>
      <c r="N202" s="16"/>
      <c r="O202" s="16"/>
      <c r="P202" s="16"/>
      <c r="Q202" s="17"/>
      <c r="R202" s="17"/>
      <c r="S202" s="17"/>
      <c r="T202" s="17"/>
    </row>
    <row r="203" spans="1:20" x14ac:dyDescent="0.25">
      <c r="A203" s="16"/>
      <c r="B203" s="16"/>
      <c r="C203" s="17"/>
      <c r="D203" s="17"/>
      <c r="E203" s="17"/>
      <c r="F203" s="17"/>
      <c r="G203" s="16"/>
      <c r="H203" s="16"/>
      <c r="I203" s="16"/>
      <c r="J203" s="17"/>
      <c r="K203" s="17"/>
      <c r="L203" s="17"/>
      <c r="M203" s="17"/>
      <c r="N203" s="16"/>
      <c r="O203" s="16"/>
      <c r="P203" s="16"/>
      <c r="Q203" s="17"/>
      <c r="R203" s="17"/>
      <c r="S203" s="17"/>
      <c r="T203" s="17"/>
    </row>
    <row r="204" spans="1:20" x14ac:dyDescent="0.25">
      <c r="A204" s="16"/>
      <c r="B204" s="16"/>
      <c r="C204" s="17"/>
      <c r="D204" s="17"/>
      <c r="E204" s="17"/>
      <c r="F204" s="17"/>
      <c r="G204" s="16"/>
      <c r="H204" s="16"/>
      <c r="I204" s="16"/>
      <c r="J204" s="17"/>
      <c r="K204" s="17"/>
      <c r="L204" s="17"/>
      <c r="M204" s="17"/>
      <c r="N204" s="16"/>
      <c r="O204" s="16"/>
      <c r="P204" s="16"/>
      <c r="Q204" s="17"/>
      <c r="R204" s="17"/>
      <c r="S204" s="17"/>
      <c r="T204" s="17"/>
    </row>
    <row r="205" spans="1:20" x14ac:dyDescent="0.25">
      <c r="Q205" s="16"/>
    </row>
    <row r="206" spans="1:20" ht="15.75" x14ac:dyDescent="0.25">
      <c r="A206" s="2" t="s">
        <v>74</v>
      </c>
      <c r="H206" s="2" t="s">
        <v>74</v>
      </c>
      <c r="O206" s="2" t="s">
        <v>74</v>
      </c>
      <c r="Q206" s="16"/>
    </row>
    <row r="207" spans="1:20" x14ac:dyDescent="0.25">
      <c r="A207" s="16" t="s">
        <v>59</v>
      </c>
      <c r="B207" s="16" t="s">
        <v>81</v>
      </c>
      <c r="C207" s="16" t="s">
        <v>82</v>
      </c>
      <c r="D207" s="16" t="s">
        <v>64</v>
      </c>
      <c r="E207" s="16" t="s">
        <v>63</v>
      </c>
      <c r="F207" s="16" t="s">
        <v>18</v>
      </c>
      <c r="G207" s="16"/>
      <c r="H207" s="16" t="s">
        <v>12</v>
      </c>
      <c r="I207" s="16" t="s">
        <v>81</v>
      </c>
      <c r="J207" s="16" t="s">
        <v>82</v>
      </c>
      <c r="K207" s="16" t="s">
        <v>64</v>
      </c>
      <c r="L207" s="16" t="s">
        <v>63</v>
      </c>
      <c r="M207" s="16" t="s">
        <v>18</v>
      </c>
      <c r="N207" s="16"/>
      <c r="O207" s="16" t="s">
        <v>13</v>
      </c>
      <c r="P207" s="16" t="s">
        <v>81</v>
      </c>
      <c r="Q207" s="16" t="s">
        <v>82</v>
      </c>
      <c r="R207" s="16" t="s">
        <v>64</v>
      </c>
      <c r="S207" s="16" t="s">
        <v>63</v>
      </c>
      <c r="T207" s="16" t="s">
        <v>18</v>
      </c>
    </row>
    <row r="208" spans="1:20" x14ac:dyDescent="0.25">
      <c r="A208" s="16" t="s">
        <v>0</v>
      </c>
      <c r="B208" s="16" t="s">
        <v>1</v>
      </c>
      <c r="C208" s="17">
        <v>33555444</v>
      </c>
      <c r="D208" s="17">
        <v>33789980</v>
      </c>
      <c r="E208" s="17">
        <v>33965608</v>
      </c>
      <c r="F208" s="17">
        <f>AVERAGE(Table1436281282288324[[#This Row],[Teste 1]:[Teste 3]])</f>
        <v>33770344</v>
      </c>
      <c r="G208" s="16"/>
      <c r="H208" s="16" t="s">
        <v>0</v>
      </c>
      <c r="I208" s="16" t="s">
        <v>1</v>
      </c>
      <c r="J208" s="17">
        <v>28135163</v>
      </c>
      <c r="K208" s="17">
        <v>29359011</v>
      </c>
      <c r="L208" s="17">
        <v>28118189</v>
      </c>
      <c r="M208" s="17">
        <f>AVERAGE(Table1436281282288300336[[#This Row],[Teste 1]:[Teste 3]])</f>
        <v>28537454.333333332</v>
      </c>
      <c r="N208" s="16"/>
      <c r="O208" s="16" t="s">
        <v>0</v>
      </c>
      <c r="P208" s="16" t="s">
        <v>1</v>
      </c>
      <c r="Q208" s="17">
        <v>2466833</v>
      </c>
      <c r="R208" s="17">
        <v>2669001</v>
      </c>
      <c r="S208" s="17">
        <v>2556199</v>
      </c>
      <c r="T208" s="17">
        <f>AVERAGE(Table1436281282288300312348[[#This Row],[Teste 1]:[Teste 3]])</f>
        <v>2564011</v>
      </c>
    </row>
    <row r="209" spans="1:20" x14ac:dyDescent="0.25">
      <c r="A209" s="16" t="s">
        <v>0</v>
      </c>
      <c r="B209" s="16" t="s">
        <v>2</v>
      </c>
      <c r="C209" s="17">
        <v>307.16828804423602</v>
      </c>
      <c r="D209" s="17">
        <v>295.94572118716798</v>
      </c>
      <c r="E209" s="17">
        <v>294.415456952809</v>
      </c>
      <c r="F209" s="17">
        <f>AVERAGE(Table1436281282288324[[#This Row],[Teste 1]:[Teste 3]])</f>
        <v>299.17648872807098</v>
      </c>
      <c r="G209" s="16"/>
      <c r="H209" s="16" t="s">
        <v>0</v>
      </c>
      <c r="I209" s="16" t="s">
        <v>2</v>
      </c>
      <c r="J209" s="17">
        <v>368.52</v>
      </c>
      <c r="K209" s="17">
        <v>340.61</v>
      </c>
      <c r="L209" s="17">
        <v>355.64</v>
      </c>
      <c r="M209" s="17">
        <f>AVERAGE(Table1436281282288300336[[#This Row],[Teste 1]:[Teste 3]])</f>
        <v>354.92333333333335</v>
      </c>
      <c r="N209" s="16"/>
      <c r="O209" s="16" t="s">
        <v>0</v>
      </c>
      <c r="P209" s="16" t="s">
        <v>2</v>
      </c>
      <c r="Q209" s="17">
        <v>4053.7806977610499</v>
      </c>
      <c r="R209" s="17">
        <v>3746.7202147919702</v>
      </c>
      <c r="S209" s="17">
        <v>3912.0584899688902</v>
      </c>
      <c r="T209" s="17">
        <f>AVERAGE(Table1436281282288300312348[[#This Row],[Teste 1]:[Teste 3]])</f>
        <v>3904.1864675073034</v>
      </c>
    </row>
    <row r="210" spans="1:20" x14ac:dyDescent="0.25">
      <c r="A210" s="16" t="s">
        <v>16</v>
      </c>
      <c r="B210" s="16" t="s">
        <v>4</v>
      </c>
      <c r="C210" s="17">
        <v>9499483</v>
      </c>
      <c r="D210" s="17">
        <v>9499198</v>
      </c>
      <c r="E210" s="17">
        <v>9500208</v>
      </c>
      <c r="F210" s="17">
        <f>AVERAGE(Table1436281282288324[[#This Row],[Teste 1]:[Teste 3]])</f>
        <v>9499629.666666666</v>
      </c>
      <c r="G210" s="16"/>
      <c r="H210" s="16" t="s">
        <v>16</v>
      </c>
      <c r="I210" s="16" t="s">
        <v>4</v>
      </c>
      <c r="J210" s="17">
        <v>9499717</v>
      </c>
      <c r="K210" s="17">
        <v>9501454</v>
      </c>
      <c r="L210" s="17">
        <v>9499569</v>
      </c>
      <c r="M210" s="17">
        <f>AVERAGE(Table1436281282288300336[[#This Row],[Teste 1]:[Teste 3]])</f>
        <v>9500246.666666666</v>
      </c>
      <c r="N210" s="16"/>
      <c r="O210" s="16" t="s">
        <v>16</v>
      </c>
      <c r="P210" s="16" t="s">
        <v>4</v>
      </c>
      <c r="Q210" s="17">
        <v>9499288</v>
      </c>
      <c r="R210" s="17">
        <v>9500421</v>
      </c>
      <c r="S210" s="17">
        <v>9499900</v>
      </c>
      <c r="T210" s="17">
        <f>AVERAGE(Table1436281282288300312348[[#This Row],[Teste 1]:[Teste 3]])</f>
        <v>9499869.666666666</v>
      </c>
    </row>
    <row r="211" spans="1:20" x14ac:dyDescent="0.25">
      <c r="A211" s="16" t="s">
        <v>16</v>
      </c>
      <c r="B211" s="16" t="s">
        <v>5</v>
      </c>
      <c r="C211" s="17">
        <v>10248.9911882572</v>
      </c>
      <c r="D211" s="17">
        <v>10641.5829813211</v>
      </c>
      <c r="E211" s="17">
        <v>10679.9639886718</v>
      </c>
      <c r="F211" s="17">
        <f>AVERAGE(Table1436281282288324[[#This Row],[Teste 1]:[Teste 3]])</f>
        <v>10523.5127194167</v>
      </c>
      <c r="G211" s="16"/>
      <c r="H211" s="16" t="s">
        <v>16</v>
      </c>
      <c r="I211" s="16" t="s">
        <v>5</v>
      </c>
      <c r="J211" s="17">
        <v>7986.51</v>
      </c>
      <c r="K211" s="17">
        <v>8666.32</v>
      </c>
      <c r="L211" s="17">
        <v>8257.92</v>
      </c>
      <c r="M211" s="17">
        <f>AVERAGE(Table1436281282288300336[[#This Row],[Teste 1]:[Teste 3]])</f>
        <v>8303.5833333333339</v>
      </c>
      <c r="N211" s="16"/>
      <c r="O211" s="16" t="s">
        <v>16</v>
      </c>
      <c r="P211" s="16" t="s">
        <v>5</v>
      </c>
      <c r="Q211" s="17">
        <v>726.04645779767895</v>
      </c>
      <c r="R211" s="17">
        <v>787.84729834604104</v>
      </c>
      <c r="S211" s="17">
        <v>750.71999652627903</v>
      </c>
      <c r="T211" s="17">
        <f>AVERAGE(Table1436281282288300312348[[#This Row],[Teste 1]:[Teste 3]])</f>
        <v>754.87125088999971</v>
      </c>
    </row>
    <row r="212" spans="1:20" x14ac:dyDescent="0.25">
      <c r="A212" s="16" t="s">
        <v>16</v>
      </c>
      <c r="B212" s="16" t="s">
        <v>6</v>
      </c>
      <c r="C212" s="17">
        <v>63</v>
      </c>
      <c r="D212" s="17">
        <v>59</v>
      </c>
      <c r="E212" s="17">
        <v>65</v>
      </c>
      <c r="F212" s="17">
        <f>AVERAGE(Table1436281282288324[[#This Row],[Teste 1]:[Teste 3]])</f>
        <v>62.333333333333336</v>
      </c>
      <c r="G212" s="16"/>
      <c r="H212" s="16" t="s">
        <v>16</v>
      </c>
      <c r="I212" s="16" t="s">
        <v>6</v>
      </c>
      <c r="J212" s="17">
        <v>1111</v>
      </c>
      <c r="K212" s="17">
        <v>1067</v>
      </c>
      <c r="L212" s="17">
        <v>1089</v>
      </c>
      <c r="M212" s="17">
        <f>AVERAGE(Table1436281282288300336[[#This Row],[Teste 1]:[Teste 3]])</f>
        <v>1089</v>
      </c>
      <c r="N212" s="16"/>
      <c r="O212" s="16" t="s">
        <v>16</v>
      </c>
      <c r="P212" s="16" t="s">
        <v>6</v>
      </c>
      <c r="Q212" s="17">
        <v>101</v>
      </c>
      <c r="R212" s="17">
        <v>97</v>
      </c>
      <c r="S212" s="17">
        <v>99</v>
      </c>
      <c r="T212" s="17">
        <f>AVERAGE(Table1436281282288300312348[[#This Row],[Teste 1]:[Teste 3]])</f>
        <v>99</v>
      </c>
    </row>
    <row r="213" spans="1:20" x14ac:dyDescent="0.25">
      <c r="A213" s="16" t="s">
        <v>16</v>
      </c>
      <c r="B213" s="16" t="s">
        <v>7</v>
      </c>
      <c r="C213" s="17">
        <v>7020543</v>
      </c>
      <c r="D213" s="17">
        <v>5484543</v>
      </c>
      <c r="E213" s="17">
        <v>9453567</v>
      </c>
      <c r="F213" s="17">
        <f>AVERAGE(Table1436281282288324[[#This Row],[Teste 1]:[Teste 3]])</f>
        <v>7319551</v>
      </c>
      <c r="G213" s="16"/>
      <c r="H213" s="16" t="s">
        <v>16</v>
      </c>
      <c r="I213" s="16" t="s">
        <v>7</v>
      </c>
      <c r="J213" s="17">
        <v>14722037</v>
      </c>
      <c r="K213" s="17">
        <v>14406645</v>
      </c>
      <c r="L213" s="17">
        <v>12694517</v>
      </c>
      <c r="M213" s="17">
        <f>AVERAGE(Table1436281282288300336[[#This Row],[Teste 1]:[Teste 3]])</f>
        <v>13941066.333333334</v>
      </c>
      <c r="N213" s="16"/>
      <c r="O213" s="16" t="s">
        <v>16</v>
      </c>
      <c r="P213" s="16" t="s">
        <v>7</v>
      </c>
      <c r="Q213" s="17">
        <v>1338367</v>
      </c>
      <c r="R213" s="17">
        <v>1309695</v>
      </c>
      <c r="S213" s="17">
        <v>1154047</v>
      </c>
      <c r="T213" s="17">
        <f>AVERAGE(Table1436281282288300312348[[#This Row],[Teste 1]:[Teste 3]])</f>
        <v>1267369.6666666667</v>
      </c>
    </row>
    <row r="214" spans="1:20" x14ac:dyDescent="0.25">
      <c r="A214" s="16" t="s">
        <v>16</v>
      </c>
      <c r="B214" s="16" t="s">
        <v>8</v>
      </c>
      <c r="C214" s="17">
        <v>45247</v>
      </c>
      <c r="D214" s="17">
        <v>47199</v>
      </c>
      <c r="E214" s="17">
        <v>48703</v>
      </c>
      <c r="F214" s="17">
        <f>AVERAGE(Table1436281282288324[[#This Row],[Teste 1]:[Teste 3]])</f>
        <v>47049.666666666664</v>
      </c>
      <c r="G214" s="16"/>
      <c r="H214" s="16" t="s">
        <v>16</v>
      </c>
      <c r="I214" s="16" t="s">
        <v>8</v>
      </c>
      <c r="J214" s="17">
        <v>14344</v>
      </c>
      <c r="K214" s="17">
        <v>15433</v>
      </c>
      <c r="L214" s="17">
        <v>14773</v>
      </c>
      <c r="M214" s="17">
        <f>AVERAGE(Table1436281282288300336[[#This Row],[Teste 1]:[Teste 3]])</f>
        <v>14850</v>
      </c>
      <c r="N214" s="16"/>
      <c r="O214" s="16" t="s">
        <v>16</v>
      </c>
      <c r="P214" s="16" t="s">
        <v>8</v>
      </c>
      <c r="Q214" s="17">
        <v>1304</v>
      </c>
      <c r="R214" s="17">
        <v>1403</v>
      </c>
      <c r="S214" s="17">
        <v>1343</v>
      </c>
      <c r="T214" s="17">
        <f>AVERAGE(Table1436281282288300312348[[#This Row],[Teste 1]:[Teste 3]])</f>
        <v>1350</v>
      </c>
    </row>
    <row r="215" spans="1:20" x14ac:dyDescent="0.25">
      <c r="A215" s="16" t="s">
        <v>16</v>
      </c>
      <c r="B215" s="16" t="s">
        <v>9</v>
      </c>
      <c r="C215" s="17">
        <v>61663</v>
      </c>
      <c r="D215" s="17">
        <v>60575</v>
      </c>
      <c r="E215" s="17">
        <v>67519</v>
      </c>
      <c r="F215" s="17">
        <f>AVERAGE(Table1436281282288324[[#This Row],[Teste 1]:[Teste 3]])</f>
        <v>63252.333333333336</v>
      </c>
      <c r="G215" s="16"/>
      <c r="H215" s="16" t="s">
        <v>16</v>
      </c>
      <c r="I215" s="16" t="s">
        <v>9</v>
      </c>
      <c r="J215" s="17">
        <v>20163</v>
      </c>
      <c r="K215" s="17">
        <v>20922</v>
      </c>
      <c r="L215" s="17">
        <v>20944</v>
      </c>
      <c r="M215" s="17">
        <f>AVERAGE(Table1436281282288300336[[#This Row],[Teste 1]:[Teste 3]])</f>
        <v>20676.333333333332</v>
      </c>
      <c r="N215" s="16"/>
      <c r="O215" s="16" t="s">
        <v>16</v>
      </c>
      <c r="P215" s="16" t="s">
        <v>9</v>
      </c>
      <c r="Q215" s="17">
        <v>1833</v>
      </c>
      <c r="R215" s="17">
        <v>1902</v>
      </c>
      <c r="S215" s="17">
        <v>1904</v>
      </c>
      <c r="T215" s="17">
        <f>AVERAGE(Table1436281282288300312348[[#This Row],[Teste 1]:[Teste 3]])</f>
        <v>1879.6666666666667</v>
      </c>
    </row>
    <row r="216" spans="1:20" x14ac:dyDescent="0.25">
      <c r="A216" s="16" t="s">
        <v>16</v>
      </c>
      <c r="B216" s="16" t="s">
        <v>11</v>
      </c>
      <c r="C216" s="17">
        <v>9499483</v>
      </c>
      <c r="D216" s="17">
        <v>9499198</v>
      </c>
      <c r="E216" s="17">
        <v>9500208</v>
      </c>
      <c r="F216" s="17">
        <f>AVERAGE(Table1436281282288324[[#This Row],[Teste 1]:[Teste 3]])</f>
        <v>9499629.666666666</v>
      </c>
      <c r="G216" s="16"/>
      <c r="H216" s="16" t="s">
        <v>16</v>
      </c>
      <c r="I216" s="16" t="s">
        <v>11</v>
      </c>
      <c r="J216" s="17">
        <v>9499717</v>
      </c>
      <c r="K216" s="17">
        <v>9501454</v>
      </c>
      <c r="L216" s="17">
        <v>9499569</v>
      </c>
      <c r="M216" s="17">
        <f>AVERAGE(Table1436281282288300336[[#This Row],[Teste 1]:[Teste 3]])</f>
        <v>9500246.666666666</v>
      </c>
      <c r="N216" s="16"/>
      <c r="O216" s="16" t="s">
        <v>16</v>
      </c>
      <c r="P216" s="16" t="s">
        <v>11</v>
      </c>
      <c r="Q216" s="17">
        <v>9499288</v>
      </c>
      <c r="R216" s="17">
        <v>9500421</v>
      </c>
      <c r="S216" s="17">
        <v>9499900</v>
      </c>
      <c r="T216" s="17">
        <f>AVERAGE(Table1436281282288300312348[[#This Row],[Teste 1]:[Teste 3]])</f>
        <v>9499869.666666666</v>
      </c>
    </row>
    <row r="217" spans="1:20" x14ac:dyDescent="0.25">
      <c r="A217" s="16" t="s">
        <v>3</v>
      </c>
      <c r="B217" s="16" t="s">
        <v>4</v>
      </c>
      <c r="C217" s="17">
        <v>3</v>
      </c>
      <c r="D217" s="17">
        <v>3</v>
      </c>
      <c r="E217" s="17">
        <v>3</v>
      </c>
      <c r="F217" s="17">
        <f>AVERAGE(Table1436281282288324[[#This Row],[Teste 1]:[Teste 3]])</f>
        <v>3</v>
      </c>
      <c r="G217" s="16"/>
      <c r="H217" s="16" t="s">
        <v>3</v>
      </c>
      <c r="I217" s="16" t="s">
        <v>4</v>
      </c>
      <c r="J217" s="17">
        <v>3</v>
      </c>
      <c r="K217" s="17">
        <v>3</v>
      </c>
      <c r="L217" s="17">
        <v>3</v>
      </c>
      <c r="M217" s="17">
        <f>AVERAGE(Table1436281282288300336[[#This Row],[Teste 1]:[Teste 3]])</f>
        <v>3</v>
      </c>
      <c r="N217" s="16"/>
      <c r="O217" s="16" t="s">
        <v>3</v>
      </c>
      <c r="P217" s="16" t="s">
        <v>4</v>
      </c>
      <c r="Q217" s="17">
        <v>3</v>
      </c>
      <c r="R217" s="17">
        <v>3</v>
      </c>
      <c r="S217" s="17">
        <v>3</v>
      </c>
      <c r="T217" s="17">
        <f>AVERAGE(Table1436281282288300312348[[#This Row],[Teste 1]:[Teste 3]])</f>
        <v>3</v>
      </c>
    </row>
    <row r="218" spans="1:20" x14ac:dyDescent="0.25">
      <c r="A218" s="16" t="s">
        <v>3</v>
      </c>
      <c r="B218" s="16" t="s">
        <v>5</v>
      </c>
      <c r="C218" s="17">
        <v>0.66666666666666596</v>
      </c>
      <c r="D218" s="17">
        <v>1</v>
      </c>
      <c r="E218" s="17">
        <v>1.3333333333333299</v>
      </c>
      <c r="F218" s="17">
        <f>AVERAGE(Table1436281282288324[[#This Row],[Teste 1]:[Teste 3]])</f>
        <v>0.99999999999999867</v>
      </c>
      <c r="G218" s="16"/>
      <c r="H218" s="16" t="s">
        <v>3</v>
      </c>
      <c r="I218" s="16" t="s">
        <v>5</v>
      </c>
      <c r="J218" s="17">
        <v>10</v>
      </c>
      <c r="K218" s="17">
        <v>2.6666666666666599</v>
      </c>
      <c r="L218" s="17">
        <v>10</v>
      </c>
      <c r="M218" s="17">
        <f>AVERAGE(Table1436281282288300336[[#This Row],[Teste 1]:[Teste 3]])</f>
        <v>7.5555555555555536</v>
      </c>
      <c r="N218" s="16"/>
      <c r="O218" s="16" t="s">
        <v>3</v>
      </c>
      <c r="P218" s="16" t="s">
        <v>5</v>
      </c>
      <c r="Q218" s="17">
        <v>2489.3333333333298</v>
      </c>
      <c r="R218" s="17">
        <v>842.66666666666595</v>
      </c>
      <c r="S218" s="17">
        <v>4446</v>
      </c>
      <c r="T218" s="17">
        <f>AVERAGE(Table1436281282288300312348[[#This Row],[Teste 1]:[Teste 3]])</f>
        <v>2592.6666666666656</v>
      </c>
    </row>
    <row r="219" spans="1:20" x14ac:dyDescent="0.25">
      <c r="A219" s="16" t="s">
        <v>3</v>
      </c>
      <c r="B219" s="16" t="s">
        <v>6</v>
      </c>
      <c r="C219" s="17">
        <v>0</v>
      </c>
      <c r="D219" s="17">
        <v>0</v>
      </c>
      <c r="E219" s="17">
        <v>1</v>
      </c>
      <c r="F219" s="17">
        <f>AVERAGE(Table1436281282288324[[#This Row],[Teste 1]:[Teste 3]])</f>
        <v>0.33333333333333331</v>
      </c>
      <c r="G219" s="16"/>
      <c r="H219" s="16" t="s">
        <v>3</v>
      </c>
      <c r="I219" s="16" t="s">
        <v>6</v>
      </c>
      <c r="J219" s="17">
        <v>1</v>
      </c>
      <c r="K219" s="17">
        <v>0</v>
      </c>
      <c r="L219" s="17">
        <v>2</v>
      </c>
      <c r="M219" s="17">
        <f>AVERAGE(Table1436281282288300336[[#This Row],[Teste 1]:[Teste 3]])</f>
        <v>1</v>
      </c>
      <c r="N219" s="16"/>
      <c r="O219" s="16" t="s">
        <v>3</v>
      </c>
      <c r="P219" s="16" t="s">
        <v>6</v>
      </c>
      <c r="Q219" s="17">
        <v>1</v>
      </c>
      <c r="R219" s="17">
        <v>1</v>
      </c>
      <c r="S219" s="17">
        <v>1</v>
      </c>
      <c r="T219" s="17">
        <f>AVERAGE(Table1436281282288300312348[[#This Row],[Teste 1]:[Teste 3]])</f>
        <v>1</v>
      </c>
    </row>
    <row r="220" spans="1:20" x14ac:dyDescent="0.25">
      <c r="A220" s="16" t="s">
        <v>3</v>
      </c>
      <c r="B220" s="16" t="s">
        <v>7</v>
      </c>
      <c r="C220" s="17">
        <v>2</v>
      </c>
      <c r="D220" s="17">
        <v>2</v>
      </c>
      <c r="E220" s="17">
        <v>2</v>
      </c>
      <c r="F220" s="17">
        <f>AVERAGE(Table1436281282288324[[#This Row],[Teste 1]:[Teste 3]])</f>
        <v>2</v>
      </c>
      <c r="G220" s="16"/>
      <c r="H220" s="16" t="s">
        <v>3</v>
      </c>
      <c r="I220" s="16" t="s">
        <v>7</v>
      </c>
      <c r="J220" s="17">
        <v>28</v>
      </c>
      <c r="K220" s="17">
        <v>7</v>
      </c>
      <c r="L220" s="17">
        <v>0</v>
      </c>
      <c r="M220" s="17">
        <f>AVERAGE(Table1436281282288300336[[#This Row],[Teste 1]:[Teste 3]])</f>
        <v>11.666666666666666</v>
      </c>
      <c r="N220" s="16"/>
      <c r="O220" s="16" t="s">
        <v>3</v>
      </c>
      <c r="P220" s="16" t="s">
        <v>7</v>
      </c>
      <c r="Q220" s="17">
        <v>7463</v>
      </c>
      <c r="R220" s="17">
        <v>2521</v>
      </c>
      <c r="S220" s="17">
        <v>13191</v>
      </c>
      <c r="T220" s="17">
        <f>AVERAGE(Table1436281282288300312348[[#This Row],[Teste 1]:[Teste 3]])</f>
        <v>7725</v>
      </c>
    </row>
    <row r="221" spans="1:20" x14ac:dyDescent="0.25">
      <c r="A221" s="16" t="s">
        <v>3</v>
      </c>
      <c r="B221" s="16" t="s">
        <v>8</v>
      </c>
      <c r="C221" s="17">
        <v>2</v>
      </c>
      <c r="D221" s="17">
        <v>2</v>
      </c>
      <c r="E221" s="17">
        <v>2</v>
      </c>
      <c r="F221" s="17">
        <f>AVERAGE(Table1436281282288324[[#This Row],[Teste 1]:[Teste 3]])</f>
        <v>2</v>
      </c>
      <c r="G221" s="16"/>
      <c r="H221" s="16" t="s">
        <v>3</v>
      </c>
      <c r="I221" s="16" t="s">
        <v>8</v>
      </c>
      <c r="J221" s="17">
        <v>28</v>
      </c>
      <c r="K221" s="17">
        <v>7</v>
      </c>
      <c r="L221" s="17">
        <v>6</v>
      </c>
      <c r="M221" s="17">
        <f>AVERAGE(Table1436281282288300336[[#This Row],[Teste 1]:[Teste 3]])</f>
        <v>13.666666666666666</v>
      </c>
      <c r="N221" s="16"/>
      <c r="O221" s="16" t="s">
        <v>3</v>
      </c>
      <c r="P221" s="16" t="s">
        <v>8</v>
      </c>
      <c r="Q221" s="17">
        <v>7463</v>
      </c>
      <c r="R221" s="17">
        <v>2521</v>
      </c>
      <c r="S221" s="17">
        <v>13191</v>
      </c>
      <c r="T221" s="17">
        <f>AVERAGE(Table1436281282288300312348[[#This Row],[Teste 1]:[Teste 3]])</f>
        <v>7725</v>
      </c>
    </row>
    <row r="222" spans="1:20" x14ac:dyDescent="0.25">
      <c r="A222" s="16" t="s">
        <v>3</v>
      </c>
      <c r="B222" s="16" t="s">
        <v>9</v>
      </c>
      <c r="C222" s="17">
        <v>2</v>
      </c>
      <c r="D222" s="17">
        <v>2</v>
      </c>
      <c r="E222" s="17">
        <v>2</v>
      </c>
      <c r="F222" s="17">
        <f>AVERAGE(Table1436281282288324[[#This Row],[Teste 1]:[Teste 3]])</f>
        <v>2</v>
      </c>
      <c r="G222" s="16"/>
      <c r="H222" s="16" t="s">
        <v>3</v>
      </c>
      <c r="I222" s="16" t="s">
        <v>9</v>
      </c>
      <c r="J222" s="17">
        <v>28</v>
      </c>
      <c r="K222" s="17">
        <v>7</v>
      </c>
      <c r="L222" s="17">
        <v>6</v>
      </c>
      <c r="M222" s="17">
        <f>AVERAGE(Table1436281282288300336[[#This Row],[Teste 1]:[Teste 3]])</f>
        <v>13.666666666666666</v>
      </c>
      <c r="N222" s="16"/>
      <c r="O222" s="16" t="s">
        <v>3</v>
      </c>
      <c r="P222" s="16" t="s">
        <v>9</v>
      </c>
      <c r="Q222" s="17">
        <v>7463</v>
      </c>
      <c r="R222" s="17">
        <v>2521</v>
      </c>
      <c r="S222" s="17">
        <v>13191</v>
      </c>
      <c r="T222" s="17">
        <f>AVERAGE(Table1436281282288300312348[[#This Row],[Teste 1]:[Teste 3]])</f>
        <v>7725</v>
      </c>
    </row>
    <row r="223" spans="1:20" x14ac:dyDescent="0.25">
      <c r="A223" s="16" t="s">
        <v>17</v>
      </c>
      <c r="B223" s="16" t="s">
        <v>4</v>
      </c>
      <c r="C223" s="17">
        <v>500517</v>
      </c>
      <c r="D223" s="17">
        <v>500802</v>
      </c>
      <c r="E223" s="17">
        <v>499792</v>
      </c>
      <c r="F223" s="17">
        <f>AVERAGE(Table1436281282288324[[#This Row],[Teste 1]:[Teste 3]])</f>
        <v>500370.33333333331</v>
      </c>
      <c r="G223" s="16"/>
      <c r="H223" s="16" t="s">
        <v>17</v>
      </c>
      <c r="I223" s="16" t="s">
        <v>4</v>
      </c>
      <c r="J223" s="17">
        <v>500283</v>
      </c>
      <c r="K223" s="17">
        <v>498546</v>
      </c>
      <c r="L223" s="17">
        <v>500431</v>
      </c>
      <c r="M223" s="17">
        <f>AVERAGE(Table1436281282288300336[[#This Row],[Teste 1]:[Teste 3]])</f>
        <v>499753.33333333331</v>
      </c>
      <c r="N223" s="16"/>
      <c r="O223" s="16" t="s">
        <v>17</v>
      </c>
      <c r="P223" s="16" t="s">
        <v>4</v>
      </c>
      <c r="Q223" s="17">
        <v>500712</v>
      </c>
      <c r="R223" s="17">
        <v>499579</v>
      </c>
      <c r="S223" s="17">
        <v>500100</v>
      </c>
      <c r="T223" s="17">
        <f>AVERAGE(Table1436281282288300312348[[#This Row],[Teste 1]:[Teste 3]])</f>
        <v>500130.33333333331</v>
      </c>
    </row>
    <row r="224" spans="1:20" x14ac:dyDescent="0.25">
      <c r="A224" s="16" t="s">
        <v>17</v>
      </c>
      <c r="B224" s="16" t="s">
        <v>5</v>
      </c>
      <c r="C224" s="17">
        <v>370.85028680344499</v>
      </c>
      <c r="D224" s="17">
        <v>393.91320322203097</v>
      </c>
      <c r="E224" s="17">
        <v>412.57246214425197</v>
      </c>
      <c r="F224" s="17">
        <f>AVERAGE(Table1436281282288324[[#This Row],[Teste 1]:[Teste 3]])</f>
        <v>392.44531738990935</v>
      </c>
      <c r="G224" s="16"/>
      <c r="H224" s="16" t="s">
        <v>17</v>
      </c>
      <c r="I224" s="16" t="s">
        <v>5</v>
      </c>
      <c r="J224" s="17">
        <v>9834.91</v>
      </c>
      <c r="K224" s="17">
        <v>10681.16</v>
      </c>
      <c r="L224" s="17">
        <v>10147.16</v>
      </c>
      <c r="M224" s="17">
        <f>AVERAGE(Table1436281282288300336[[#This Row],[Teste 1]:[Teste 3]])</f>
        <v>10221.076666666666</v>
      </c>
      <c r="N224" s="16"/>
      <c r="O224" s="16" t="s">
        <v>17</v>
      </c>
      <c r="P224" s="16" t="s">
        <v>5</v>
      </c>
      <c r="Q224" s="17">
        <v>894.08256243109804</v>
      </c>
      <c r="R224" s="17">
        <v>971.01432806422997</v>
      </c>
      <c r="S224" s="17">
        <v>922.46917416516601</v>
      </c>
      <c r="T224" s="17">
        <f>AVERAGE(Table1436281282288300312348[[#This Row],[Teste 1]:[Teste 3]])</f>
        <v>929.18868822016464</v>
      </c>
    </row>
    <row r="225" spans="1:20" x14ac:dyDescent="0.25">
      <c r="A225" s="16" t="s">
        <v>17</v>
      </c>
      <c r="B225" s="16" t="s">
        <v>6</v>
      </c>
      <c r="C225" s="17">
        <v>115</v>
      </c>
      <c r="D225" s="17">
        <v>130</v>
      </c>
      <c r="E225" s="17">
        <v>138</v>
      </c>
      <c r="F225" s="17">
        <f>AVERAGE(Table1436281282288324[[#This Row],[Teste 1]:[Teste 3]])</f>
        <v>127.66666666666667</v>
      </c>
      <c r="G225" s="16"/>
      <c r="H225" s="16" t="s">
        <v>17</v>
      </c>
      <c r="I225" s="16" t="s">
        <v>6</v>
      </c>
      <c r="J225" s="17">
        <v>2200</v>
      </c>
      <c r="K225" s="17">
        <v>2453</v>
      </c>
      <c r="L225" s="17">
        <v>2299</v>
      </c>
      <c r="M225" s="17">
        <f>AVERAGE(Table1436281282288300336[[#This Row],[Teste 1]:[Teste 3]])</f>
        <v>2317.3333333333335</v>
      </c>
      <c r="N225" s="16"/>
      <c r="O225" s="16" t="s">
        <v>17</v>
      </c>
      <c r="P225" s="16" t="s">
        <v>6</v>
      </c>
      <c r="Q225" s="17">
        <v>200</v>
      </c>
      <c r="R225" s="17">
        <v>223</v>
      </c>
      <c r="S225" s="17">
        <v>209</v>
      </c>
      <c r="T225" s="17">
        <f>AVERAGE(Table1436281282288300312348[[#This Row],[Teste 1]:[Teste 3]])</f>
        <v>210.66666666666666</v>
      </c>
    </row>
    <row r="226" spans="1:20" x14ac:dyDescent="0.25">
      <c r="A226" s="16" t="s">
        <v>17</v>
      </c>
      <c r="B226" s="16" t="s">
        <v>7</v>
      </c>
      <c r="C226" s="17">
        <v>39711</v>
      </c>
      <c r="D226" s="17">
        <v>39679</v>
      </c>
      <c r="E226" s="17">
        <v>45951</v>
      </c>
      <c r="F226" s="17">
        <f>AVERAGE(Table1436281282288324[[#This Row],[Teste 1]:[Teste 3]])</f>
        <v>41780.333333333336</v>
      </c>
      <c r="G226" s="16"/>
      <c r="H226" s="16" t="s">
        <v>17</v>
      </c>
      <c r="I226" s="16" t="s">
        <v>7</v>
      </c>
      <c r="J226" s="17">
        <v>11877237</v>
      </c>
      <c r="K226" s="17">
        <v>11280885</v>
      </c>
      <c r="L226" s="17">
        <v>11680757</v>
      </c>
      <c r="M226" s="17">
        <f>AVERAGE(Table1436281282288300336[[#This Row],[Teste 1]:[Teste 3]])</f>
        <v>11612959.666666666</v>
      </c>
      <c r="N226" s="16"/>
      <c r="O226" s="16" t="s">
        <v>17</v>
      </c>
      <c r="P226" s="16" t="s">
        <v>7</v>
      </c>
      <c r="Q226" s="17">
        <v>1261567</v>
      </c>
      <c r="R226" s="17">
        <v>1025535</v>
      </c>
      <c r="S226" s="17">
        <v>1061887</v>
      </c>
      <c r="T226" s="17">
        <f>AVERAGE(Table1436281282288300312348[[#This Row],[Teste 1]:[Teste 3]])</f>
        <v>1116329.6666666667</v>
      </c>
    </row>
    <row r="227" spans="1:20" x14ac:dyDescent="0.25">
      <c r="A227" s="16" t="s">
        <v>17</v>
      </c>
      <c r="B227" s="16" t="s">
        <v>8</v>
      </c>
      <c r="C227" s="17">
        <v>655</v>
      </c>
      <c r="D227" s="17">
        <v>703</v>
      </c>
      <c r="E227" s="17">
        <v>771</v>
      </c>
      <c r="F227" s="17">
        <f>AVERAGE(Table1436281282288324[[#This Row],[Teste 1]:[Teste 3]])</f>
        <v>709.66666666666663</v>
      </c>
      <c r="G227" s="16"/>
      <c r="H227" s="16" t="s">
        <v>17</v>
      </c>
      <c r="I227" s="16" t="s">
        <v>8</v>
      </c>
      <c r="J227" s="17">
        <v>16181</v>
      </c>
      <c r="K227" s="17">
        <v>17457</v>
      </c>
      <c r="L227" s="17">
        <v>16687</v>
      </c>
      <c r="M227" s="17">
        <f>AVERAGE(Table1436281282288300336[[#This Row],[Teste 1]:[Teste 3]])</f>
        <v>16775</v>
      </c>
      <c r="N227" s="16"/>
      <c r="O227" s="16" t="s">
        <v>17</v>
      </c>
      <c r="P227" s="16" t="s">
        <v>8</v>
      </c>
      <c r="Q227" s="17">
        <v>1471</v>
      </c>
      <c r="R227" s="17">
        <v>1587</v>
      </c>
      <c r="S227" s="17">
        <v>1517</v>
      </c>
      <c r="T227" s="17">
        <f>AVERAGE(Table1436281282288300312348[[#This Row],[Teste 1]:[Teste 3]])</f>
        <v>1525</v>
      </c>
    </row>
    <row r="228" spans="1:20" x14ac:dyDescent="0.25">
      <c r="A228" s="16" t="s">
        <v>17</v>
      </c>
      <c r="B228" s="16" t="s">
        <v>9</v>
      </c>
      <c r="C228" s="17">
        <v>1210</v>
      </c>
      <c r="D228" s="17">
        <v>1265</v>
      </c>
      <c r="E228" s="17">
        <v>1344</v>
      </c>
      <c r="F228" s="17">
        <f>AVERAGE(Table1436281282288324[[#This Row],[Teste 1]:[Teste 3]])</f>
        <v>1273</v>
      </c>
      <c r="G228" s="16"/>
      <c r="H228" s="16" t="s">
        <v>17</v>
      </c>
      <c r="I228" s="16" t="s">
        <v>9</v>
      </c>
      <c r="J228" s="17">
        <v>22242</v>
      </c>
      <c r="K228" s="17">
        <v>23133</v>
      </c>
      <c r="L228" s="17">
        <v>23155</v>
      </c>
      <c r="M228" s="17">
        <f>AVERAGE(Table1436281282288300336[[#This Row],[Teste 1]:[Teste 3]])</f>
        <v>22843.333333333332</v>
      </c>
      <c r="N228" s="16"/>
      <c r="O228" s="16" t="s">
        <v>17</v>
      </c>
      <c r="P228" s="16" t="s">
        <v>9</v>
      </c>
      <c r="Q228" s="17">
        <v>2022</v>
      </c>
      <c r="R228" s="17">
        <v>2103</v>
      </c>
      <c r="S228" s="17">
        <v>2105</v>
      </c>
      <c r="T228" s="17">
        <f>AVERAGE(Table1436281282288300312348[[#This Row],[Teste 1]:[Teste 3]])</f>
        <v>2076.6666666666665</v>
      </c>
    </row>
    <row r="229" spans="1:20" x14ac:dyDescent="0.25">
      <c r="A229" s="16" t="s">
        <v>17</v>
      </c>
      <c r="B229" s="16" t="s">
        <v>11</v>
      </c>
      <c r="C229" s="17">
        <v>500517</v>
      </c>
      <c r="D229" s="17">
        <v>500802</v>
      </c>
      <c r="E229" s="17">
        <v>499792</v>
      </c>
      <c r="F229" s="17">
        <f>AVERAGE(Table1436281282288324[[#This Row],[Teste 1]:[Teste 3]])</f>
        <v>500370.33333333331</v>
      </c>
      <c r="G229" s="16"/>
      <c r="H229" s="16" t="s">
        <v>17</v>
      </c>
      <c r="I229" s="16" t="s">
        <v>11</v>
      </c>
      <c r="J229" s="17">
        <v>500283</v>
      </c>
      <c r="K229" s="17">
        <v>498546</v>
      </c>
      <c r="L229" s="17">
        <v>500431</v>
      </c>
      <c r="M229" s="17">
        <f>AVERAGE(Table1436281282288300336[[#This Row],[Teste 1]:[Teste 3]])</f>
        <v>499753.33333333331</v>
      </c>
      <c r="N229" s="16"/>
      <c r="O229" s="16" t="s">
        <v>17</v>
      </c>
      <c r="P229" s="16" t="s">
        <v>11</v>
      </c>
      <c r="Q229" s="17">
        <v>500712</v>
      </c>
      <c r="R229" s="17">
        <v>499579</v>
      </c>
      <c r="S229" s="17">
        <v>500100</v>
      </c>
      <c r="T229" s="17">
        <f>AVERAGE(Table1436281282288300312348[[#This Row],[Teste 1]:[Teste 3]])</f>
        <v>500130.33333333331</v>
      </c>
    </row>
    <row r="230" spans="1:20" x14ac:dyDescent="0.25">
      <c r="A230" s="16"/>
      <c r="B230" s="16"/>
      <c r="C230" s="17"/>
      <c r="D230" s="17"/>
      <c r="E230" s="17"/>
      <c r="F230" s="17"/>
      <c r="G230" s="16"/>
      <c r="H230" s="16"/>
      <c r="I230" s="16"/>
      <c r="J230" s="17"/>
      <c r="K230" s="17"/>
      <c r="L230" s="17"/>
      <c r="M230" s="17"/>
      <c r="N230" s="16"/>
      <c r="O230" s="16"/>
      <c r="P230" s="16"/>
      <c r="Q230" s="17"/>
      <c r="R230" s="17"/>
      <c r="S230" s="17"/>
      <c r="T230" s="17"/>
    </row>
    <row r="231" spans="1:20" x14ac:dyDescent="0.25">
      <c r="A231" s="16"/>
      <c r="B231" s="16"/>
      <c r="C231" s="17"/>
      <c r="D231" s="17"/>
      <c r="E231" s="17"/>
      <c r="F231" s="17"/>
      <c r="G231" s="16"/>
      <c r="H231" s="16"/>
      <c r="I231" s="16"/>
      <c r="J231" s="17"/>
      <c r="K231" s="17"/>
      <c r="L231" s="17"/>
      <c r="M231" s="17"/>
      <c r="N231" s="16"/>
      <c r="O231" s="16"/>
      <c r="P231" s="16"/>
      <c r="Q231" s="17"/>
      <c r="R231" s="17"/>
      <c r="S231" s="17"/>
      <c r="T231" s="17"/>
    </row>
    <row r="232" spans="1:20" x14ac:dyDescent="0.25">
      <c r="A232" s="16"/>
      <c r="B232" s="16"/>
      <c r="C232" s="17"/>
      <c r="D232" s="17"/>
      <c r="E232" s="17"/>
      <c r="F232" s="17"/>
      <c r="G232" s="16"/>
      <c r="H232" s="16"/>
      <c r="I232" s="16"/>
      <c r="J232" s="17"/>
      <c r="K232" s="17"/>
      <c r="L232" s="17"/>
      <c r="M232" s="17"/>
      <c r="N232" s="16"/>
      <c r="O232" s="16"/>
      <c r="P232" s="16"/>
      <c r="Q232" s="17"/>
      <c r="R232" s="17"/>
      <c r="S232" s="17"/>
      <c r="T232" s="17"/>
    </row>
    <row r="233" spans="1:20" x14ac:dyDescent="0.25">
      <c r="Q233" s="16"/>
    </row>
    <row r="234" spans="1:20" ht="15.75" x14ac:dyDescent="0.25">
      <c r="A234" s="2" t="s">
        <v>73</v>
      </c>
      <c r="H234" s="2" t="s">
        <v>73</v>
      </c>
      <c r="O234" s="2" t="s">
        <v>73</v>
      </c>
      <c r="Q234" s="16"/>
    </row>
    <row r="235" spans="1:20" x14ac:dyDescent="0.25">
      <c r="A235" s="16" t="s">
        <v>59</v>
      </c>
      <c r="B235" s="16" t="s">
        <v>81</v>
      </c>
      <c r="C235" s="16" t="s">
        <v>82</v>
      </c>
      <c r="D235" s="16" t="s">
        <v>64</v>
      </c>
      <c r="E235" s="16" t="s">
        <v>63</v>
      </c>
      <c r="F235" s="16" t="s">
        <v>18</v>
      </c>
      <c r="G235" s="16"/>
      <c r="H235" s="16" t="s">
        <v>12</v>
      </c>
      <c r="I235" s="16" t="s">
        <v>81</v>
      </c>
      <c r="J235" s="16" t="s">
        <v>82</v>
      </c>
      <c r="K235" s="16" t="s">
        <v>64</v>
      </c>
      <c r="L235" s="16" t="s">
        <v>63</v>
      </c>
      <c r="M235" s="16" t="s">
        <v>18</v>
      </c>
      <c r="N235" s="16"/>
      <c r="O235" s="16" t="s">
        <v>13</v>
      </c>
      <c r="P235" s="16" t="s">
        <v>81</v>
      </c>
      <c r="Q235" s="16" t="s">
        <v>82</v>
      </c>
      <c r="R235" s="16" t="s">
        <v>64</v>
      </c>
      <c r="S235" s="16" t="s">
        <v>63</v>
      </c>
      <c r="T235" s="16" t="s">
        <v>18</v>
      </c>
    </row>
    <row r="236" spans="1:20" x14ac:dyDescent="0.25">
      <c r="A236" s="16" t="s">
        <v>0</v>
      </c>
      <c r="B236" s="16" t="s">
        <v>1</v>
      </c>
      <c r="C236" s="17">
        <v>20041034</v>
      </c>
      <c r="D236" s="17">
        <v>20047265</v>
      </c>
      <c r="E236" s="17">
        <v>20042756</v>
      </c>
      <c r="F236" s="17">
        <f>AVERAGE(Table1436281283289325[[#This Row],[Teste 1]:[Teste 3]])</f>
        <v>20043685</v>
      </c>
      <c r="G236" s="16"/>
      <c r="H236" s="16" t="s">
        <v>0</v>
      </c>
      <c r="I236" s="16" t="s">
        <v>1</v>
      </c>
      <c r="J236" s="17">
        <v>10676136</v>
      </c>
      <c r="K236" s="17">
        <v>10543723</v>
      </c>
      <c r="L236" s="17">
        <v>10883480</v>
      </c>
      <c r="M236" s="17">
        <f>AVERAGE(Table1436281283289301337[[#This Row],[Teste 1]:[Teste 3]])</f>
        <v>10701113</v>
      </c>
      <c r="N236" s="16"/>
      <c r="O236" s="16" t="s">
        <v>0</v>
      </c>
      <c r="P236" s="16" t="s">
        <v>1</v>
      </c>
      <c r="Q236" s="17">
        <v>2448655</v>
      </c>
      <c r="R236" s="17">
        <v>2418285</v>
      </c>
      <c r="S236" s="17">
        <v>2496211</v>
      </c>
      <c r="T236" s="17">
        <f>AVERAGE(Table1436281283289301313349[[#This Row],[Teste 1]:[Teste 3]])</f>
        <v>2454383.6666666665</v>
      </c>
    </row>
    <row r="237" spans="1:20" x14ac:dyDescent="0.25">
      <c r="A237" s="16" t="s">
        <v>0</v>
      </c>
      <c r="B237" s="16" t="s">
        <v>2</v>
      </c>
      <c r="C237" s="17">
        <v>498.97625042699798</v>
      </c>
      <c r="D237" s="17">
        <v>498.82116089152299</v>
      </c>
      <c r="E237" s="17">
        <v>498.899</v>
      </c>
      <c r="F237" s="17">
        <f>AVERAGE(Table1436281283289325[[#This Row],[Teste 1]:[Teste 3]])</f>
        <v>498.89880377284027</v>
      </c>
      <c r="G237" s="16"/>
      <c r="H237" s="16" t="s">
        <v>0</v>
      </c>
      <c r="I237" s="16" t="s">
        <v>2</v>
      </c>
      <c r="J237" s="17">
        <v>1095.29</v>
      </c>
      <c r="K237" s="17">
        <v>1105.3399999999999</v>
      </c>
      <c r="L237" s="17">
        <v>1112.79</v>
      </c>
      <c r="M237" s="17">
        <f>AVERAGE(Table1436281283289301337[[#This Row],[Teste 1]:[Teste 3]])</f>
        <v>1104.4733333333334</v>
      </c>
      <c r="N237" s="16"/>
      <c r="O237" s="16" t="s">
        <v>0</v>
      </c>
      <c r="P237" s="16" t="s">
        <v>2</v>
      </c>
      <c r="Q237" s="17">
        <v>4775.5011505839702</v>
      </c>
      <c r="R237" s="17">
        <v>4819.29392713169</v>
      </c>
      <c r="S237" s="17">
        <v>4851.7670559134003</v>
      </c>
      <c r="T237" s="17">
        <f>AVERAGE(Table1436281283289301313349[[#This Row],[Teste 1]:[Teste 3]])</f>
        <v>4815.5207112096869</v>
      </c>
    </row>
    <row r="238" spans="1:20" x14ac:dyDescent="0.25">
      <c r="A238" s="16" t="s">
        <v>16</v>
      </c>
      <c r="B238" s="16" t="s">
        <v>4</v>
      </c>
      <c r="C238" s="17">
        <v>9501454</v>
      </c>
      <c r="D238" s="17">
        <v>9501889</v>
      </c>
      <c r="E238" s="17">
        <v>9501847</v>
      </c>
      <c r="F238" s="17">
        <f>AVERAGE(Table1436281283289325[[#This Row],[Teste 1]:[Teste 3]])</f>
        <v>9501730</v>
      </c>
      <c r="G238" s="16"/>
      <c r="H238" s="16" t="s">
        <v>16</v>
      </c>
      <c r="I238" s="16" t="s">
        <v>4</v>
      </c>
      <c r="J238" s="17">
        <v>9500163</v>
      </c>
      <c r="K238" s="17">
        <v>9500208</v>
      </c>
      <c r="L238" s="17">
        <v>9499900</v>
      </c>
      <c r="M238" s="17">
        <f>AVERAGE(Table1436281283289301337[[#This Row],[Teste 1]:[Teste 3]])</f>
        <v>9500090.333333334</v>
      </c>
      <c r="N238" s="16"/>
      <c r="O238" s="16" t="s">
        <v>16</v>
      </c>
      <c r="P238" s="16" t="s">
        <v>4</v>
      </c>
      <c r="Q238" s="17">
        <v>9499569</v>
      </c>
      <c r="R238" s="17">
        <v>9498722</v>
      </c>
      <c r="S238" s="17">
        <v>9499703</v>
      </c>
      <c r="T238" s="17">
        <f>AVERAGE(Table1436281283289301313349[[#This Row],[Teste 1]:[Teste 3]])</f>
        <v>9499331.333333334</v>
      </c>
    </row>
    <row r="239" spans="1:20" x14ac:dyDescent="0.25">
      <c r="A239" s="16" t="s">
        <v>16</v>
      </c>
      <c r="B239" s="16" t="s">
        <v>5</v>
      </c>
      <c r="C239" s="17">
        <v>12613.7144407582</v>
      </c>
      <c r="D239" s="17">
        <v>12620.0193855137</v>
      </c>
      <c r="E239" s="17">
        <v>12658</v>
      </c>
      <c r="F239" s="17">
        <f>AVERAGE(Table1436281283289325[[#This Row],[Teste 1]:[Teste 3]])</f>
        <v>12630.577942090633</v>
      </c>
      <c r="G239" s="16"/>
      <c r="H239" s="16" t="s">
        <v>16</v>
      </c>
      <c r="I239" s="16" t="s">
        <v>5</v>
      </c>
      <c r="J239" s="17">
        <v>6872.79</v>
      </c>
      <c r="K239" s="17">
        <v>6790.77</v>
      </c>
      <c r="L239" s="17">
        <v>6735.53</v>
      </c>
      <c r="M239" s="17">
        <f>AVERAGE(Table1436281283289301337[[#This Row],[Teste 1]:[Teste 3]])</f>
        <v>6799.6966666666667</v>
      </c>
      <c r="N239" s="16"/>
      <c r="O239" s="16" t="s">
        <v>16</v>
      </c>
      <c r="P239" s="16" t="s">
        <v>5</v>
      </c>
      <c r="Q239" s="17">
        <v>1576.32988980868</v>
      </c>
      <c r="R239" s="17">
        <v>1557.5150024392699</v>
      </c>
      <c r="S239" s="17">
        <v>1544.8453394806099</v>
      </c>
      <c r="T239" s="17">
        <f>AVERAGE(Table1436281283289301313349[[#This Row],[Teste 1]:[Teste 3]])</f>
        <v>1559.5634105761867</v>
      </c>
    </row>
    <row r="240" spans="1:20" x14ac:dyDescent="0.25">
      <c r="A240" s="16" t="s">
        <v>16</v>
      </c>
      <c r="B240" s="16" t="s">
        <v>6</v>
      </c>
      <c r="C240" s="17">
        <v>69</v>
      </c>
      <c r="D240" s="17">
        <v>66</v>
      </c>
      <c r="E240" s="17">
        <v>68</v>
      </c>
      <c r="F240" s="17">
        <f>AVERAGE(Table1436281283289325[[#This Row],[Teste 1]:[Teste 3]])</f>
        <v>67.666666666666671</v>
      </c>
      <c r="G240" s="16"/>
      <c r="H240" s="16" t="s">
        <v>16</v>
      </c>
      <c r="I240" s="16" t="s">
        <v>6</v>
      </c>
      <c r="J240" s="17">
        <v>432</v>
      </c>
      <c r="K240" s="17">
        <v>418</v>
      </c>
      <c r="L240" s="17">
        <v>427</v>
      </c>
      <c r="M240" s="17">
        <f>AVERAGE(Table1436281283289301337[[#This Row],[Teste 1]:[Teste 3]])</f>
        <v>425.66666666666669</v>
      </c>
      <c r="N240" s="16"/>
      <c r="O240" s="16" t="s">
        <v>16</v>
      </c>
      <c r="P240" s="16" t="s">
        <v>6</v>
      </c>
      <c r="Q240" s="17">
        <v>99</v>
      </c>
      <c r="R240" s="17">
        <v>96</v>
      </c>
      <c r="S240" s="17">
        <v>98</v>
      </c>
      <c r="T240" s="17">
        <f>AVERAGE(Table1436281283289301313349[[#This Row],[Teste 1]:[Teste 3]])</f>
        <v>97.666666666666671</v>
      </c>
    </row>
    <row r="241" spans="1:20" x14ac:dyDescent="0.25">
      <c r="A241" s="16" t="s">
        <v>16</v>
      </c>
      <c r="B241" s="16" t="s">
        <v>7</v>
      </c>
      <c r="C241" s="17">
        <v>7442431</v>
      </c>
      <c r="D241" s="17">
        <v>7065599</v>
      </c>
      <c r="E241" s="17">
        <v>7254015</v>
      </c>
      <c r="F241" s="17">
        <f>AVERAGE(Table1436281283289325[[#This Row],[Teste 1]:[Teste 3]])</f>
        <v>7254015</v>
      </c>
      <c r="G241" s="16"/>
      <c r="H241" s="16" t="s">
        <v>16</v>
      </c>
      <c r="I241" s="16" t="s">
        <v>7</v>
      </c>
      <c r="J241" s="17">
        <v>5670088</v>
      </c>
      <c r="K241" s="17">
        <v>7630065</v>
      </c>
      <c r="L241" s="17">
        <v>6152270</v>
      </c>
      <c r="M241" s="17">
        <f>AVERAGE(Table1436281283289301337[[#This Row],[Teste 1]:[Teste 3]])</f>
        <v>6484141</v>
      </c>
      <c r="N241" s="16"/>
      <c r="O241" s="16" t="s">
        <v>16</v>
      </c>
      <c r="P241" s="16" t="s">
        <v>7</v>
      </c>
      <c r="Q241" s="17">
        <v>1300479</v>
      </c>
      <c r="R241" s="17">
        <v>1750015</v>
      </c>
      <c r="S241" s="17">
        <v>1411071</v>
      </c>
      <c r="T241" s="17">
        <f>AVERAGE(Table1436281283289301313349[[#This Row],[Teste 1]:[Teste 3]])</f>
        <v>1487188.3333333333</v>
      </c>
    </row>
    <row r="242" spans="1:20" x14ac:dyDescent="0.25">
      <c r="A242" s="16" t="s">
        <v>16</v>
      </c>
      <c r="B242" s="16" t="s">
        <v>8</v>
      </c>
      <c r="C242" s="17">
        <v>47935</v>
      </c>
      <c r="D242" s="17">
        <v>48991</v>
      </c>
      <c r="E242" s="17">
        <v>48652</v>
      </c>
      <c r="F242" s="17">
        <f>AVERAGE(Table1436281283289325[[#This Row],[Teste 1]:[Teste 3]])</f>
        <v>48526</v>
      </c>
      <c r="G242" s="16"/>
      <c r="H242" s="16" t="s">
        <v>16</v>
      </c>
      <c r="I242" s="16" t="s">
        <v>8</v>
      </c>
      <c r="J242" s="17">
        <v>12203</v>
      </c>
      <c r="K242" s="17">
        <v>11898</v>
      </c>
      <c r="L242" s="17">
        <v>11872</v>
      </c>
      <c r="M242" s="17">
        <f>AVERAGE(Table1436281283289301337[[#This Row],[Teste 1]:[Teste 3]])</f>
        <v>11991</v>
      </c>
      <c r="N242" s="16"/>
      <c r="O242" s="16" t="s">
        <v>16</v>
      </c>
      <c r="P242" s="16" t="s">
        <v>8</v>
      </c>
      <c r="Q242" s="17">
        <v>2799</v>
      </c>
      <c r="R242" s="17">
        <v>2729</v>
      </c>
      <c r="S242" s="17">
        <v>2723</v>
      </c>
      <c r="T242" s="17">
        <f>AVERAGE(Table1436281283289301313349[[#This Row],[Teste 1]:[Teste 3]])</f>
        <v>2750.3333333333335</v>
      </c>
    </row>
    <row r="243" spans="1:20" x14ac:dyDescent="0.25">
      <c r="A243" s="16" t="s">
        <v>16</v>
      </c>
      <c r="B243" s="16" t="s">
        <v>9</v>
      </c>
      <c r="C243" s="17">
        <v>100415</v>
      </c>
      <c r="D243" s="17">
        <v>96639</v>
      </c>
      <c r="E243" s="17">
        <v>98254</v>
      </c>
      <c r="F243" s="17">
        <f>AVERAGE(Table1436281283289325[[#This Row],[Teste 1]:[Teste 3]])</f>
        <v>98436</v>
      </c>
      <c r="G243" s="16"/>
      <c r="H243" s="16" t="s">
        <v>16</v>
      </c>
      <c r="I243" s="16" t="s">
        <v>9</v>
      </c>
      <c r="J243" s="17">
        <v>19179</v>
      </c>
      <c r="K243" s="17">
        <v>18708</v>
      </c>
      <c r="L243" s="17">
        <v>19022</v>
      </c>
      <c r="M243" s="17">
        <f>AVERAGE(Table1436281283289301337[[#This Row],[Teste 1]:[Teste 3]])</f>
        <v>18969.666666666668</v>
      </c>
      <c r="N243" s="16"/>
      <c r="O243" s="16" t="s">
        <v>16</v>
      </c>
      <c r="P243" s="16" t="s">
        <v>9</v>
      </c>
      <c r="Q243" s="17">
        <v>4399</v>
      </c>
      <c r="R243" s="17">
        <v>4291</v>
      </c>
      <c r="S243" s="17">
        <v>4363</v>
      </c>
      <c r="T243" s="17">
        <f>AVERAGE(Table1436281283289301313349[[#This Row],[Teste 1]:[Teste 3]])</f>
        <v>4351</v>
      </c>
    </row>
    <row r="244" spans="1:20" x14ac:dyDescent="0.25">
      <c r="A244" s="16" t="s">
        <v>16</v>
      </c>
      <c r="B244" s="16" t="s">
        <v>11</v>
      </c>
      <c r="C244" s="17">
        <v>9501454</v>
      </c>
      <c r="D244" s="17">
        <v>9501889</v>
      </c>
      <c r="E244" s="17">
        <v>9501847</v>
      </c>
      <c r="F244" s="17">
        <f>AVERAGE(Table1436281283289325[[#This Row],[Teste 1]:[Teste 3]])</f>
        <v>9501730</v>
      </c>
      <c r="G244" s="16"/>
      <c r="H244" s="16" t="s">
        <v>16</v>
      </c>
      <c r="I244" s="16" t="s">
        <v>11</v>
      </c>
      <c r="J244" s="17">
        <v>9500163</v>
      </c>
      <c r="K244" s="17">
        <v>9500208</v>
      </c>
      <c r="L244" s="17">
        <v>9499900</v>
      </c>
      <c r="M244" s="17">
        <f>AVERAGE(Table1436281283289301337[[#This Row],[Teste 1]:[Teste 3]])</f>
        <v>9500090.333333334</v>
      </c>
      <c r="N244" s="16"/>
      <c r="O244" s="16" t="s">
        <v>16</v>
      </c>
      <c r="P244" s="16" t="s">
        <v>11</v>
      </c>
      <c r="Q244" s="17">
        <v>9499569</v>
      </c>
      <c r="R244" s="17">
        <v>9498722</v>
      </c>
      <c r="S244" s="17">
        <v>9499703</v>
      </c>
      <c r="T244" s="17">
        <f>AVERAGE(Table1436281283289301313349[[#This Row],[Teste 1]:[Teste 3]])</f>
        <v>9499331.333333334</v>
      </c>
    </row>
    <row r="245" spans="1:20" x14ac:dyDescent="0.25">
      <c r="A245" s="16" t="s">
        <v>3</v>
      </c>
      <c r="B245" s="16" t="s">
        <v>4</v>
      </c>
      <c r="C245" s="17">
        <v>6</v>
      </c>
      <c r="D245" s="17">
        <v>6</v>
      </c>
      <c r="E245" s="17">
        <v>6</v>
      </c>
      <c r="F245" s="17">
        <f>AVERAGE(Table1436281283289325[[#This Row],[Teste 1]:[Teste 3]])</f>
        <v>6</v>
      </c>
      <c r="G245" s="16"/>
      <c r="H245" s="16" t="s">
        <v>3</v>
      </c>
      <c r="I245" s="16" t="s">
        <v>4</v>
      </c>
      <c r="J245" s="17">
        <v>6</v>
      </c>
      <c r="K245" s="17">
        <v>6</v>
      </c>
      <c r="L245" s="17">
        <v>6</v>
      </c>
      <c r="M245" s="17">
        <f>AVERAGE(Table1436281283289301337[[#This Row],[Teste 1]:[Teste 3]])</f>
        <v>6</v>
      </c>
      <c r="N245" s="16"/>
      <c r="O245" s="16" t="s">
        <v>3</v>
      </c>
      <c r="P245" s="16" t="s">
        <v>4</v>
      </c>
      <c r="Q245" s="17">
        <v>6</v>
      </c>
      <c r="R245" s="17">
        <v>6</v>
      </c>
      <c r="S245" s="17">
        <v>6</v>
      </c>
      <c r="T245" s="17">
        <f>AVERAGE(Table1436281283289301313349[[#This Row],[Teste 1]:[Teste 3]])</f>
        <v>6</v>
      </c>
    </row>
    <row r="246" spans="1:20" x14ac:dyDescent="0.25">
      <c r="A246" s="16" t="s">
        <v>3</v>
      </c>
      <c r="B246" s="16" t="s">
        <v>5</v>
      </c>
      <c r="C246" s="17">
        <v>0.66666666666666596</v>
      </c>
      <c r="D246" s="17">
        <v>0.5</v>
      </c>
      <c r="E246" s="17">
        <v>0.3333333</v>
      </c>
      <c r="F246" s="17">
        <f>AVERAGE(Table1436281283289325[[#This Row],[Teste 1]:[Teste 3]])</f>
        <v>0.49999998888888869</v>
      </c>
      <c r="G246" s="16"/>
      <c r="H246" s="16" t="s">
        <v>3</v>
      </c>
      <c r="I246" s="16" t="s">
        <v>5</v>
      </c>
      <c r="J246" s="17">
        <v>1.8333333333333299</v>
      </c>
      <c r="K246" s="17">
        <v>1.5</v>
      </c>
      <c r="L246" s="17">
        <v>5.3333333333333304</v>
      </c>
      <c r="M246" s="17">
        <f>AVERAGE(Table1436281283289301337[[#This Row],[Teste 1]:[Teste 3]])</f>
        <v>2.8888888888888871</v>
      </c>
      <c r="N246" s="16"/>
      <c r="O246" s="16" t="s">
        <v>3</v>
      </c>
      <c r="P246" s="16" t="s">
        <v>5</v>
      </c>
      <c r="Q246" s="17">
        <v>6013.6666666666597</v>
      </c>
      <c r="R246" s="17">
        <v>433.5</v>
      </c>
      <c r="S246" s="17">
        <v>453.5</v>
      </c>
      <c r="T246" s="17">
        <f>AVERAGE(Table1436281283289301313349[[#This Row],[Teste 1]:[Teste 3]])</f>
        <v>2300.2222222222199</v>
      </c>
    </row>
    <row r="247" spans="1:20" x14ac:dyDescent="0.25">
      <c r="A247" s="16" t="s">
        <v>3</v>
      </c>
      <c r="B247" s="16" t="s">
        <v>6</v>
      </c>
      <c r="C247" s="17">
        <v>0</v>
      </c>
      <c r="D247" s="17">
        <v>0</v>
      </c>
      <c r="E247" s="17">
        <v>0</v>
      </c>
      <c r="F247" s="17">
        <f>AVERAGE(Table1436281283289325[[#This Row],[Teste 1]:[Teste 3]])</f>
        <v>0</v>
      </c>
      <c r="G247" s="16"/>
      <c r="H247" s="16" t="s">
        <v>3</v>
      </c>
      <c r="I247" s="16" t="s">
        <v>6</v>
      </c>
      <c r="J247" s="17">
        <v>1</v>
      </c>
      <c r="K247" s="17">
        <v>0</v>
      </c>
      <c r="L247" s="17">
        <v>1</v>
      </c>
      <c r="M247" s="17">
        <f>AVERAGE(Table1436281283289301337[[#This Row],[Teste 1]:[Teste 3]])</f>
        <v>0.66666666666666663</v>
      </c>
      <c r="N247" s="16"/>
      <c r="O247" s="16" t="s">
        <v>3</v>
      </c>
      <c r="P247" s="16" t="s">
        <v>6</v>
      </c>
      <c r="Q247" s="17">
        <v>1</v>
      </c>
      <c r="R247" s="17">
        <v>1</v>
      </c>
      <c r="S247" s="17">
        <v>1</v>
      </c>
      <c r="T247" s="17">
        <f>AVERAGE(Table1436281283289301313349[[#This Row],[Teste 1]:[Teste 3]])</f>
        <v>1</v>
      </c>
    </row>
    <row r="248" spans="1:20" x14ac:dyDescent="0.25">
      <c r="A248" s="16" t="s">
        <v>3</v>
      </c>
      <c r="B248" s="16" t="s">
        <v>7</v>
      </c>
      <c r="C248" s="17">
        <v>2</v>
      </c>
      <c r="D248" s="17">
        <v>1</v>
      </c>
      <c r="E248" s="17">
        <v>2</v>
      </c>
      <c r="F248" s="17">
        <f>AVERAGE(Table1436281283289325[[#This Row],[Teste 1]:[Teste 3]])</f>
        <v>1.6666666666666667</v>
      </c>
      <c r="G248" s="16"/>
      <c r="H248" s="16" t="s">
        <v>3</v>
      </c>
      <c r="I248" s="16" t="s">
        <v>7</v>
      </c>
      <c r="J248" s="17">
        <v>6</v>
      </c>
      <c r="K248" s="17">
        <v>7</v>
      </c>
      <c r="L248" s="17">
        <v>26</v>
      </c>
      <c r="M248" s="17">
        <f>AVERAGE(Table1436281283289301337[[#This Row],[Teste 1]:[Teste 3]])</f>
        <v>13</v>
      </c>
      <c r="N248" s="16"/>
      <c r="O248" s="16" t="s">
        <v>3</v>
      </c>
      <c r="P248" s="16" t="s">
        <v>7</v>
      </c>
      <c r="Q248" s="17">
        <v>36063</v>
      </c>
      <c r="R248" s="17">
        <v>2591</v>
      </c>
      <c r="S248" s="17">
        <v>2711</v>
      </c>
      <c r="T248" s="17">
        <f>AVERAGE(Table1436281283289301313349[[#This Row],[Teste 1]:[Teste 3]])</f>
        <v>13788.333333333334</v>
      </c>
    </row>
    <row r="249" spans="1:20" x14ac:dyDescent="0.25">
      <c r="A249" s="16" t="s">
        <v>3</v>
      </c>
      <c r="B249" s="16" t="s">
        <v>8</v>
      </c>
      <c r="C249" s="17">
        <v>2</v>
      </c>
      <c r="D249" s="17">
        <v>1</v>
      </c>
      <c r="E249" s="17">
        <v>2</v>
      </c>
      <c r="F249" s="17">
        <f>AVERAGE(Table1436281283289325[[#This Row],[Teste 1]:[Teste 3]])</f>
        <v>1.6666666666666667</v>
      </c>
      <c r="G249" s="16"/>
      <c r="H249" s="16" t="s">
        <v>3</v>
      </c>
      <c r="I249" s="16" t="s">
        <v>8</v>
      </c>
      <c r="J249" s="17">
        <v>6</v>
      </c>
      <c r="K249" s="17">
        <v>7</v>
      </c>
      <c r="L249" s="17">
        <v>26</v>
      </c>
      <c r="M249" s="17">
        <f>AVERAGE(Table1436281283289301337[[#This Row],[Teste 1]:[Teste 3]])</f>
        <v>13</v>
      </c>
      <c r="N249" s="16"/>
      <c r="O249" s="16" t="s">
        <v>3</v>
      </c>
      <c r="P249" s="16" t="s">
        <v>8</v>
      </c>
      <c r="Q249" s="17">
        <v>36063</v>
      </c>
      <c r="R249" s="17">
        <v>2591</v>
      </c>
      <c r="S249" s="17">
        <v>2711</v>
      </c>
      <c r="T249" s="17">
        <f>AVERAGE(Table1436281283289301313349[[#This Row],[Teste 1]:[Teste 3]])</f>
        <v>13788.333333333334</v>
      </c>
    </row>
    <row r="250" spans="1:20" x14ac:dyDescent="0.25">
      <c r="A250" s="16" t="s">
        <v>3</v>
      </c>
      <c r="B250" s="16" t="s">
        <v>9</v>
      </c>
      <c r="C250" s="17">
        <v>2</v>
      </c>
      <c r="D250" s="17">
        <v>1</v>
      </c>
      <c r="E250" s="17">
        <v>2</v>
      </c>
      <c r="F250" s="17">
        <f>AVERAGE(Table1436281283289325[[#This Row],[Teste 1]:[Teste 3]])</f>
        <v>1.6666666666666667</v>
      </c>
      <c r="G250" s="16"/>
      <c r="H250" s="16" t="s">
        <v>3</v>
      </c>
      <c r="I250" s="16" t="s">
        <v>9</v>
      </c>
      <c r="J250" s="17">
        <v>6</v>
      </c>
      <c r="K250" s="17">
        <v>7</v>
      </c>
      <c r="L250" s="17">
        <v>26</v>
      </c>
      <c r="M250" s="17">
        <f>AVERAGE(Table1436281283289301337[[#This Row],[Teste 1]:[Teste 3]])</f>
        <v>13</v>
      </c>
      <c r="N250" s="16"/>
      <c r="O250" s="16" t="s">
        <v>3</v>
      </c>
      <c r="P250" s="16" t="s">
        <v>9</v>
      </c>
      <c r="Q250" s="17">
        <v>36063</v>
      </c>
      <c r="R250" s="17">
        <v>2591</v>
      </c>
      <c r="S250" s="17">
        <v>2711</v>
      </c>
      <c r="T250" s="17">
        <f>AVERAGE(Table1436281283289301313349[[#This Row],[Teste 1]:[Teste 3]])</f>
        <v>13788.333333333334</v>
      </c>
    </row>
    <row r="251" spans="1:20" x14ac:dyDescent="0.25">
      <c r="A251" s="16" t="s">
        <v>17</v>
      </c>
      <c r="B251" s="16" t="s">
        <v>4</v>
      </c>
      <c r="C251" s="17">
        <v>498546</v>
      </c>
      <c r="D251" s="17">
        <v>498111</v>
      </c>
      <c r="E251" s="17">
        <v>498153</v>
      </c>
      <c r="F251" s="17">
        <f>AVERAGE(Table1436281283289325[[#This Row],[Teste 1]:[Teste 3]])</f>
        <v>498270</v>
      </c>
      <c r="G251" s="16"/>
      <c r="H251" s="16" t="s">
        <v>17</v>
      </c>
      <c r="I251" s="16" t="s">
        <v>4</v>
      </c>
      <c r="J251" s="17">
        <v>499837</v>
      </c>
      <c r="K251" s="17">
        <v>499792</v>
      </c>
      <c r="L251" s="17">
        <v>500100</v>
      </c>
      <c r="M251" s="17">
        <f>AVERAGE(Table1436281283289301337[[#This Row],[Teste 1]:[Teste 3]])</f>
        <v>499909.66666666669</v>
      </c>
      <c r="N251" s="16"/>
      <c r="O251" s="16" t="s">
        <v>17</v>
      </c>
      <c r="P251" s="16" t="s">
        <v>4</v>
      </c>
      <c r="Q251" s="17">
        <v>500431</v>
      </c>
      <c r="R251" s="17">
        <v>501278</v>
      </c>
      <c r="S251" s="17">
        <v>500297</v>
      </c>
      <c r="T251" s="17">
        <f>AVERAGE(Table1436281283289301313349[[#This Row],[Teste 1]:[Teste 3]])</f>
        <v>500668.66666666669</v>
      </c>
    </row>
    <row r="252" spans="1:20" x14ac:dyDescent="0.25">
      <c r="A252" s="16" t="s">
        <v>17</v>
      </c>
      <c r="B252" s="16" t="s">
        <v>5</v>
      </c>
      <c r="C252" s="17">
        <v>439.915147248197</v>
      </c>
      <c r="D252" s="17">
        <v>392.13114345999099</v>
      </c>
      <c r="E252" s="17">
        <v>440.26580000000001</v>
      </c>
      <c r="F252" s="17">
        <f>AVERAGE(Table1436281283289325[[#This Row],[Teste 1]:[Teste 3]])</f>
        <v>424.10403023606267</v>
      </c>
      <c r="G252" s="16"/>
      <c r="H252" s="16" t="s">
        <v>17</v>
      </c>
      <c r="I252" s="16" t="s">
        <v>5</v>
      </c>
      <c r="J252" s="17">
        <v>7630.85</v>
      </c>
      <c r="K252" s="17">
        <v>7581.35</v>
      </c>
      <c r="L252" s="17">
        <v>7516.27</v>
      </c>
      <c r="M252" s="17">
        <f>AVERAGE(Table1436281283289301337[[#This Row],[Teste 1]:[Teste 3]])</f>
        <v>7576.1566666666668</v>
      </c>
      <c r="N252" s="16"/>
      <c r="O252" s="16" t="s">
        <v>17</v>
      </c>
      <c r="P252" s="16" t="s">
        <v>5</v>
      </c>
      <c r="Q252" s="17">
        <v>1750.1957972227899</v>
      </c>
      <c r="R252" s="17">
        <v>1738.84104429079</v>
      </c>
      <c r="S252" s="17">
        <v>1723.91484058469</v>
      </c>
      <c r="T252" s="17">
        <f>AVERAGE(Table1436281283289301313349[[#This Row],[Teste 1]:[Teste 3]])</f>
        <v>1737.6505606994233</v>
      </c>
    </row>
    <row r="253" spans="1:20" x14ac:dyDescent="0.25">
      <c r="A253" s="16" t="s">
        <v>17</v>
      </c>
      <c r="B253" s="16" t="s">
        <v>6</v>
      </c>
      <c r="C253" s="17">
        <v>130</v>
      </c>
      <c r="D253" s="17">
        <v>134</v>
      </c>
      <c r="E253" s="17">
        <v>132</v>
      </c>
      <c r="F253" s="17">
        <f>AVERAGE(Table1436281283289325[[#This Row],[Teste 1]:[Teste 3]])</f>
        <v>132</v>
      </c>
      <c r="G253" s="16"/>
      <c r="H253" s="16" t="s">
        <v>17</v>
      </c>
      <c r="I253" s="16" t="s">
        <v>6</v>
      </c>
      <c r="J253" s="17">
        <v>959</v>
      </c>
      <c r="K253" s="17">
        <v>819</v>
      </c>
      <c r="L253" s="17">
        <v>894</v>
      </c>
      <c r="M253" s="17">
        <f>AVERAGE(Table1436281283289301337[[#This Row],[Teste 1]:[Teste 3]])</f>
        <v>890.66666666666663</v>
      </c>
      <c r="N253" s="16"/>
      <c r="O253" s="16" t="s">
        <v>17</v>
      </c>
      <c r="P253" s="16" t="s">
        <v>6</v>
      </c>
      <c r="Q253" s="17">
        <v>220</v>
      </c>
      <c r="R253" s="17">
        <v>188</v>
      </c>
      <c r="S253" s="17">
        <v>205</v>
      </c>
      <c r="T253" s="17">
        <f>AVERAGE(Table1436281283289301313349[[#This Row],[Teste 1]:[Teste 3]])</f>
        <v>204.33333333333334</v>
      </c>
    </row>
    <row r="254" spans="1:20" x14ac:dyDescent="0.25">
      <c r="A254" s="16" t="s">
        <v>17</v>
      </c>
      <c r="B254" s="16" t="s">
        <v>7</v>
      </c>
      <c r="C254" s="17">
        <v>66815</v>
      </c>
      <c r="D254" s="17">
        <v>64383</v>
      </c>
      <c r="E254" s="17">
        <v>65489</v>
      </c>
      <c r="F254" s="17">
        <f>AVERAGE(Table1436281283289325[[#This Row],[Teste 1]:[Teste 3]])</f>
        <v>65562.333333333328</v>
      </c>
      <c r="G254" s="16"/>
      <c r="H254" s="16" t="s">
        <v>17</v>
      </c>
      <c r="I254" s="16" t="s">
        <v>7</v>
      </c>
      <c r="J254" s="17">
        <v>4652151</v>
      </c>
      <c r="K254" s="17">
        <v>7607742</v>
      </c>
      <c r="L254" s="17">
        <v>4169969</v>
      </c>
      <c r="M254" s="17">
        <f>AVERAGE(Table1436281283289301337[[#This Row],[Teste 1]:[Teste 3]])</f>
        <v>5476620.666666667</v>
      </c>
      <c r="N254" s="16"/>
      <c r="O254" s="16" t="s">
        <v>17</v>
      </c>
      <c r="P254" s="16" t="s">
        <v>7</v>
      </c>
      <c r="Q254" s="17">
        <v>1067007</v>
      </c>
      <c r="R254" s="17">
        <v>1744895</v>
      </c>
      <c r="S254" s="17">
        <v>956415</v>
      </c>
      <c r="T254" s="17">
        <f>AVERAGE(Table1436281283289301313349[[#This Row],[Teste 1]:[Teste 3]])</f>
        <v>1256105.6666666667</v>
      </c>
    </row>
    <row r="255" spans="1:20" x14ac:dyDescent="0.25">
      <c r="A255" s="16" t="s">
        <v>17</v>
      </c>
      <c r="B255" s="16" t="s">
        <v>8</v>
      </c>
      <c r="C255" s="17">
        <v>794</v>
      </c>
      <c r="D255" s="17">
        <v>652</v>
      </c>
      <c r="E255" s="17">
        <v>765</v>
      </c>
      <c r="F255" s="17">
        <f>AVERAGE(Table1436281283289325[[#This Row],[Teste 1]:[Teste 3]])</f>
        <v>737</v>
      </c>
      <c r="G255" s="16"/>
      <c r="H255" s="16" t="s">
        <v>17</v>
      </c>
      <c r="I255" s="16" t="s">
        <v>8</v>
      </c>
      <c r="J255" s="17">
        <v>12944</v>
      </c>
      <c r="K255" s="17">
        <v>12666</v>
      </c>
      <c r="L255" s="17">
        <v>12648</v>
      </c>
      <c r="M255" s="17">
        <f>AVERAGE(Table1436281283289301337[[#This Row],[Teste 1]:[Teste 3]])</f>
        <v>12752.666666666666</v>
      </c>
      <c r="N255" s="16"/>
      <c r="O255" s="16" t="s">
        <v>17</v>
      </c>
      <c r="P255" s="16" t="s">
        <v>8</v>
      </c>
      <c r="Q255" s="17">
        <v>2969</v>
      </c>
      <c r="R255" s="17">
        <v>2905</v>
      </c>
      <c r="S255" s="17">
        <v>2901</v>
      </c>
      <c r="T255" s="17">
        <f>AVERAGE(Table1436281283289301313349[[#This Row],[Teste 1]:[Teste 3]])</f>
        <v>2925</v>
      </c>
    </row>
    <row r="256" spans="1:20" x14ac:dyDescent="0.25">
      <c r="A256" s="16" t="s">
        <v>17</v>
      </c>
      <c r="B256" s="16" t="s">
        <v>9</v>
      </c>
      <c r="C256" s="17">
        <v>1251</v>
      </c>
      <c r="D256" s="17">
        <v>952</v>
      </c>
      <c r="E256" s="17">
        <v>1026</v>
      </c>
      <c r="F256" s="17">
        <f>AVERAGE(Table1436281283289325[[#This Row],[Teste 1]:[Teste 3]])</f>
        <v>1076.3333333333333</v>
      </c>
      <c r="G256" s="16"/>
      <c r="H256" s="16" t="s">
        <v>17</v>
      </c>
      <c r="I256" s="16" t="s">
        <v>9</v>
      </c>
      <c r="J256" s="17">
        <v>19999</v>
      </c>
      <c r="K256" s="17">
        <v>19545</v>
      </c>
      <c r="L256" s="17">
        <v>19877</v>
      </c>
      <c r="M256" s="17">
        <f>AVERAGE(Table1436281283289301337[[#This Row],[Teste 1]:[Teste 3]])</f>
        <v>19807</v>
      </c>
      <c r="N256" s="16"/>
      <c r="O256" s="16" t="s">
        <v>17</v>
      </c>
      <c r="P256" s="16" t="s">
        <v>9</v>
      </c>
      <c r="Q256" s="17">
        <v>4587</v>
      </c>
      <c r="R256" s="17">
        <v>4483</v>
      </c>
      <c r="S256" s="17">
        <v>4559</v>
      </c>
      <c r="T256" s="17">
        <f>AVERAGE(Table1436281283289301313349[[#This Row],[Teste 1]:[Teste 3]])</f>
        <v>4543</v>
      </c>
    </row>
    <row r="257" spans="1:20" x14ac:dyDescent="0.25">
      <c r="A257" s="16" t="s">
        <v>17</v>
      </c>
      <c r="B257" s="16" t="s">
        <v>11</v>
      </c>
      <c r="C257" s="17">
        <v>498546</v>
      </c>
      <c r="D257" s="17">
        <v>498111</v>
      </c>
      <c r="E257" s="17">
        <v>498153</v>
      </c>
      <c r="F257" s="17">
        <f>AVERAGE(Table1436281283289325[[#This Row],[Teste 1]:[Teste 3]])</f>
        <v>498270</v>
      </c>
      <c r="G257" s="16"/>
      <c r="H257" s="16" t="s">
        <v>17</v>
      </c>
      <c r="I257" s="16" t="s">
        <v>11</v>
      </c>
      <c r="J257" s="17">
        <v>499837</v>
      </c>
      <c r="K257" s="17">
        <v>499792</v>
      </c>
      <c r="L257" s="17">
        <v>500100</v>
      </c>
      <c r="M257" s="17">
        <f>AVERAGE(Table1436281283289301337[[#This Row],[Teste 1]:[Teste 3]])</f>
        <v>499909.66666666669</v>
      </c>
      <c r="N257" s="16"/>
      <c r="O257" s="16" t="s">
        <v>17</v>
      </c>
      <c r="P257" s="16" t="s">
        <v>11</v>
      </c>
      <c r="Q257" s="17">
        <v>500431</v>
      </c>
      <c r="R257" s="17">
        <v>501278</v>
      </c>
      <c r="S257" s="17">
        <v>500297</v>
      </c>
      <c r="T257" s="17">
        <f>AVERAGE(Table1436281283289301313349[[#This Row],[Teste 1]:[Teste 3]])</f>
        <v>500668.66666666669</v>
      </c>
    </row>
    <row r="258" spans="1:20" x14ac:dyDescent="0.25">
      <c r="A258" s="16"/>
      <c r="B258" s="16"/>
      <c r="C258" s="17"/>
      <c r="D258" s="17"/>
      <c r="E258" s="17"/>
      <c r="F258" s="17"/>
      <c r="G258" s="16"/>
      <c r="H258" s="16"/>
      <c r="I258" s="16"/>
      <c r="J258" s="17"/>
      <c r="K258" s="17"/>
      <c r="L258" s="17"/>
      <c r="M258" s="17"/>
      <c r="N258" s="16"/>
      <c r="O258" s="16"/>
      <c r="P258" s="16"/>
      <c r="Q258" s="17"/>
      <c r="R258" s="17"/>
      <c r="S258" s="17"/>
      <c r="T258" s="17"/>
    </row>
    <row r="259" spans="1:20" x14ac:dyDescent="0.25">
      <c r="A259" s="16"/>
      <c r="B259" s="16"/>
      <c r="C259" s="17"/>
      <c r="D259" s="17"/>
      <c r="E259" s="17"/>
      <c r="F259" s="17"/>
      <c r="G259" s="16"/>
      <c r="H259" s="16"/>
      <c r="I259" s="16"/>
      <c r="J259" s="17"/>
      <c r="K259" s="17"/>
      <c r="L259" s="17"/>
      <c r="M259" s="17"/>
      <c r="N259" s="16"/>
      <c r="O259" s="16"/>
      <c r="P259" s="16"/>
      <c r="Q259" s="17"/>
      <c r="R259" s="17"/>
      <c r="S259" s="17"/>
      <c r="T259" s="17"/>
    </row>
    <row r="260" spans="1:20" x14ac:dyDescent="0.25">
      <c r="A260" s="16"/>
      <c r="B260" s="16"/>
      <c r="C260" s="17"/>
      <c r="D260" s="17"/>
      <c r="E260" s="17"/>
      <c r="F260" s="17"/>
      <c r="G260" s="16"/>
      <c r="H260" s="16"/>
      <c r="I260" s="16"/>
      <c r="J260" s="17"/>
      <c r="K260" s="17"/>
      <c r="L260" s="17"/>
      <c r="M260" s="17"/>
      <c r="N260" s="16"/>
      <c r="O260" s="16"/>
      <c r="P260" s="16"/>
      <c r="Q260" s="17"/>
      <c r="R260" s="17"/>
      <c r="S260" s="17"/>
      <c r="T260" s="17"/>
    </row>
    <row r="261" spans="1:20" x14ac:dyDescent="0.25">
      <c r="Q261" s="16"/>
    </row>
    <row r="262" spans="1:20" x14ac:dyDescent="0.25">
      <c r="Q262" s="16"/>
    </row>
  </sheetData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0851-F87C-4C20-BB2E-7FBB6F87E1F9}">
  <dimension ref="A1:AJ239"/>
  <sheetViews>
    <sheetView zoomScale="83" zoomScaleNormal="83" workbookViewId="0">
      <selection activeCell="I2" sqref="I2"/>
    </sheetView>
  </sheetViews>
  <sheetFormatPr defaultRowHeight="15" x14ac:dyDescent="0.25"/>
  <cols>
    <col min="1" max="1" width="15.85546875" customWidth="1"/>
    <col min="2" max="2" width="26.140625" customWidth="1"/>
    <col min="3" max="3" width="14.28515625" customWidth="1"/>
    <col min="4" max="4" width="13.7109375" customWidth="1"/>
    <col min="5" max="5" width="14.42578125" customWidth="1"/>
    <col min="6" max="6" width="14.7109375" customWidth="1"/>
    <col min="7" max="7" width="10.7109375" customWidth="1"/>
    <col min="8" max="8" width="14.140625" customWidth="1"/>
    <col min="9" max="9" width="26.28515625" customWidth="1"/>
    <col min="10" max="10" width="13.7109375" customWidth="1"/>
    <col min="11" max="11" width="14" customWidth="1"/>
    <col min="12" max="12" width="14.42578125" customWidth="1"/>
    <col min="13" max="13" width="15.28515625" customWidth="1"/>
    <col min="14" max="14" width="11.28515625" customWidth="1"/>
    <col min="15" max="15" width="15.42578125" customWidth="1"/>
    <col min="16" max="16" width="25.85546875" customWidth="1"/>
    <col min="17" max="17" width="14.28515625" customWidth="1"/>
    <col min="18" max="18" width="14.7109375" customWidth="1"/>
    <col min="19" max="19" width="13.85546875" customWidth="1"/>
    <col min="20" max="20" width="14.28515625" customWidth="1"/>
    <col min="21" max="21" width="12.28515625" customWidth="1"/>
    <col min="22" max="22" width="11.140625" customWidth="1"/>
    <col min="23" max="23" width="11" customWidth="1"/>
    <col min="24" max="24" width="11.140625" customWidth="1"/>
    <col min="25" max="25" width="11.85546875" customWidth="1"/>
    <col min="26" max="26" width="12.140625" customWidth="1"/>
    <col min="27" max="27" width="11.28515625" customWidth="1"/>
    <col min="28" max="28" width="12.42578125" customWidth="1"/>
    <col min="29" max="29" width="12.140625" customWidth="1"/>
    <col min="30" max="30" width="11.42578125" customWidth="1"/>
    <col min="31" max="31" width="10.28515625" customWidth="1"/>
    <col min="32" max="32" width="12.5703125" customWidth="1"/>
    <col min="33" max="33" width="13.140625" customWidth="1"/>
    <col min="34" max="34" width="24.5703125" customWidth="1"/>
    <col min="35" max="35" width="11.28515625" customWidth="1"/>
    <col min="36" max="36" width="11" customWidth="1"/>
    <col min="37" max="37" width="11.28515625" customWidth="1"/>
    <col min="38" max="38" width="11.7109375" customWidth="1"/>
    <col min="39" max="39" width="12.140625" customWidth="1"/>
    <col min="40" max="40" width="11.140625" customWidth="1"/>
    <col min="41" max="42" width="11" customWidth="1"/>
    <col min="43" max="43" width="11.7109375" customWidth="1"/>
    <col min="44" max="44" width="12.42578125" customWidth="1"/>
    <col min="45" max="45" width="10" customWidth="1"/>
    <col min="46" max="47" width="10.5703125" customWidth="1"/>
  </cols>
  <sheetData>
    <row r="1" spans="1:22" ht="18.75" x14ac:dyDescent="0.3">
      <c r="H1" s="1" t="s">
        <v>21</v>
      </c>
    </row>
    <row r="2" spans="1:22" ht="18.75" x14ac:dyDescent="0.3">
      <c r="H2" s="1" t="s">
        <v>22</v>
      </c>
    </row>
    <row r="4" spans="1:22" ht="15.75" x14ac:dyDescent="0.25">
      <c r="A4" s="2" t="s">
        <v>62</v>
      </c>
      <c r="H4" s="2" t="s">
        <v>62</v>
      </c>
      <c r="O4" s="2" t="s">
        <v>62</v>
      </c>
    </row>
    <row r="5" spans="1:22" ht="15.75" x14ac:dyDescent="0.25">
      <c r="A5" s="2" t="s">
        <v>65</v>
      </c>
      <c r="H5" s="2" t="s">
        <v>65</v>
      </c>
      <c r="O5" s="2" t="s">
        <v>65</v>
      </c>
    </row>
    <row r="6" spans="1:22" x14ac:dyDescent="0.25">
      <c r="A6" s="16" t="s">
        <v>59</v>
      </c>
      <c r="B6" s="16" t="s">
        <v>62</v>
      </c>
      <c r="C6" s="16" t="s">
        <v>82</v>
      </c>
      <c r="D6" s="16" t="s">
        <v>64</v>
      </c>
      <c r="E6" s="16" t="s">
        <v>63</v>
      </c>
      <c r="F6" s="16" t="s">
        <v>18</v>
      </c>
      <c r="G6" s="16"/>
      <c r="H6" s="16" t="s">
        <v>12</v>
      </c>
      <c r="I6" s="16" t="s">
        <v>62</v>
      </c>
      <c r="J6" s="16" t="s">
        <v>82</v>
      </c>
      <c r="K6" s="16" t="s">
        <v>64</v>
      </c>
      <c r="L6" s="16" t="s">
        <v>63</v>
      </c>
      <c r="M6" s="16" t="s">
        <v>18</v>
      </c>
      <c r="N6" s="16"/>
      <c r="O6" s="16" t="s">
        <v>13</v>
      </c>
      <c r="P6" s="16" t="s">
        <v>62</v>
      </c>
      <c r="Q6" s="16" t="s">
        <v>82</v>
      </c>
      <c r="R6" s="16" t="s">
        <v>64</v>
      </c>
      <c r="S6" s="16" t="s">
        <v>63</v>
      </c>
      <c r="T6" s="16" t="s">
        <v>18</v>
      </c>
    </row>
    <row r="7" spans="1:22" x14ac:dyDescent="0.25">
      <c r="A7" s="16" t="s">
        <v>0</v>
      </c>
      <c r="B7" s="16" t="s">
        <v>1</v>
      </c>
      <c r="C7" s="17">
        <v>44879</v>
      </c>
      <c r="D7" s="17">
        <v>45869</v>
      </c>
      <c r="E7" s="17">
        <v>44974</v>
      </c>
      <c r="F7" s="17">
        <f>AVERAGE(Table143690117[[#This Row],[Teste 1]:[Teste 3]])</f>
        <v>45240.666666666664</v>
      </c>
      <c r="G7" s="16"/>
      <c r="H7" s="16" t="s">
        <v>0</v>
      </c>
      <c r="I7" s="16" t="s">
        <v>1</v>
      </c>
      <c r="J7" s="17">
        <v>47296</v>
      </c>
      <c r="K7" s="17">
        <v>47261</v>
      </c>
      <c r="L7" s="17">
        <v>47606</v>
      </c>
      <c r="M7" s="17">
        <f>AVERAGE(Table14369011721[[#This Row],[Teste 1]:[Teste 3]])</f>
        <v>47387.666666666664</v>
      </c>
      <c r="N7" s="16"/>
      <c r="O7" s="16" t="s">
        <v>0</v>
      </c>
      <c r="P7" s="16" t="s">
        <v>1</v>
      </c>
      <c r="Q7" s="17">
        <v>16309</v>
      </c>
      <c r="R7" s="17">
        <v>16297</v>
      </c>
      <c r="S7" s="17">
        <v>16416</v>
      </c>
      <c r="T7" s="17">
        <f>AVERAGE(Table14369011733[[#This Row],[Teste 1]:[Teste 3]])</f>
        <v>16340.666666666666</v>
      </c>
    </row>
    <row r="8" spans="1:22" x14ac:dyDescent="0.25">
      <c r="A8" s="16" t="s">
        <v>0</v>
      </c>
      <c r="B8" s="16" t="s">
        <v>2</v>
      </c>
      <c r="C8" s="17">
        <v>2228.2136411239098</v>
      </c>
      <c r="D8" s="17">
        <v>2180.1216507881099</v>
      </c>
      <c r="E8" s="17">
        <v>2078.2422866301499</v>
      </c>
      <c r="F8" s="17">
        <f>AVERAGE(Table143690117[[#This Row],[Teste 1]:[Teste 3]])</f>
        <v>2162.1925261807232</v>
      </c>
      <c r="G8" s="16"/>
      <c r="H8" s="16" t="s">
        <v>0</v>
      </c>
      <c r="I8" s="16" t="s">
        <v>2</v>
      </c>
      <c r="J8" s="17">
        <v>2114.34</v>
      </c>
      <c r="K8" s="17">
        <v>2115.89</v>
      </c>
      <c r="L8" s="17">
        <v>2100.56</v>
      </c>
      <c r="M8" s="17">
        <f>AVERAGE(Table14369011721[[#This Row],[Teste 1]:[Teste 3]])</f>
        <v>2110.2633333333329</v>
      </c>
      <c r="N8" s="16"/>
      <c r="O8" s="16" t="s">
        <v>0</v>
      </c>
      <c r="P8" s="16" t="s">
        <v>2</v>
      </c>
      <c r="Q8" s="17">
        <v>6131.5837880924601</v>
      </c>
      <c r="R8" s="17">
        <v>6136.0986684665804</v>
      </c>
      <c r="S8" s="17">
        <v>6091.6179337231897</v>
      </c>
      <c r="T8" s="17">
        <f>AVERAGE(Table14369011733[[#This Row],[Teste 1]:[Teste 3]])</f>
        <v>6119.766796760744</v>
      </c>
      <c r="V8" s="15"/>
    </row>
    <row r="9" spans="1:22" x14ac:dyDescent="0.25">
      <c r="A9" s="16" t="s">
        <v>16</v>
      </c>
      <c r="B9" s="16" t="s">
        <v>4</v>
      </c>
      <c r="C9" s="17">
        <v>100000</v>
      </c>
      <c r="D9" s="17">
        <v>100000</v>
      </c>
      <c r="E9" s="17">
        <v>100000</v>
      </c>
      <c r="F9" s="17">
        <f>AVERAGE(Table143690117[[#This Row],[Teste 1]:[Teste 3]])</f>
        <v>100000</v>
      </c>
      <c r="G9" s="16"/>
      <c r="H9" s="16" t="s">
        <v>16</v>
      </c>
      <c r="I9" s="16" t="s">
        <v>4</v>
      </c>
      <c r="J9" s="17">
        <v>100000</v>
      </c>
      <c r="K9" s="17">
        <v>100000</v>
      </c>
      <c r="L9" s="17">
        <v>100000</v>
      </c>
      <c r="M9" s="17">
        <f>AVERAGE(Table14369011721[[#This Row],[Teste 1]:[Teste 3]])</f>
        <v>100000</v>
      </c>
      <c r="N9" s="16"/>
      <c r="O9" s="16" t="s">
        <v>16</v>
      </c>
      <c r="P9" s="16" t="s">
        <v>4</v>
      </c>
      <c r="Q9" s="17">
        <v>100000</v>
      </c>
      <c r="R9" s="17">
        <v>100000</v>
      </c>
      <c r="S9" s="17">
        <v>100000</v>
      </c>
      <c r="T9" s="17">
        <f>AVERAGE(Table14369011733[[#This Row],[Teste 1]:[Teste 3]])</f>
        <v>100000</v>
      </c>
    </row>
    <row r="10" spans="1:22" x14ac:dyDescent="0.25">
      <c r="A10" s="16" t="s">
        <v>16</v>
      </c>
      <c r="B10" s="16" t="s">
        <v>5</v>
      </c>
      <c r="C10" s="17">
        <v>422.52825000000001</v>
      </c>
      <c r="D10" s="17">
        <v>432.30169000000001</v>
      </c>
      <c r="E10" s="17">
        <v>139.27788000000001</v>
      </c>
      <c r="F10" s="17">
        <f>AVERAGE(Table143690117[[#This Row],[Teste 1]:[Teste 3]])</f>
        <v>331.36927333333335</v>
      </c>
      <c r="G10" s="16"/>
      <c r="H10" s="16" t="s">
        <v>16</v>
      </c>
      <c r="I10" s="16" t="s">
        <v>5</v>
      </c>
      <c r="J10" s="17">
        <v>442.7</v>
      </c>
      <c r="K10" s="17">
        <v>440.84</v>
      </c>
      <c r="L10" s="17">
        <v>445.66</v>
      </c>
      <c r="M10" s="17">
        <f>AVERAGE(Table14369011721[[#This Row],[Teste 1]:[Teste 3]])</f>
        <v>443.06666666666666</v>
      </c>
      <c r="N10" s="16"/>
      <c r="O10" s="16" t="s">
        <v>16</v>
      </c>
      <c r="P10" s="16" t="s">
        <v>5</v>
      </c>
      <c r="Q10" s="17">
        <v>152.65613999999999</v>
      </c>
      <c r="R10" s="17">
        <v>152.01271</v>
      </c>
      <c r="S10" s="17">
        <v>153.67652000000001</v>
      </c>
      <c r="T10" s="17">
        <f>AVERAGE(Table14369011733[[#This Row],[Teste 1]:[Teste 3]])</f>
        <v>152.78179</v>
      </c>
    </row>
    <row r="11" spans="1:22" x14ac:dyDescent="0.25">
      <c r="A11" s="16" t="s">
        <v>16</v>
      </c>
      <c r="B11" s="16" t="s">
        <v>6</v>
      </c>
      <c r="C11" s="17">
        <v>160</v>
      </c>
      <c r="D11" s="17">
        <v>165</v>
      </c>
      <c r="E11" s="17">
        <v>70</v>
      </c>
      <c r="F11" s="17">
        <f>AVERAGE(Table143690117[[#This Row],[Teste 1]:[Teste 3]])</f>
        <v>131.66666666666666</v>
      </c>
      <c r="G11" s="16"/>
      <c r="H11" s="16" t="s">
        <v>16</v>
      </c>
      <c r="I11" s="16" t="s">
        <v>6</v>
      </c>
      <c r="J11" s="17">
        <v>273</v>
      </c>
      <c r="K11" s="17">
        <v>293</v>
      </c>
      <c r="L11" s="17">
        <v>296</v>
      </c>
      <c r="M11" s="17">
        <f>AVERAGE(Table14369011721[[#This Row],[Teste 1]:[Teste 3]])</f>
        <v>287.33333333333331</v>
      </c>
      <c r="N11" s="16"/>
      <c r="O11" s="16" t="s">
        <v>16</v>
      </c>
      <c r="P11" s="16" t="s">
        <v>6</v>
      </c>
      <c r="Q11" s="17">
        <v>94</v>
      </c>
      <c r="R11" s="17">
        <v>101</v>
      </c>
      <c r="S11" s="17">
        <v>102</v>
      </c>
      <c r="T11" s="17">
        <f>AVERAGE(Table14369011733[[#This Row],[Teste 1]:[Teste 3]])</f>
        <v>99</v>
      </c>
    </row>
    <row r="12" spans="1:22" x14ac:dyDescent="0.25">
      <c r="A12" s="16" t="s">
        <v>16</v>
      </c>
      <c r="B12" s="16" t="s">
        <v>7</v>
      </c>
      <c r="C12" s="17">
        <v>26623</v>
      </c>
      <c r="D12" s="17">
        <v>29295</v>
      </c>
      <c r="E12" s="17">
        <v>15919</v>
      </c>
      <c r="F12" s="17">
        <f>AVERAGE(Table143690117[[#This Row],[Teste 1]:[Teste 3]])</f>
        <v>23945.666666666668</v>
      </c>
      <c r="G12" s="16"/>
      <c r="H12" s="16" t="s">
        <v>16</v>
      </c>
      <c r="I12" s="16" t="s">
        <v>7</v>
      </c>
      <c r="J12" s="17">
        <v>95396</v>
      </c>
      <c r="K12" s="17">
        <v>105047</v>
      </c>
      <c r="L12" s="17">
        <v>87044</v>
      </c>
      <c r="M12" s="17">
        <f>AVERAGE(Table14369011721[[#This Row],[Teste 1]:[Teste 3]])</f>
        <v>95829</v>
      </c>
      <c r="N12" s="16"/>
      <c r="O12" s="16" t="s">
        <v>16</v>
      </c>
      <c r="P12" s="16" t="s">
        <v>7</v>
      </c>
      <c r="Q12" s="17">
        <v>32895</v>
      </c>
      <c r="R12" s="17">
        <v>36223</v>
      </c>
      <c r="S12" s="17">
        <v>30015</v>
      </c>
      <c r="T12" s="17">
        <f>AVERAGE(Table14369011733[[#This Row],[Teste 1]:[Teste 3]])</f>
        <v>33044.333333333336</v>
      </c>
    </row>
    <row r="13" spans="1:22" x14ac:dyDescent="0.25">
      <c r="A13" s="16" t="s">
        <v>16</v>
      </c>
      <c r="B13" s="16" t="s">
        <v>8</v>
      </c>
      <c r="C13" s="17">
        <v>604</v>
      </c>
      <c r="D13" s="17">
        <v>610</v>
      </c>
      <c r="E13" s="17">
        <v>201</v>
      </c>
      <c r="F13" s="17">
        <f>AVERAGE(Table143690117[[#This Row],[Teste 1]:[Teste 3]])</f>
        <v>471.66666666666669</v>
      </c>
      <c r="G13" s="16"/>
      <c r="H13" s="16" t="s">
        <v>16</v>
      </c>
      <c r="I13" s="16" t="s">
        <v>8</v>
      </c>
      <c r="J13" s="17">
        <v>629</v>
      </c>
      <c r="K13" s="17">
        <v>618</v>
      </c>
      <c r="L13" s="17">
        <v>615</v>
      </c>
      <c r="M13" s="17">
        <f>AVERAGE(Table14369011721[[#This Row],[Teste 1]:[Teste 3]])</f>
        <v>620.66666666666663</v>
      </c>
      <c r="N13" s="16"/>
      <c r="O13" s="16" t="s">
        <v>16</v>
      </c>
      <c r="P13" s="16" t="s">
        <v>8</v>
      </c>
      <c r="Q13" s="17">
        <v>217</v>
      </c>
      <c r="R13" s="17">
        <v>213</v>
      </c>
      <c r="S13" s="17">
        <v>212</v>
      </c>
      <c r="T13" s="17">
        <f>AVERAGE(Table14369011733[[#This Row],[Teste 1]:[Teste 3]])</f>
        <v>214</v>
      </c>
    </row>
    <row r="14" spans="1:22" x14ac:dyDescent="0.25">
      <c r="A14" s="16" t="s">
        <v>16</v>
      </c>
      <c r="B14" s="16" t="s">
        <v>9</v>
      </c>
      <c r="C14" s="17">
        <v>907</v>
      </c>
      <c r="D14" s="17">
        <v>882</v>
      </c>
      <c r="E14" s="17">
        <v>363</v>
      </c>
      <c r="F14" s="17">
        <f>AVERAGE(Table143690117[[#This Row],[Teste 1]:[Teste 3]])</f>
        <v>717.33333333333337</v>
      </c>
      <c r="G14" s="16"/>
      <c r="H14" s="16" t="s">
        <v>16</v>
      </c>
      <c r="I14" s="16" t="s">
        <v>9</v>
      </c>
      <c r="J14" s="17">
        <v>995</v>
      </c>
      <c r="K14" s="17">
        <v>1085</v>
      </c>
      <c r="L14" s="17">
        <v>1050</v>
      </c>
      <c r="M14" s="17">
        <f>AVERAGE(Table14369011721[[#This Row],[Teste 1]:[Teste 3]])</f>
        <v>1043.3333333333333</v>
      </c>
      <c r="N14" s="16"/>
      <c r="O14" s="16" t="s">
        <v>16</v>
      </c>
      <c r="P14" s="16" t="s">
        <v>9</v>
      </c>
      <c r="Q14" s="17">
        <v>343</v>
      </c>
      <c r="R14" s="17">
        <v>374</v>
      </c>
      <c r="S14" s="17">
        <v>362</v>
      </c>
      <c r="T14" s="17">
        <f>AVERAGE(Table14369011733[[#This Row],[Teste 1]:[Teste 3]])</f>
        <v>359.66666666666669</v>
      </c>
    </row>
    <row r="15" spans="1:22" x14ac:dyDescent="0.25">
      <c r="A15" s="16" t="s">
        <v>16</v>
      </c>
      <c r="B15" s="16" t="s">
        <v>11</v>
      </c>
      <c r="C15" s="17">
        <v>100000</v>
      </c>
      <c r="D15" s="17">
        <v>100000</v>
      </c>
      <c r="E15" s="17">
        <v>100000</v>
      </c>
      <c r="F15" s="17">
        <f>AVERAGE(Table143690117[[#This Row],[Teste 1]:[Teste 3]])</f>
        <v>100000</v>
      </c>
      <c r="G15" s="16"/>
      <c r="H15" s="16" t="s">
        <v>16</v>
      </c>
      <c r="I15" s="16" t="s">
        <v>11</v>
      </c>
      <c r="J15" s="17">
        <v>100000</v>
      </c>
      <c r="K15" s="17">
        <v>100000</v>
      </c>
      <c r="L15" s="17">
        <v>100000</v>
      </c>
      <c r="M15" s="17">
        <f>AVERAGE(Table14369011721[[#This Row],[Teste 1]:[Teste 3]])</f>
        <v>100000</v>
      </c>
      <c r="N15" s="16"/>
      <c r="O15" s="16" t="s">
        <v>16</v>
      </c>
      <c r="P15" s="16" t="s">
        <v>11</v>
      </c>
      <c r="Q15" s="17">
        <v>100000</v>
      </c>
      <c r="R15" s="17">
        <v>100000</v>
      </c>
      <c r="S15" s="17">
        <v>100000</v>
      </c>
      <c r="T15" s="17">
        <f>AVERAGE(Table14369011733[[#This Row],[Teste 1]:[Teste 3]])</f>
        <v>100000</v>
      </c>
    </row>
    <row r="16" spans="1:22" x14ac:dyDescent="0.25">
      <c r="A16" s="16" t="s">
        <v>3</v>
      </c>
      <c r="B16" s="16" t="s">
        <v>4</v>
      </c>
      <c r="C16" s="17">
        <v>1</v>
      </c>
      <c r="D16" s="17">
        <v>1</v>
      </c>
      <c r="E16" s="17">
        <v>1</v>
      </c>
      <c r="F16" s="17">
        <f>AVERAGE(Table143690117[[#This Row],[Teste 1]:[Teste 3]])</f>
        <v>1</v>
      </c>
      <c r="G16" s="16"/>
      <c r="H16" s="16" t="s">
        <v>3</v>
      </c>
      <c r="I16" s="16" t="s">
        <v>4</v>
      </c>
      <c r="J16" s="17">
        <v>1</v>
      </c>
      <c r="K16" s="17">
        <v>1</v>
      </c>
      <c r="L16" s="17">
        <v>1</v>
      </c>
      <c r="M16" s="17">
        <f>AVERAGE(Table14369011721[[#This Row],[Teste 1]:[Teste 3]])</f>
        <v>1</v>
      </c>
      <c r="N16" s="16"/>
      <c r="O16" s="16" t="s">
        <v>3</v>
      </c>
      <c r="P16" s="16" t="s">
        <v>4</v>
      </c>
      <c r="Q16" s="17">
        <v>1</v>
      </c>
      <c r="R16" s="17">
        <v>1</v>
      </c>
      <c r="S16" s="17">
        <v>1</v>
      </c>
      <c r="T16" s="17">
        <f>AVERAGE(Table14369011733[[#This Row],[Teste 1]:[Teste 3]])</f>
        <v>1</v>
      </c>
    </row>
    <row r="17" spans="1:20" x14ac:dyDescent="0.25">
      <c r="A17" s="16" t="s">
        <v>3</v>
      </c>
      <c r="B17" s="16" t="s">
        <v>5</v>
      </c>
      <c r="C17" s="17">
        <v>8</v>
      </c>
      <c r="D17" s="17">
        <v>10</v>
      </c>
      <c r="E17" s="17">
        <v>6</v>
      </c>
      <c r="F17" s="17">
        <f>AVERAGE(Table143690117[[#This Row],[Teste 1]:[Teste 3]])</f>
        <v>8</v>
      </c>
      <c r="G17" s="16"/>
      <c r="H17" s="16" t="s">
        <v>3</v>
      </c>
      <c r="I17" s="16" t="s">
        <v>5</v>
      </c>
      <c r="J17" s="17">
        <v>11</v>
      </c>
      <c r="K17" s="17">
        <v>11</v>
      </c>
      <c r="L17" s="17">
        <v>13</v>
      </c>
      <c r="M17" s="17">
        <f>AVERAGE(Table14369011721[[#This Row],[Teste 1]:[Teste 3]])</f>
        <v>11.666666666666666</v>
      </c>
      <c r="N17" s="16"/>
      <c r="O17" s="16" t="s">
        <v>3</v>
      </c>
      <c r="P17" s="16" t="s">
        <v>5</v>
      </c>
      <c r="Q17" s="17">
        <v>1099</v>
      </c>
      <c r="R17" s="17">
        <v>1159</v>
      </c>
      <c r="S17" s="17">
        <v>1147</v>
      </c>
      <c r="T17" s="17">
        <f>AVERAGE(Table14369011733[[#This Row],[Teste 1]:[Teste 3]])</f>
        <v>1135</v>
      </c>
    </row>
    <row r="18" spans="1:20" x14ac:dyDescent="0.25">
      <c r="A18" s="16" t="s">
        <v>3</v>
      </c>
      <c r="B18" s="16" t="s">
        <v>6</v>
      </c>
      <c r="C18" s="17">
        <v>8</v>
      </c>
      <c r="D18" s="17">
        <v>10</v>
      </c>
      <c r="E18" s="17">
        <v>6</v>
      </c>
      <c r="F18" s="17">
        <f>AVERAGE(Table143690117[[#This Row],[Teste 1]:[Teste 3]])</f>
        <v>8</v>
      </c>
      <c r="G18" s="16"/>
      <c r="H18" s="16" t="s">
        <v>3</v>
      </c>
      <c r="I18" s="16" t="s">
        <v>6</v>
      </c>
      <c r="J18" s="17">
        <v>11</v>
      </c>
      <c r="K18" s="17">
        <v>11</v>
      </c>
      <c r="L18" s="17">
        <v>13</v>
      </c>
      <c r="M18" s="17">
        <f>AVERAGE(Table14369011721[[#This Row],[Teste 1]:[Teste 3]])</f>
        <v>11.666666666666666</v>
      </c>
      <c r="N18" s="16"/>
      <c r="O18" s="16" t="s">
        <v>3</v>
      </c>
      <c r="P18" s="16" t="s">
        <v>6</v>
      </c>
      <c r="Q18" s="17">
        <v>1099</v>
      </c>
      <c r="R18" s="17">
        <v>1159</v>
      </c>
      <c r="S18" s="17">
        <v>1147</v>
      </c>
      <c r="T18" s="17">
        <f>AVERAGE(Table14369011733[[#This Row],[Teste 1]:[Teste 3]])</f>
        <v>1135</v>
      </c>
    </row>
    <row r="19" spans="1:20" x14ac:dyDescent="0.25">
      <c r="A19" s="16" t="s">
        <v>3</v>
      </c>
      <c r="B19" s="16" t="s">
        <v>7</v>
      </c>
      <c r="C19" s="17">
        <v>8</v>
      </c>
      <c r="D19" s="17">
        <v>10</v>
      </c>
      <c r="E19" s="17">
        <v>6</v>
      </c>
      <c r="F19" s="17">
        <f>AVERAGE(Table143690117[[#This Row],[Teste 1]:[Teste 3]])</f>
        <v>8</v>
      </c>
      <c r="G19" s="16"/>
      <c r="H19" s="16" t="s">
        <v>3</v>
      </c>
      <c r="I19" s="16" t="s">
        <v>7</v>
      </c>
      <c r="J19" s="17">
        <v>11</v>
      </c>
      <c r="K19" s="17">
        <v>11</v>
      </c>
      <c r="L19" s="17">
        <v>13</v>
      </c>
      <c r="M19" s="17">
        <f>AVERAGE(Table14369011721[[#This Row],[Teste 1]:[Teste 3]])</f>
        <v>11.666666666666666</v>
      </c>
      <c r="N19" s="16"/>
      <c r="O19" s="16" t="s">
        <v>3</v>
      </c>
      <c r="P19" s="16" t="s">
        <v>7</v>
      </c>
      <c r="Q19" s="17">
        <v>1099</v>
      </c>
      <c r="R19" s="17">
        <v>1159</v>
      </c>
      <c r="S19" s="17">
        <v>1147</v>
      </c>
      <c r="T19" s="17">
        <f>AVERAGE(Table14369011733[[#This Row],[Teste 1]:[Teste 3]])</f>
        <v>1135</v>
      </c>
    </row>
    <row r="20" spans="1:20" x14ac:dyDescent="0.25">
      <c r="A20" s="16" t="s">
        <v>3</v>
      </c>
      <c r="B20" s="16" t="s">
        <v>8</v>
      </c>
      <c r="C20" s="17">
        <v>8</v>
      </c>
      <c r="D20" s="17">
        <v>10</v>
      </c>
      <c r="E20" s="17">
        <v>6</v>
      </c>
      <c r="F20" s="17">
        <f>AVERAGE(Table143690117[[#This Row],[Teste 1]:[Teste 3]])</f>
        <v>8</v>
      </c>
      <c r="G20" s="16"/>
      <c r="H20" s="16" t="s">
        <v>3</v>
      </c>
      <c r="I20" s="16" t="s">
        <v>8</v>
      </c>
      <c r="J20" s="17">
        <v>11</v>
      </c>
      <c r="K20" s="17">
        <v>11</v>
      </c>
      <c r="L20" s="17">
        <v>13</v>
      </c>
      <c r="M20" s="17">
        <f>AVERAGE(Table14369011721[[#This Row],[Teste 1]:[Teste 3]])</f>
        <v>11.666666666666666</v>
      </c>
      <c r="N20" s="16"/>
      <c r="O20" s="16" t="s">
        <v>3</v>
      </c>
      <c r="P20" s="16" t="s">
        <v>8</v>
      </c>
      <c r="Q20" s="17">
        <v>1099</v>
      </c>
      <c r="R20" s="17">
        <v>1159</v>
      </c>
      <c r="S20" s="17">
        <v>1147</v>
      </c>
      <c r="T20" s="17">
        <f>AVERAGE(Table14369011733[[#This Row],[Teste 1]:[Teste 3]])</f>
        <v>1135</v>
      </c>
    </row>
    <row r="21" spans="1:20" x14ac:dyDescent="0.25">
      <c r="A21" s="16" t="s">
        <v>3</v>
      </c>
      <c r="B21" s="16" t="s">
        <v>9</v>
      </c>
      <c r="C21" s="17">
        <v>8</v>
      </c>
      <c r="D21" s="17">
        <v>10</v>
      </c>
      <c r="E21" s="17">
        <v>6</v>
      </c>
      <c r="F21" s="17">
        <f>AVERAGE(Table143690117[[#This Row],[Teste 1]:[Teste 3]])</f>
        <v>8</v>
      </c>
      <c r="G21" s="16"/>
      <c r="H21" s="16" t="s">
        <v>3</v>
      </c>
      <c r="I21" s="16" t="s">
        <v>9</v>
      </c>
      <c r="J21" s="17">
        <v>11</v>
      </c>
      <c r="K21" s="17">
        <v>11</v>
      </c>
      <c r="L21" s="17">
        <v>13</v>
      </c>
      <c r="M21" s="17">
        <f>AVERAGE(Table14369011721[[#This Row],[Teste 1]:[Teste 3]])</f>
        <v>11.666666666666666</v>
      </c>
      <c r="N21" s="16"/>
      <c r="O21" s="16" t="s">
        <v>3</v>
      </c>
      <c r="P21" s="16" t="s">
        <v>9</v>
      </c>
      <c r="Q21" s="17">
        <v>1099</v>
      </c>
      <c r="R21" s="17">
        <v>1159</v>
      </c>
      <c r="S21" s="17">
        <v>1147</v>
      </c>
      <c r="T21" s="17">
        <f>AVERAGE(Table14369011733[[#This Row],[Teste 1]:[Teste 3]])</f>
        <v>1135</v>
      </c>
    </row>
    <row r="22" spans="1:20" x14ac:dyDescent="0.25">
      <c r="A22" s="16"/>
      <c r="B22" s="16"/>
      <c r="C22" s="17"/>
      <c r="D22" s="17"/>
      <c r="E22" s="17"/>
      <c r="F22" s="17"/>
      <c r="G22" s="16"/>
      <c r="H22" s="16"/>
      <c r="I22" s="16"/>
      <c r="J22" s="17"/>
      <c r="K22" s="17"/>
      <c r="L22" s="17"/>
      <c r="M22" s="17"/>
      <c r="N22" s="16"/>
      <c r="O22" s="16"/>
      <c r="P22" s="16"/>
      <c r="Q22" s="17"/>
      <c r="R22" s="17"/>
      <c r="S22" s="17"/>
      <c r="T22" s="17"/>
    </row>
    <row r="23" spans="1:20" x14ac:dyDescent="0.25">
      <c r="A23" s="16"/>
      <c r="B23" s="16"/>
      <c r="C23" s="17"/>
      <c r="D23" s="17"/>
      <c r="E23" s="17"/>
      <c r="F23" s="17"/>
      <c r="G23" s="16"/>
      <c r="H23" s="16"/>
      <c r="I23" s="16"/>
      <c r="J23" s="17"/>
      <c r="K23" s="17"/>
      <c r="L23" s="17"/>
      <c r="M23" s="17"/>
      <c r="N23" s="16"/>
      <c r="O23" s="16"/>
      <c r="P23" s="16"/>
      <c r="Q23" s="17"/>
      <c r="R23" s="17"/>
      <c r="S23" s="17"/>
      <c r="T23" s="17"/>
    </row>
    <row r="24" spans="1:20" x14ac:dyDescent="0.25">
      <c r="A24" s="16"/>
      <c r="B24" s="16"/>
      <c r="C24" s="17"/>
      <c r="D24" s="17"/>
      <c r="E24" s="17"/>
      <c r="F24" s="17"/>
      <c r="G24" s="16"/>
      <c r="H24" s="16"/>
      <c r="I24" s="16"/>
      <c r="J24" s="17"/>
      <c r="K24" s="17"/>
      <c r="L24" s="17"/>
      <c r="M24" s="17"/>
      <c r="N24" s="16"/>
      <c r="O24" s="16"/>
      <c r="P24" s="16"/>
      <c r="Q24" s="17"/>
      <c r="R24" s="17"/>
      <c r="S24" s="17"/>
      <c r="T24" s="17"/>
    </row>
    <row r="26" spans="1:20" ht="15.75" x14ac:dyDescent="0.25">
      <c r="A26" s="2" t="s">
        <v>74</v>
      </c>
      <c r="H26" s="2" t="s">
        <v>74</v>
      </c>
      <c r="O26" s="2" t="s">
        <v>74</v>
      </c>
    </row>
    <row r="27" spans="1:20" x14ac:dyDescent="0.25">
      <c r="A27" s="16" t="s">
        <v>59</v>
      </c>
      <c r="B27" s="16" t="s">
        <v>62</v>
      </c>
      <c r="C27" s="16" t="s">
        <v>82</v>
      </c>
      <c r="D27" s="16" t="s">
        <v>64</v>
      </c>
      <c r="E27" s="16" t="s">
        <v>63</v>
      </c>
      <c r="F27" s="16" t="s">
        <v>18</v>
      </c>
      <c r="G27" s="16"/>
      <c r="H27" s="16" t="s">
        <v>12</v>
      </c>
      <c r="I27" s="16" t="s">
        <v>62</v>
      </c>
      <c r="J27" s="16" t="s">
        <v>82</v>
      </c>
      <c r="K27" s="16" t="s">
        <v>64</v>
      </c>
      <c r="L27" s="16" t="s">
        <v>63</v>
      </c>
      <c r="M27" s="16" t="s">
        <v>18</v>
      </c>
      <c r="N27" s="16"/>
      <c r="O27" s="16" t="s">
        <v>13</v>
      </c>
      <c r="P27" s="16" t="s">
        <v>62</v>
      </c>
      <c r="Q27" s="16" t="s">
        <v>82</v>
      </c>
      <c r="R27" s="16" t="s">
        <v>64</v>
      </c>
      <c r="S27" s="16" t="s">
        <v>63</v>
      </c>
      <c r="T27" s="16" t="s">
        <v>18</v>
      </c>
    </row>
    <row r="28" spans="1:20" x14ac:dyDescent="0.25">
      <c r="A28" s="16" t="s">
        <v>0</v>
      </c>
      <c r="B28" s="16" t="s">
        <v>1</v>
      </c>
      <c r="C28" s="17">
        <v>7131</v>
      </c>
      <c r="D28" s="17">
        <v>6577</v>
      </c>
      <c r="E28" s="17">
        <v>6455</v>
      </c>
      <c r="F28" s="17">
        <f>AVERAGE(Table1436901172[[#This Row],[Teste 1]:[Teste 3]])</f>
        <v>6721</v>
      </c>
      <c r="G28" s="16"/>
      <c r="H28" s="16" t="s">
        <v>0</v>
      </c>
      <c r="I28" s="16" t="s">
        <v>1</v>
      </c>
      <c r="J28" s="17">
        <v>17267</v>
      </c>
      <c r="K28" s="17">
        <v>16749</v>
      </c>
      <c r="L28" s="17">
        <v>17573</v>
      </c>
      <c r="M28" s="17">
        <f>AVERAGE(Table143690117222[[#This Row],[Teste 1]:[Teste 3]])</f>
        <v>17196.333333333332</v>
      </c>
      <c r="N28" s="16"/>
      <c r="O28" s="16" t="s">
        <v>0</v>
      </c>
      <c r="P28" s="16" t="s">
        <v>1</v>
      </c>
      <c r="Q28" s="17">
        <v>6641</v>
      </c>
      <c r="R28" s="17">
        <v>6442</v>
      </c>
      <c r="S28" s="17">
        <v>6759</v>
      </c>
      <c r="T28" s="17">
        <f>AVERAGE(Table143690117234[[#This Row],[Teste 1]:[Teste 3]])</f>
        <v>6614</v>
      </c>
    </row>
    <row r="29" spans="1:20" x14ac:dyDescent="0.25">
      <c r="A29" s="16" t="s">
        <v>0</v>
      </c>
      <c r="B29" s="16" t="s">
        <v>2</v>
      </c>
      <c r="C29" s="17">
        <v>14076.640011322599</v>
      </c>
      <c r="D29" s="17">
        <v>15204.500532157501</v>
      </c>
      <c r="E29" s="17">
        <v>15491.8667699457</v>
      </c>
      <c r="F29" s="17">
        <f>AVERAGE(Table1436901172[[#This Row],[Teste 1]:[Teste 3]])</f>
        <v>14924.335771141932</v>
      </c>
      <c r="G29" s="16"/>
      <c r="H29" s="16" t="s">
        <v>0</v>
      </c>
      <c r="I29" s="16" t="s">
        <v>2</v>
      </c>
      <c r="J29" s="17">
        <v>5791.53</v>
      </c>
      <c r="K29" s="17">
        <v>5970.43</v>
      </c>
      <c r="L29" s="17">
        <v>5690.42</v>
      </c>
      <c r="M29" s="17">
        <f>AVERAGE(Table143690117222[[#This Row],[Teste 1]:[Teste 3]])</f>
        <v>5817.4599999999991</v>
      </c>
      <c r="N29" s="16"/>
      <c r="O29" s="16" t="s">
        <v>0</v>
      </c>
      <c r="P29" s="16" t="s">
        <v>2</v>
      </c>
      <c r="Q29" s="17">
        <v>15057.973196807699</v>
      </c>
      <c r="R29" s="17">
        <v>15523.1294628997</v>
      </c>
      <c r="S29" s="17">
        <v>14795.088030773701</v>
      </c>
      <c r="T29" s="17">
        <f>AVERAGE(Table143690117234[[#This Row],[Teste 1]:[Teste 3]])</f>
        <v>15125.396896827035</v>
      </c>
    </row>
    <row r="30" spans="1:20" x14ac:dyDescent="0.25">
      <c r="A30" s="16" t="s">
        <v>16</v>
      </c>
      <c r="B30" s="16" t="s">
        <v>4</v>
      </c>
      <c r="C30" s="17">
        <v>100000</v>
      </c>
      <c r="D30" s="17">
        <v>100000</v>
      </c>
      <c r="E30" s="17">
        <v>100000</v>
      </c>
      <c r="F30" s="17">
        <f>AVERAGE(Table1436901172[[#This Row],[Teste 1]:[Teste 3]])</f>
        <v>100000</v>
      </c>
      <c r="G30" s="16"/>
      <c r="H30" s="16" t="s">
        <v>16</v>
      </c>
      <c r="I30" s="16" t="s">
        <v>4</v>
      </c>
      <c r="J30" s="17">
        <v>100000</v>
      </c>
      <c r="K30" s="17">
        <v>100000</v>
      </c>
      <c r="L30" s="17">
        <v>100000</v>
      </c>
      <c r="M30" s="17">
        <f>AVERAGE(Table143690117222[[#This Row],[Teste 1]:[Teste 3]])</f>
        <v>100000</v>
      </c>
      <c r="N30" s="16"/>
      <c r="O30" s="16" t="s">
        <v>16</v>
      </c>
      <c r="P30" s="16" t="s">
        <v>4</v>
      </c>
      <c r="Q30" s="17">
        <v>100000</v>
      </c>
      <c r="R30" s="17">
        <v>100000</v>
      </c>
      <c r="S30" s="17">
        <v>100000</v>
      </c>
      <c r="T30" s="17">
        <f>AVERAGE(Table143690117234[[#This Row],[Teste 1]:[Teste 3]])</f>
        <v>100000</v>
      </c>
    </row>
    <row r="31" spans="1:20" x14ac:dyDescent="0.25">
      <c r="A31" s="16" t="s">
        <v>16</v>
      </c>
      <c r="B31" s="16" t="s">
        <v>5</v>
      </c>
      <c r="C31" s="17">
        <v>355.81013999999999</v>
      </c>
      <c r="D31" s="17">
        <v>169.84727000000001</v>
      </c>
      <c r="E31" s="17">
        <v>165.84780000000001</v>
      </c>
      <c r="F31" s="17">
        <f>AVERAGE(Table1436901172[[#This Row],[Teste 1]:[Teste 3]])</f>
        <v>230.50173666666669</v>
      </c>
      <c r="G31" s="16"/>
      <c r="H31" s="16" t="s">
        <v>16</v>
      </c>
      <c r="I31" s="16" t="s">
        <v>5</v>
      </c>
      <c r="J31" s="17">
        <v>451.21</v>
      </c>
      <c r="K31" s="17">
        <v>436.34</v>
      </c>
      <c r="L31" s="17">
        <v>461.91</v>
      </c>
      <c r="M31" s="17">
        <f>AVERAGE(Table143690117222[[#This Row],[Teste 1]:[Teste 3]])</f>
        <v>449.82</v>
      </c>
      <c r="N31" s="16"/>
      <c r="O31" s="16" t="s">
        <v>16</v>
      </c>
      <c r="P31" s="16" t="s">
        <v>5</v>
      </c>
      <c r="Q31" s="17">
        <v>173.54212000000001</v>
      </c>
      <c r="R31" s="17">
        <v>167.82416000000001</v>
      </c>
      <c r="S31" s="17">
        <v>177.65714</v>
      </c>
      <c r="T31" s="17">
        <f>AVERAGE(Table143690117234[[#This Row],[Teste 1]:[Teste 3]])</f>
        <v>173.00780666666665</v>
      </c>
    </row>
    <row r="32" spans="1:20" x14ac:dyDescent="0.25">
      <c r="A32" s="16" t="s">
        <v>16</v>
      </c>
      <c r="B32" s="16" t="s">
        <v>6</v>
      </c>
      <c r="C32" s="17">
        <v>152</v>
      </c>
      <c r="D32" s="17">
        <v>74</v>
      </c>
      <c r="E32" s="17">
        <v>80</v>
      </c>
      <c r="F32" s="17">
        <f>AVERAGE(Table1436901172[[#This Row],[Teste 1]:[Teste 3]])</f>
        <v>102</v>
      </c>
      <c r="G32" s="16"/>
      <c r="H32" s="16" t="s">
        <v>16</v>
      </c>
      <c r="I32" s="16" t="s">
        <v>6</v>
      </c>
      <c r="J32" s="17">
        <v>268</v>
      </c>
      <c r="K32" s="17">
        <v>258</v>
      </c>
      <c r="L32" s="17">
        <v>273</v>
      </c>
      <c r="M32" s="17">
        <f>AVERAGE(Table143690117222[[#This Row],[Teste 1]:[Teste 3]])</f>
        <v>266.33333333333331</v>
      </c>
      <c r="N32" s="16"/>
      <c r="O32" s="16" t="s">
        <v>16</v>
      </c>
      <c r="P32" s="16" t="s">
        <v>6</v>
      </c>
      <c r="Q32" s="17">
        <v>103</v>
      </c>
      <c r="R32" s="17">
        <v>99</v>
      </c>
      <c r="S32" s="17">
        <v>105</v>
      </c>
      <c r="T32" s="17">
        <f>AVERAGE(Table143690117234[[#This Row],[Teste 1]:[Teste 3]])</f>
        <v>102.33333333333333</v>
      </c>
    </row>
    <row r="33" spans="1:20" x14ac:dyDescent="0.25">
      <c r="A33" s="16" t="s">
        <v>16</v>
      </c>
      <c r="B33" s="16" t="s">
        <v>7</v>
      </c>
      <c r="C33" s="17">
        <v>69183</v>
      </c>
      <c r="D33" s="17">
        <v>32927</v>
      </c>
      <c r="E33" s="17">
        <v>17151</v>
      </c>
      <c r="F33" s="17">
        <f>AVERAGE(Table1436901172[[#This Row],[Teste 1]:[Teste 3]])</f>
        <v>39753.666666666664</v>
      </c>
      <c r="G33" s="16"/>
      <c r="H33" s="16" t="s">
        <v>16</v>
      </c>
      <c r="I33" s="16" t="s">
        <v>7</v>
      </c>
      <c r="J33" s="17">
        <v>86692</v>
      </c>
      <c r="K33" s="17">
        <v>82449</v>
      </c>
      <c r="L33" s="17">
        <v>78497</v>
      </c>
      <c r="M33" s="17">
        <f>AVERAGE(Table143690117222[[#This Row],[Teste 1]:[Teste 3]])</f>
        <v>82546</v>
      </c>
      <c r="N33" s="16"/>
      <c r="O33" s="16" t="s">
        <v>16</v>
      </c>
      <c r="P33" s="16" t="s">
        <v>7</v>
      </c>
      <c r="Q33" s="17">
        <v>33343</v>
      </c>
      <c r="R33" s="17">
        <v>31711</v>
      </c>
      <c r="S33" s="17">
        <v>30191</v>
      </c>
      <c r="T33" s="17">
        <f>AVERAGE(Table143690117234[[#This Row],[Teste 1]:[Teste 3]])</f>
        <v>31748.333333333332</v>
      </c>
    </row>
    <row r="34" spans="1:20" x14ac:dyDescent="0.25">
      <c r="A34" s="16" t="s">
        <v>16</v>
      </c>
      <c r="B34" s="16" t="s">
        <v>8</v>
      </c>
      <c r="C34" s="17">
        <v>521</v>
      </c>
      <c r="D34" s="17">
        <v>258</v>
      </c>
      <c r="E34" s="17">
        <v>253</v>
      </c>
      <c r="F34" s="17">
        <f>AVERAGE(Table1436901172[[#This Row],[Teste 1]:[Teste 3]])</f>
        <v>344</v>
      </c>
      <c r="G34" s="16"/>
      <c r="H34" s="16" t="s">
        <v>16</v>
      </c>
      <c r="I34" s="16" t="s">
        <v>8</v>
      </c>
      <c r="J34" s="17">
        <v>650</v>
      </c>
      <c r="K34" s="17">
        <v>627</v>
      </c>
      <c r="L34" s="17">
        <v>676</v>
      </c>
      <c r="M34" s="17">
        <f>AVERAGE(Table143690117222[[#This Row],[Teste 1]:[Teste 3]])</f>
        <v>651</v>
      </c>
      <c r="N34" s="16"/>
      <c r="O34" s="16" t="s">
        <v>16</v>
      </c>
      <c r="P34" s="16" t="s">
        <v>8</v>
      </c>
      <c r="Q34" s="17">
        <v>250</v>
      </c>
      <c r="R34" s="17">
        <v>241</v>
      </c>
      <c r="S34" s="17">
        <v>260</v>
      </c>
      <c r="T34" s="17">
        <f>AVERAGE(Table143690117234[[#This Row],[Teste 1]:[Teste 3]])</f>
        <v>250.33333333333334</v>
      </c>
    </row>
    <row r="35" spans="1:20" x14ac:dyDescent="0.25">
      <c r="A35" s="16" t="s">
        <v>16</v>
      </c>
      <c r="B35" s="16" t="s">
        <v>9</v>
      </c>
      <c r="C35" s="17">
        <v>963</v>
      </c>
      <c r="D35" s="17">
        <v>469</v>
      </c>
      <c r="E35" s="17">
        <v>489</v>
      </c>
      <c r="F35" s="17">
        <f>AVERAGE(Table1436901172[[#This Row],[Teste 1]:[Teste 3]])</f>
        <v>640.33333333333337</v>
      </c>
      <c r="G35" s="16"/>
      <c r="H35" s="16" t="s">
        <v>16</v>
      </c>
      <c r="I35" s="16" t="s">
        <v>9</v>
      </c>
      <c r="J35" s="17">
        <v>1147</v>
      </c>
      <c r="K35" s="17">
        <v>1128</v>
      </c>
      <c r="L35" s="17">
        <v>1196</v>
      </c>
      <c r="M35" s="17">
        <f>AVERAGE(Table143690117222[[#This Row],[Teste 1]:[Teste 3]])</f>
        <v>1157</v>
      </c>
      <c r="N35" s="16"/>
      <c r="O35" s="16" t="s">
        <v>16</v>
      </c>
      <c r="P35" s="16" t="s">
        <v>9</v>
      </c>
      <c r="Q35" s="17">
        <v>441</v>
      </c>
      <c r="R35" s="17">
        <v>434</v>
      </c>
      <c r="S35" s="17">
        <v>460</v>
      </c>
      <c r="T35" s="17">
        <f>AVERAGE(Table143690117234[[#This Row],[Teste 1]:[Teste 3]])</f>
        <v>445</v>
      </c>
    </row>
    <row r="36" spans="1:20" x14ac:dyDescent="0.25">
      <c r="A36" s="16" t="s">
        <v>16</v>
      </c>
      <c r="B36" s="16" t="s">
        <v>11</v>
      </c>
      <c r="C36" s="17">
        <v>100000</v>
      </c>
      <c r="D36" s="17">
        <v>100000</v>
      </c>
      <c r="E36" s="17">
        <v>100000</v>
      </c>
      <c r="F36" s="17">
        <f>AVERAGE(Table1436901172[[#This Row],[Teste 1]:[Teste 3]])</f>
        <v>100000</v>
      </c>
      <c r="G36" s="16"/>
      <c r="H36" s="16" t="s">
        <v>16</v>
      </c>
      <c r="I36" s="16" t="s">
        <v>11</v>
      </c>
      <c r="J36" s="17">
        <v>100000</v>
      </c>
      <c r="K36" s="17">
        <v>100000</v>
      </c>
      <c r="L36" s="17">
        <v>100000</v>
      </c>
      <c r="M36" s="17">
        <f>AVERAGE(Table143690117222[[#This Row],[Teste 1]:[Teste 3]])</f>
        <v>100000</v>
      </c>
      <c r="N36" s="16"/>
      <c r="O36" s="16" t="s">
        <v>16</v>
      </c>
      <c r="P36" s="16" t="s">
        <v>11</v>
      </c>
      <c r="Q36" s="17">
        <v>100000</v>
      </c>
      <c r="R36" s="17">
        <v>100000</v>
      </c>
      <c r="S36" s="17">
        <v>100000</v>
      </c>
      <c r="T36" s="17">
        <f>AVERAGE(Table143690117234[[#This Row],[Teste 1]:[Teste 3]])</f>
        <v>100000</v>
      </c>
    </row>
    <row r="37" spans="1:20" x14ac:dyDescent="0.25">
      <c r="A37" s="16" t="s">
        <v>3</v>
      </c>
      <c r="B37" s="16" t="s">
        <v>4</v>
      </c>
      <c r="C37" s="17">
        <v>3</v>
      </c>
      <c r="D37" s="17">
        <v>3</v>
      </c>
      <c r="E37" s="17">
        <v>3</v>
      </c>
      <c r="F37" s="17">
        <f>AVERAGE(Table1436901172[[#This Row],[Teste 1]:[Teste 3]])</f>
        <v>3</v>
      </c>
      <c r="G37" s="16"/>
      <c r="H37" s="16" t="s">
        <v>3</v>
      </c>
      <c r="I37" s="16" t="s">
        <v>4</v>
      </c>
      <c r="J37" s="17">
        <v>3</v>
      </c>
      <c r="K37" s="17">
        <v>3</v>
      </c>
      <c r="L37" s="17">
        <v>3</v>
      </c>
      <c r="M37" s="17">
        <f>AVERAGE(Table143690117222[[#This Row],[Teste 1]:[Teste 3]])</f>
        <v>3</v>
      </c>
      <c r="N37" s="16"/>
      <c r="O37" s="16" t="s">
        <v>3</v>
      </c>
      <c r="P37" s="16" t="s">
        <v>4</v>
      </c>
      <c r="Q37" s="17">
        <v>3</v>
      </c>
      <c r="R37" s="17">
        <v>3</v>
      </c>
      <c r="S37" s="17">
        <v>3</v>
      </c>
      <c r="T37" s="17">
        <f>AVERAGE(Table143690117234[[#This Row],[Teste 1]:[Teste 3]])</f>
        <v>3</v>
      </c>
    </row>
    <row r="38" spans="1:20" x14ac:dyDescent="0.25">
      <c r="A38" s="16" t="s">
        <v>3</v>
      </c>
      <c r="B38" s="16" t="s">
        <v>5</v>
      </c>
      <c r="C38" s="17">
        <v>3.6666666666666599</v>
      </c>
      <c r="D38" s="17">
        <v>2</v>
      </c>
      <c r="E38" s="17">
        <v>2</v>
      </c>
      <c r="F38" s="17">
        <f>AVERAGE(Table1436901172[[#This Row],[Teste 1]:[Teste 3]])</f>
        <v>2.5555555555555531</v>
      </c>
      <c r="G38" s="16"/>
      <c r="H38" s="16" t="s">
        <v>3</v>
      </c>
      <c r="I38" s="16" t="s">
        <v>5</v>
      </c>
      <c r="J38" s="17">
        <v>0.33</v>
      </c>
      <c r="K38" s="17">
        <v>2.33</v>
      </c>
      <c r="L38" s="17">
        <v>0.33</v>
      </c>
      <c r="M38" s="17">
        <f>AVERAGE(Table143690117222[[#This Row],[Teste 1]:[Teste 3]])</f>
        <v>0.9966666666666667</v>
      </c>
      <c r="N38" s="16"/>
      <c r="O38" s="16" t="s">
        <v>3</v>
      </c>
      <c r="P38" s="16" t="s">
        <v>5</v>
      </c>
      <c r="Q38" s="17">
        <v>528</v>
      </c>
      <c r="R38" s="17">
        <v>347.33333333333297</v>
      </c>
      <c r="S38" s="17">
        <v>370.666666666666</v>
      </c>
      <c r="T38" s="17">
        <f>AVERAGE(Table143690117234[[#This Row],[Teste 1]:[Teste 3]])</f>
        <v>415.33333333333303</v>
      </c>
    </row>
    <row r="39" spans="1:20" x14ac:dyDescent="0.25">
      <c r="A39" s="16" t="s">
        <v>3</v>
      </c>
      <c r="B39" s="16" t="s">
        <v>6</v>
      </c>
      <c r="C39" s="17">
        <v>1</v>
      </c>
      <c r="D39" s="17">
        <v>0</v>
      </c>
      <c r="E39" s="17">
        <v>0</v>
      </c>
      <c r="F39" s="17">
        <f>AVERAGE(Table1436901172[[#This Row],[Teste 1]:[Teste 3]])</f>
        <v>0.33333333333333331</v>
      </c>
      <c r="G39" s="16"/>
      <c r="H39" s="16" t="s">
        <v>3</v>
      </c>
      <c r="I39" s="16" t="s">
        <v>6</v>
      </c>
      <c r="J39" s="17">
        <v>1</v>
      </c>
      <c r="K39" s="17">
        <v>1</v>
      </c>
      <c r="L39" s="17">
        <v>1</v>
      </c>
      <c r="M39" s="17">
        <f>AVERAGE(Table143690117222[[#This Row],[Teste 1]:[Teste 3]])</f>
        <v>1</v>
      </c>
      <c r="N39" s="16"/>
      <c r="O39" s="16" t="s">
        <v>3</v>
      </c>
      <c r="P39" s="16" t="s">
        <v>6</v>
      </c>
      <c r="Q39" s="17">
        <v>1</v>
      </c>
      <c r="R39" s="17">
        <v>4</v>
      </c>
      <c r="S39" s="17">
        <v>1</v>
      </c>
      <c r="T39" s="17">
        <f>AVERAGE(Table143690117234[[#This Row],[Teste 1]:[Teste 3]])</f>
        <v>2</v>
      </c>
    </row>
    <row r="40" spans="1:20" x14ac:dyDescent="0.25">
      <c r="A40" s="16" t="s">
        <v>3</v>
      </c>
      <c r="B40" s="16" t="s">
        <v>7</v>
      </c>
      <c r="C40" s="17">
        <v>9</v>
      </c>
      <c r="D40" s="17">
        <v>6</v>
      </c>
      <c r="E40" s="17">
        <v>6</v>
      </c>
      <c r="F40" s="17">
        <f>AVERAGE(Table1436901172[[#This Row],[Teste 1]:[Teste 3]])</f>
        <v>7</v>
      </c>
      <c r="G40" s="16"/>
      <c r="H40" s="16" t="s">
        <v>3</v>
      </c>
      <c r="I40" s="16" t="s">
        <v>7</v>
      </c>
      <c r="J40" s="17">
        <v>21</v>
      </c>
      <c r="K40" s="17">
        <v>7</v>
      </c>
      <c r="L40" s="17">
        <v>11</v>
      </c>
      <c r="M40" s="17">
        <f>AVERAGE(Table143690117222[[#This Row],[Teste 1]:[Teste 3]])</f>
        <v>13</v>
      </c>
      <c r="N40" s="16"/>
      <c r="O40" s="16" t="s">
        <v>3</v>
      </c>
      <c r="P40" s="16" t="s">
        <v>7</v>
      </c>
      <c r="Q40" s="17">
        <v>1574</v>
      </c>
      <c r="R40" s="17">
        <v>1028</v>
      </c>
      <c r="S40" s="17">
        <v>1102</v>
      </c>
      <c r="T40" s="17">
        <f>AVERAGE(Table143690117234[[#This Row],[Teste 1]:[Teste 3]])</f>
        <v>1234.6666666666667</v>
      </c>
    </row>
    <row r="41" spans="1:20" x14ac:dyDescent="0.25">
      <c r="A41" s="16" t="s">
        <v>3</v>
      </c>
      <c r="B41" s="16" t="s">
        <v>8</v>
      </c>
      <c r="C41" s="17">
        <v>9</v>
      </c>
      <c r="D41" s="17">
        <v>6</v>
      </c>
      <c r="E41" s="17">
        <v>6</v>
      </c>
      <c r="F41" s="17">
        <f>AVERAGE(Table1436901172[[#This Row],[Teste 1]:[Teste 3]])</f>
        <v>7</v>
      </c>
      <c r="G41" s="16"/>
      <c r="H41" s="16" t="s">
        <v>3</v>
      </c>
      <c r="I41" s="16" t="s">
        <v>8</v>
      </c>
      <c r="J41" s="17">
        <v>21</v>
      </c>
      <c r="K41" s="17">
        <v>7</v>
      </c>
      <c r="L41" s="17">
        <v>11</v>
      </c>
      <c r="M41" s="17">
        <f>AVERAGE(Table143690117222[[#This Row],[Teste 1]:[Teste 3]])</f>
        <v>13</v>
      </c>
      <c r="N41" s="16"/>
      <c r="O41" s="16" t="s">
        <v>3</v>
      </c>
      <c r="P41" s="16" t="s">
        <v>8</v>
      </c>
      <c r="Q41" s="17">
        <v>1574</v>
      </c>
      <c r="R41" s="17">
        <v>1028</v>
      </c>
      <c r="S41" s="17">
        <v>1102</v>
      </c>
      <c r="T41" s="17">
        <f>AVERAGE(Table143690117234[[#This Row],[Teste 1]:[Teste 3]])</f>
        <v>1234.6666666666667</v>
      </c>
    </row>
    <row r="42" spans="1:20" x14ac:dyDescent="0.25">
      <c r="A42" s="16" t="s">
        <v>3</v>
      </c>
      <c r="B42" s="16" t="s">
        <v>9</v>
      </c>
      <c r="C42" s="17">
        <v>9</v>
      </c>
      <c r="D42" s="17">
        <v>6</v>
      </c>
      <c r="E42" s="17">
        <v>6</v>
      </c>
      <c r="F42" s="17">
        <f>AVERAGE(Table1436901172[[#This Row],[Teste 1]:[Teste 3]])</f>
        <v>7</v>
      </c>
      <c r="G42" s="16"/>
      <c r="H42" s="16" t="s">
        <v>3</v>
      </c>
      <c r="I42" s="16" t="s">
        <v>9</v>
      </c>
      <c r="J42" s="17">
        <v>21</v>
      </c>
      <c r="K42" s="17">
        <v>7</v>
      </c>
      <c r="L42" s="17">
        <v>11</v>
      </c>
      <c r="M42" s="17">
        <f>AVERAGE(Table143690117222[[#This Row],[Teste 1]:[Teste 3]])</f>
        <v>13</v>
      </c>
      <c r="N42" s="16"/>
      <c r="O42" s="16" t="s">
        <v>3</v>
      </c>
      <c r="P42" s="16" t="s">
        <v>9</v>
      </c>
      <c r="Q42" s="17">
        <v>1574</v>
      </c>
      <c r="R42" s="17">
        <v>1028</v>
      </c>
      <c r="S42" s="17">
        <v>1102</v>
      </c>
      <c r="T42" s="17">
        <f>AVERAGE(Table143690117234[[#This Row],[Teste 1]:[Teste 3]])</f>
        <v>1234.6666666666667</v>
      </c>
    </row>
    <row r="43" spans="1:20" x14ac:dyDescent="0.25">
      <c r="A43" s="16"/>
      <c r="B43" s="16"/>
      <c r="C43" s="17"/>
      <c r="D43" s="17"/>
      <c r="E43" s="17"/>
      <c r="F43" s="17"/>
      <c r="G43" s="16"/>
      <c r="H43" s="16"/>
      <c r="I43" s="16"/>
      <c r="J43" s="17"/>
      <c r="K43" s="17"/>
      <c r="L43" s="17"/>
      <c r="M43" s="17"/>
      <c r="N43" s="16"/>
      <c r="O43" s="16"/>
      <c r="P43" s="16"/>
      <c r="Q43" s="17"/>
      <c r="R43" s="17"/>
      <c r="S43" s="17"/>
      <c r="T43" s="17"/>
    </row>
    <row r="44" spans="1:20" x14ac:dyDescent="0.25">
      <c r="A44" s="16"/>
      <c r="B44" s="16"/>
      <c r="C44" s="17"/>
      <c r="D44" s="17"/>
      <c r="E44" s="17"/>
      <c r="F44" s="17"/>
      <c r="G44" s="16"/>
      <c r="H44" s="16"/>
      <c r="I44" s="16"/>
      <c r="J44" s="17"/>
      <c r="K44" s="17"/>
      <c r="L44" s="17"/>
      <c r="M44" s="17"/>
      <c r="N44" s="16"/>
      <c r="O44" s="16"/>
      <c r="P44" s="16"/>
      <c r="Q44" s="17"/>
      <c r="R44" s="17"/>
      <c r="S44" s="17"/>
      <c r="T44" s="17"/>
    </row>
    <row r="45" spans="1:20" x14ac:dyDescent="0.25">
      <c r="A45" s="16"/>
      <c r="B45" s="16"/>
      <c r="C45" s="17"/>
      <c r="D45" s="17"/>
      <c r="E45" s="17"/>
      <c r="F45" s="17"/>
      <c r="G45" s="16"/>
      <c r="H45" s="16"/>
      <c r="I45" s="16"/>
      <c r="J45" s="17"/>
      <c r="K45" s="17"/>
      <c r="L45" s="17"/>
      <c r="M45" s="17"/>
      <c r="N45" s="16"/>
      <c r="O45" s="16"/>
      <c r="P45" s="16"/>
      <c r="Q45" s="17"/>
      <c r="R45" s="17"/>
      <c r="S45" s="17"/>
      <c r="T45" s="17"/>
    </row>
    <row r="47" spans="1:20" ht="15.75" x14ac:dyDescent="0.25">
      <c r="A47" s="2" t="s">
        <v>73</v>
      </c>
      <c r="H47" s="2" t="s">
        <v>73</v>
      </c>
      <c r="O47" s="2" t="s">
        <v>73</v>
      </c>
    </row>
    <row r="48" spans="1:20" x14ac:dyDescent="0.25">
      <c r="A48" s="16" t="s">
        <v>59</v>
      </c>
      <c r="B48" s="16" t="s">
        <v>62</v>
      </c>
      <c r="C48" s="16" t="s">
        <v>82</v>
      </c>
      <c r="D48" s="16" t="s">
        <v>64</v>
      </c>
      <c r="E48" s="16" t="s">
        <v>63</v>
      </c>
      <c r="F48" s="16" t="s">
        <v>18</v>
      </c>
      <c r="G48" s="16"/>
      <c r="H48" s="16" t="s">
        <v>12</v>
      </c>
      <c r="I48" s="16" t="s">
        <v>62</v>
      </c>
      <c r="J48" s="16" t="s">
        <v>82</v>
      </c>
      <c r="K48" s="16" t="s">
        <v>64</v>
      </c>
      <c r="L48" s="16" t="s">
        <v>63</v>
      </c>
      <c r="M48" s="16" t="s">
        <v>18</v>
      </c>
      <c r="N48" s="16"/>
      <c r="O48" s="16" t="s">
        <v>13</v>
      </c>
      <c r="P48" s="16" t="s">
        <v>62</v>
      </c>
      <c r="Q48" s="16" t="s">
        <v>82</v>
      </c>
      <c r="R48" s="16" t="s">
        <v>64</v>
      </c>
      <c r="S48" s="16" t="s">
        <v>63</v>
      </c>
      <c r="T48" s="16" t="s">
        <v>18</v>
      </c>
    </row>
    <row r="49" spans="1:20" x14ac:dyDescent="0.25">
      <c r="A49" s="16" t="s">
        <v>0</v>
      </c>
      <c r="B49" s="16" t="s">
        <v>1</v>
      </c>
      <c r="C49" s="17">
        <v>4403</v>
      </c>
      <c r="D49" s="17">
        <v>4436</v>
      </c>
      <c r="E49" s="17">
        <v>4394</v>
      </c>
      <c r="F49" s="17">
        <f>AVERAGE(Table1436901173[[#This Row],[Teste 1]:[Teste 3]])</f>
        <v>4411</v>
      </c>
      <c r="G49" s="16"/>
      <c r="H49" s="16" t="s">
        <v>0</v>
      </c>
      <c r="I49" s="16" t="s">
        <v>1</v>
      </c>
      <c r="J49" s="17">
        <v>9883</v>
      </c>
      <c r="K49" s="17">
        <v>9973</v>
      </c>
      <c r="L49" s="17">
        <v>10210</v>
      </c>
      <c r="M49" s="17">
        <f>AVERAGE(Table143690117323[[#This Row],[Teste 1]:[Teste 3]])</f>
        <v>10022</v>
      </c>
      <c r="N49" s="16"/>
      <c r="O49" s="16" t="s">
        <v>0</v>
      </c>
      <c r="P49" s="16" t="s">
        <v>1</v>
      </c>
      <c r="Q49" s="17">
        <v>4706</v>
      </c>
      <c r="R49" s="17">
        <v>4749</v>
      </c>
      <c r="S49" s="17">
        <v>4862</v>
      </c>
      <c r="T49" s="17">
        <f>AVERAGE(Table143690117335[[#This Row],[Teste 1]:[Teste 3]])</f>
        <v>4772.333333333333</v>
      </c>
    </row>
    <row r="50" spans="1:20" x14ac:dyDescent="0.25">
      <c r="A50" s="16" t="s">
        <v>0</v>
      </c>
      <c r="B50" s="16" t="s">
        <v>2</v>
      </c>
      <c r="C50" s="17">
        <v>22711.787417669701</v>
      </c>
      <c r="D50" s="17">
        <v>22542.831379621199</v>
      </c>
      <c r="E50" s="17">
        <v>22758.3067819754</v>
      </c>
      <c r="F50" s="17">
        <f>AVERAGE(Table1436901173[[#This Row],[Teste 1]:[Teste 3]])</f>
        <v>22670.975193088769</v>
      </c>
      <c r="G50" s="16"/>
      <c r="H50" s="16" t="s">
        <v>0</v>
      </c>
      <c r="I50" s="16" t="s">
        <v>2</v>
      </c>
      <c r="J50" s="17">
        <v>10118.790000000001</v>
      </c>
      <c r="K50" s="17">
        <v>10027.17</v>
      </c>
      <c r="L50" s="17">
        <v>9794.1299999999992</v>
      </c>
      <c r="M50" s="17">
        <f>AVERAGE(Table143690117323[[#This Row],[Teste 1]:[Teste 3]])</f>
        <v>9980.0299999999988</v>
      </c>
      <c r="N50" s="16"/>
      <c r="O50" s="16" t="s">
        <v>0</v>
      </c>
      <c r="P50" s="16" t="s">
        <v>2</v>
      </c>
      <c r="Q50" s="17">
        <v>21249.4687632809</v>
      </c>
      <c r="R50" s="17">
        <v>21057.064645188399</v>
      </c>
      <c r="S50" s="17">
        <v>20567.6676264911</v>
      </c>
      <c r="T50" s="17">
        <f>AVERAGE(Table143690117335[[#This Row],[Teste 1]:[Teste 3]])</f>
        <v>20958.067011653467</v>
      </c>
    </row>
    <row r="51" spans="1:20" x14ac:dyDescent="0.25">
      <c r="A51" s="16" t="s">
        <v>16</v>
      </c>
      <c r="B51" s="16" t="s">
        <v>4</v>
      </c>
      <c r="C51" s="17">
        <v>100000</v>
      </c>
      <c r="D51" s="17">
        <v>100000</v>
      </c>
      <c r="E51" s="17">
        <v>100000</v>
      </c>
      <c r="F51" s="17">
        <f>AVERAGE(Table1436901173[[#This Row],[Teste 1]:[Teste 3]])</f>
        <v>100000</v>
      </c>
      <c r="G51" s="16"/>
      <c r="H51" s="16" t="s">
        <v>16</v>
      </c>
      <c r="I51" s="16" t="s">
        <v>4</v>
      </c>
      <c r="J51" s="17">
        <v>100000</v>
      </c>
      <c r="K51" s="17">
        <v>100000</v>
      </c>
      <c r="L51" s="17">
        <v>100000</v>
      </c>
      <c r="M51" s="17">
        <f>AVERAGE(Table143690117323[[#This Row],[Teste 1]:[Teste 3]])</f>
        <v>100000</v>
      </c>
      <c r="N51" s="16"/>
      <c r="O51" s="16" t="s">
        <v>16</v>
      </c>
      <c r="P51" s="16" t="s">
        <v>4</v>
      </c>
      <c r="Q51" s="17">
        <v>100000</v>
      </c>
      <c r="R51" s="17">
        <v>100000</v>
      </c>
      <c r="S51" s="17">
        <v>100000</v>
      </c>
      <c r="T51" s="17">
        <f>AVERAGE(Table143690117335[[#This Row],[Teste 1]:[Teste 3]])</f>
        <v>100000</v>
      </c>
    </row>
    <row r="52" spans="1:20" x14ac:dyDescent="0.25">
      <c r="A52" s="16" t="s">
        <v>16</v>
      </c>
      <c r="B52" s="16" t="s">
        <v>5</v>
      </c>
      <c r="C52" s="17">
        <v>209.13838999999999</v>
      </c>
      <c r="D52" s="17">
        <v>209.46695</v>
      </c>
      <c r="E52" s="17">
        <v>209.94037</v>
      </c>
      <c r="F52" s="17">
        <f>AVERAGE(Table1436901173[[#This Row],[Teste 1]:[Teste 3]])</f>
        <v>209.51523666666665</v>
      </c>
      <c r="G52" s="16"/>
      <c r="H52" s="16" t="s">
        <v>16</v>
      </c>
      <c r="I52" s="16" t="s">
        <v>5</v>
      </c>
      <c r="J52" s="17">
        <v>489.81</v>
      </c>
      <c r="K52" s="17">
        <v>497.59</v>
      </c>
      <c r="L52" s="17">
        <v>511.99</v>
      </c>
      <c r="M52" s="17">
        <f>AVERAGE(Table143690117323[[#This Row],[Teste 1]:[Teste 3]])</f>
        <v>499.79666666666662</v>
      </c>
      <c r="N52" s="16"/>
      <c r="O52" s="16" t="s">
        <v>16</v>
      </c>
      <c r="P52" s="16" t="s">
        <v>5</v>
      </c>
      <c r="Q52" s="17">
        <v>233.24415999999999</v>
      </c>
      <c r="R52" s="17">
        <v>236.94587000000001</v>
      </c>
      <c r="S52" s="17">
        <v>243.80793</v>
      </c>
      <c r="T52" s="17">
        <f>AVERAGE(Table143690117335[[#This Row],[Teste 1]:[Teste 3]])</f>
        <v>237.99931999999998</v>
      </c>
    </row>
    <row r="53" spans="1:20" x14ac:dyDescent="0.25">
      <c r="A53" s="16" t="s">
        <v>16</v>
      </c>
      <c r="B53" s="16" t="s">
        <v>6</v>
      </c>
      <c r="C53" s="17">
        <v>79</v>
      </c>
      <c r="D53" s="17">
        <v>78</v>
      </c>
      <c r="E53" s="17">
        <v>85</v>
      </c>
      <c r="F53" s="17">
        <f>AVERAGE(Table1436901173[[#This Row],[Teste 1]:[Teste 3]])</f>
        <v>80.666666666666671</v>
      </c>
      <c r="G53" s="16"/>
      <c r="H53" s="16" t="s">
        <v>16</v>
      </c>
      <c r="I53" s="16" t="s">
        <v>6</v>
      </c>
      <c r="J53" s="17">
        <v>204</v>
      </c>
      <c r="K53" s="17">
        <v>214</v>
      </c>
      <c r="L53" s="17">
        <v>216</v>
      </c>
      <c r="M53" s="17">
        <f>AVERAGE(Table143690117323[[#This Row],[Teste 1]:[Teste 3]])</f>
        <v>211.33333333333334</v>
      </c>
      <c r="N53" s="16"/>
      <c r="O53" s="16" t="s">
        <v>16</v>
      </c>
      <c r="P53" s="16" t="s">
        <v>6</v>
      </c>
      <c r="Q53" s="17">
        <v>97</v>
      </c>
      <c r="R53" s="17">
        <v>102</v>
      </c>
      <c r="S53" s="17">
        <v>103</v>
      </c>
      <c r="T53" s="17">
        <f>AVERAGE(Table143690117335[[#This Row],[Teste 1]:[Teste 3]])</f>
        <v>100.66666666666667</v>
      </c>
    </row>
    <row r="54" spans="1:20" x14ac:dyDescent="0.25">
      <c r="A54" s="16" t="s">
        <v>16</v>
      </c>
      <c r="B54" s="16" t="s">
        <v>7</v>
      </c>
      <c r="C54" s="17">
        <v>44991</v>
      </c>
      <c r="D54" s="17">
        <v>9695</v>
      </c>
      <c r="E54" s="17">
        <v>10399</v>
      </c>
      <c r="F54" s="17">
        <f>AVERAGE(Table1436901173[[#This Row],[Teste 1]:[Teste 3]])</f>
        <v>21695</v>
      </c>
      <c r="G54" s="16"/>
      <c r="H54" s="16" t="s">
        <v>16</v>
      </c>
      <c r="I54" s="16" t="s">
        <v>7</v>
      </c>
      <c r="J54" s="17">
        <v>70625</v>
      </c>
      <c r="K54" s="17">
        <v>71096</v>
      </c>
      <c r="L54" s="17">
        <v>66190</v>
      </c>
      <c r="M54" s="17">
        <f>AVERAGE(Table143690117323[[#This Row],[Teste 1]:[Teste 3]])</f>
        <v>69303.666666666672</v>
      </c>
      <c r="N54" s="16"/>
      <c r="O54" s="16" t="s">
        <v>16</v>
      </c>
      <c r="P54" s="16" t="s">
        <v>7</v>
      </c>
      <c r="Q54" s="17">
        <v>33631</v>
      </c>
      <c r="R54" s="17">
        <v>33855</v>
      </c>
      <c r="S54" s="17">
        <v>31519</v>
      </c>
      <c r="T54" s="17">
        <f>AVERAGE(Table143690117335[[#This Row],[Teste 1]:[Teste 3]])</f>
        <v>33001.666666666664</v>
      </c>
    </row>
    <row r="55" spans="1:20" x14ac:dyDescent="0.25">
      <c r="A55" s="16" t="s">
        <v>16</v>
      </c>
      <c r="B55" s="16" t="s">
        <v>8</v>
      </c>
      <c r="C55" s="17">
        <v>343</v>
      </c>
      <c r="D55" s="17">
        <v>373</v>
      </c>
      <c r="E55" s="17">
        <v>375</v>
      </c>
      <c r="F55" s="17">
        <f>AVERAGE(Table1436901173[[#This Row],[Teste 1]:[Teste 3]])</f>
        <v>363.66666666666669</v>
      </c>
      <c r="G55" s="16"/>
      <c r="H55" s="16" t="s">
        <v>16</v>
      </c>
      <c r="I55" s="16" t="s">
        <v>8</v>
      </c>
      <c r="J55" s="17">
        <v>895</v>
      </c>
      <c r="K55" s="17">
        <v>970</v>
      </c>
      <c r="L55" s="17">
        <v>1063</v>
      </c>
      <c r="M55" s="17">
        <f>AVERAGE(Table143690117323[[#This Row],[Teste 1]:[Teste 3]])</f>
        <v>976</v>
      </c>
      <c r="N55" s="16"/>
      <c r="O55" s="16" t="s">
        <v>16</v>
      </c>
      <c r="P55" s="16" t="s">
        <v>8</v>
      </c>
      <c r="Q55" s="17">
        <v>426</v>
      </c>
      <c r="R55" s="17">
        <v>462</v>
      </c>
      <c r="S55" s="17">
        <v>506</v>
      </c>
      <c r="T55" s="17">
        <f>AVERAGE(Table143690117335[[#This Row],[Teste 1]:[Teste 3]])</f>
        <v>464.66666666666669</v>
      </c>
    </row>
    <row r="56" spans="1:20" x14ac:dyDescent="0.25">
      <c r="A56" s="16" t="s">
        <v>16</v>
      </c>
      <c r="B56" s="16" t="s">
        <v>9</v>
      </c>
      <c r="C56" s="17">
        <v>744</v>
      </c>
      <c r="D56" s="17">
        <v>757</v>
      </c>
      <c r="E56" s="17">
        <v>732</v>
      </c>
      <c r="F56" s="17">
        <f>AVERAGE(Table1436901173[[#This Row],[Teste 1]:[Teste 3]])</f>
        <v>744.33333333333337</v>
      </c>
      <c r="G56" s="16"/>
      <c r="H56" s="16" t="s">
        <v>16</v>
      </c>
      <c r="I56" s="16" t="s">
        <v>9</v>
      </c>
      <c r="J56" s="17">
        <v>2001</v>
      </c>
      <c r="K56" s="17">
        <v>2224</v>
      </c>
      <c r="L56" s="17">
        <v>2138</v>
      </c>
      <c r="M56" s="17">
        <f>AVERAGE(Table143690117323[[#This Row],[Teste 1]:[Teste 3]])</f>
        <v>2121</v>
      </c>
      <c r="N56" s="16"/>
      <c r="O56" s="16" t="s">
        <v>16</v>
      </c>
      <c r="P56" s="16" t="s">
        <v>9</v>
      </c>
      <c r="Q56" s="17">
        <v>953</v>
      </c>
      <c r="R56" s="17">
        <v>1059</v>
      </c>
      <c r="S56" s="17">
        <v>1018</v>
      </c>
      <c r="T56" s="17">
        <f>AVERAGE(Table143690117335[[#This Row],[Teste 1]:[Teste 3]])</f>
        <v>1010</v>
      </c>
    </row>
    <row r="57" spans="1:20" x14ac:dyDescent="0.25">
      <c r="A57" s="16" t="s">
        <v>16</v>
      </c>
      <c r="B57" s="16" t="s">
        <v>11</v>
      </c>
      <c r="C57" s="17">
        <v>100000</v>
      </c>
      <c r="D57" s="17">
        <v>100000</v>
      </c>
      <c r="E57" s="17">
        <v>100000</v>
      </c>
      <c r="F57" s="17">
        <f>AVERAGE(Table1436901173[[#This Row],[Teste 1]:[Teste 3]])</f>
        <v>100000</v>
      </c>
      <c r="G57" s="16"/>
      <c r="H57" s="16" t="s">
        <v>16</v>
      </c>
      <c r="I57" s="16" t="s">
        <v>11</v>
      </c>
      <c r="J57" s="17">
        <v>100000</v>
      </c>
      <c r="K57" s="17">
        <v>100000</v>
      </c>
      <c r="L57" s="17">
        <v>100000</v>
      </c>
      <c r="M57" s="17">
        <f>AVERAGE(Table143690117323[[#This Row],[Teste 1]:[Teste 3]])</f>
        <v>100000</v>
      </c>
      <c r="N57" s="16"/>
      <c r="O57" s="16" t="s">
        <v>16</v>
      </c>
      <c r="P57" s="16" t="s">
        <v>11</v>
      </c>
      <c r="Q57" s="17">
        <v>100000</v>
      </c>
      <c r="R57" s="17">
        <v>100000</v>
      </c>
      <c r="S57" s="17">
        <v>100000</v>
      </c>
      <c r="T57" s="17">
        <f>AVERAGE(Table143690117335[[#This Row],[Teste 1]:[Teste 3]])</f>
        <v>100000</v>
      </c>
    </row>
    <row r="58" spans="1:20" x14ac:dyDescent="0.25">
      <c r="A58" s="16" t="s">
        <v>3</v>
      </c>
      <c r="B58" s="16" t="s">
        <v>4</v>
      </c>
      <c r="C58" s="17">
        <v>6</v>
      </c>
      <c r="D58" s="17">
        <v>6</v>
      </c>
      <c r="E58" s="17">
        <v>6</v>
      </c>
      <c r="F58" s="17">
        <f>AVERAGE(Table1436901173[[#This Row],[Teste 1]:[Teste 3]])</f>
        <v>6</v>
      </c>
      <c r="G58" s="16"/>
      <c r="H58" s="16" t="s">
        <v>3</v>
      </c>
      <c r="I58" s="16" t="s">
        <v>4</v>
      </c>
      <c r="J58" s="17">
        <v>6</v>
      </c>
      <c r="K58" s="17">
        <v>6</v>
      </c>
      <c r="L58" s="17">
        <v>6</v>
      </c>
      <c r="M58" s="17">
        <f>AVERAGE(Table143690117323[[#This Row],[Teste 1]:[Teste 3]])</f>
        <v>6</v>
      </c>
      <c r="N58" s="16"/>
      <c r="O58" s="16" t="s">
        <v>3</v>
      </c>
      <c r="P58" s="16" t="s">
        <v>4</v>
      </c>
      <c r="Q58" s="17">
        <v>6</v>
      </c>
      <c r="R58" s="17">
        <v>6</v>
      </c>
      <c r="S58" s="17">
        <v>6</v>
      </c>
      <c r="T58" s="17">
        <f>AVERAGE(Table143690117335[[#This Row],[Teste 1]:[Teste 3]])</f>
        <v>6</v>
      </c>
    </row>
    <row r="59" spans="1:20" x14ac:dyDescent="0.25">
      <c r="A59" s="16" t="s">
        <v>3</v>
      </c>
      <c r="B59" s="16" t="s">
        <v>5</v>
      </c>
      <c r="C59" s="17">
        <v>3</v>
      </c>
      <c r="D59" s="17">
        <v>1.6666666666666601</v>
      </c>
      <c r="E59" s="17">
        <v>1.5</v>
      </c>
      <c r="F59" s="17">
        <f>AVERAGE(Table1436901173[[#This Row],[Teste 1]:[Teste 3]])</f>
        <v>2.0555555555555531</v>
      </c>
      <c r="G59" s="16"/>
      <c r="H59" s="16" t="s">
        <v>3</v>
      </c>
      <c r="I59" s="16" t="s">
        <v>5</v>
      </c>
      <c r="J59" s="17">
        <v>2</v>
      </c>
      <c r="K59" s="17">
        <v>2</v>
      </c>
      <c r="L59" s="17">
        <v>2</v>
      </c>
      <c r="M59" s="17">
        <f>AVERAGE(Table143690117323[[#This Row],[Teste 1]:[Teste 3]])</f>
        <v>2</v>
      </c>
      <c r="N59" s="16"/>
      <c r="O59" s="16" t="s">
        <v>3</v>
      </c>
      <c r="P59" s="16" t="s">
        <v>5</v>
      </c>
      <c r="Q59" s="17">
        <v>187.666666666666</v>
      </c>
      <c r="R59" s="17">
        <v>195</v>
      </c>
      <c r="S59" s="17">
        <v>213</v>
      </c>
      <c r="T59" s="17">
        <f>AVERAGE(Table143690117335[[#This Row],[Teste 1]:[Teste 3]])</f>
        <v>198.55555555555534</v>
      </c>
    </row>
    <row r="60" spans="1:20" x14ac:dyDescent="0.25">
      <c r="A60" s="16" t="s">
        <v>3</v>
      </c>
      <c r="B60" s="16" t="s">
        <v>6</v>
      </c>
      <c r="C60" s="17">
        <v>0</v>
      </c>
      <c r="D60" s="17">
        <v>0</v>
      </c>
      <c r="E60" s="17">
        <v>0</v>
      </c>
      <c r="F60" s="17">
        <f>AVERAGE(Table1436901173[[#This Row],[Teste 1]:[Teste 3]])</f>
        <v>0</v>
      </c>
      <c r="G60" s="16"/>
      <c r="H60" s="16" t="s">
        <v>3</v>
      </c>
      <c r="I60" s="16" t="s">
        <v>6</v>
      </c>
      <c r="J60" s="17">
        <v>0</v>
      </c>
      <c r="K60" s="17">
        <v>0</v>
      </c>
      <c r="L60" s="17">
        <v>0</v>
      </c>
      <c r="M60" s="17">
        <f>AVERAGE(Table143690117323[[#This Row],[Teste 1]:[Teste 3]])</f>
        <v>0</v>
      </c>
      <c r="N60" s="16"/>
      <c r="O60" s="16" t="s">
        <v>3</v>
      </c>
      <c r="P60" s="16" t="s">
        <v>6</v>
      </c>
      <c r="Q60" s="17">
        <v>1</v>
      </c>
      <c r="R60" s="17">
        <v>1</v>
      </c>
      <c r="S60" s="17">
        <v>1</v>
      </c>
      <c r="T60" s="17">
        <f>AVERAGE(Table143690117335[[#This Row],[Teste 1]:[Teste 3]])</f>
        <v>1</v>
      </c>
    </row>
    <row r="61" spans="1:20" x14ac:dyDescent="0.25">
      <c r="A61" s="16" t="s">
        <v>3</v>
      </c>
      <c r="B61" s="16" t="s">
        <v>7</v>
      </c>
      <c r="C61" s="17">
        <v>16</v>
      </c>
      <c r="D61" s="17">
        <v>6</v>
      </c>
      <c r="E61" s="17">
        <v>7</v>
      </c>
      <c r="F61" s="17">
        <f>AVERAGE(Table1436901173[[#This Row],[Teste 1]:[Teste 3]])</f>
        <v>9.6666666666666661</v>
      </c>
      <c r="G61" s="16"/>
      <c r="H61" s="16" t="s">
        <v>3</v>
      </c>
      <c r="I61" s="16" t="s">
        <v>7</v>
      </c>
      <c r="J61" s="17">
        <v>15</v>
      </c>
      <c r="K61" s="17">
        <v>9</v>
      </c>
      <c r="L61" s="17">
        <v>13</v>
      </c>
      <c r="M61" s="17">
        <f>AVERAGE(Table143690117323[[#This Row],[Teste 1]:[Teste 3]])</f>
        <v>12.333333333333334</v>
      </c>
      <c r="N61" s="16"/>
      <c r="O61" s="16" t="s">
        <v>3</v>
      </c>
      <c r="P61" s="16" t="s">
        <v>7</v>
      </c>
      <c r="Q61" s="17">
        <v>1110</v>
      </c>
      <c r="R61" s="17">
        <v>1150</v>
      </c>
      <c r="S61" s="17">
        <v>1257</v>
      </c>
      <c r="T61" s="17">
        <f>AVERAGE(Table143690117335[[#This Row],[Teste 1]:[Teste 3]])</f>
        <v>1172.3333333333333</v>
      </c>
    </row>
    <row r="62" spans="1:20" x14ac:dyDescent="0.25">
      <c r="A62" s="16" t="s">
        <v>3</v>
      </c>
      <c r="B62" s="16" t="s">
        <v>8</v>
      </c>
      <c r="C62" s="17">
        <v>16</v>
      </c>
      <c r="D62" s="17">
        <v>6</v>
      </c>
      <c r="E62" s="17">
        <v>7</v>
      </c>
      <c r="F62" s="17">
        <f>AVERAGE(Table1436901173[[#This Row],[Teste 1]:[Teste 3]])</f>
        <v>9.6666666666666661</v>
      </c>
      <c r="G62" s="16"/>
      <c r="H62" s="16" t="s">
        <v>3</v>
      </c>
      <c r="I62" s="16" t="s">
        <v>8</v>
      </c>
      <c r="J62" s="17">
        <v>15</v>
      </c>
      <c r="K62" s="17">
        <v>9</v>
      </c>
      <c r="L62" s="17">
        <v>13</v>
      </c>
      <c r="M62" s="17">
        <f>AVERAGE(Table143690117323[[#This Row],[Teste 1]:[Teste 3]])</f>
        <v>12.333333333333334</v>
      </c>
      <c r="N62" s="16"/>
      <c r="O62" s="16" t="s">
        <v>3</v>
      </c>
      <c r="P62" s="16" t="s">
        <v>8</v>
      </c>
      <c r="Q62" s="17">
        <v>1110</v>
      </c>
      <c r="R62" s="17">
        <v>1150</v>
      </c>
      <c r="S62" s="17">
        <v>1257</v>
      </c>
      <c r="T62" s="17">
        <f>AVERAGE(Table143690117335[[#This Row],[Teste 1]:[Teste 3]])</f>
        <v>1172.3333333333333</v>
      </c>
    </row>
    <row r="63" spans="1:20" x14ac:dyDescent="0.25">
      <c r="A63" s="16" t="s">
        <v>3</v>
      </c>
      <c r="B63" s="16" t="s">
        <v>9</v>
      </c>
      <c r="C63" s="17">
        <v>16</v>
      </c>
      <c r="D63" s="17">
        <v>6</v>
      </c>
      <c r="E63" s="17">
        <v>7</v>
      </c>
      <c r="F63" s="17">
        <f>AVERAGE(Table1436901173[[#This Row],[Teste 1]:[Teste 3]])</f>
        <v>9.6666666666666661</v>
      </c>
      <c r="G63" s="16"/>
      <c r="H63" s="16" t="s">
        <v>3</v>
      </c>
      <c r="I63" s="16" t="s">
        <v>9</v>
      </c>
      <c r="J63" s="17">
        <v>15</v>
      </c>
      <c r="K63" s="17">
        <v>9</v>
      </c>
      <c r="L63" s="17">
        <v>13</v>
      </c>
      <c r="M63" s="17">
        <f>AVERAGE(Table143690117323[[#This Row],[Teste 1]:[Teste 3]])</f>
        <v>12.333333333333334</v>
      </c>
      <c r="N63" s="16"/>
      <c r="O63" s="16" t="s">
        <v>3</v>
      </c>
      <c r="P63" s="16" t="s">
        <v>9</v>
      </c>
      <c r="Q63" s="17">
        <v>1110</v>
      </c>
      <c r="R63" s="17">
        <v>1150</v>
      </c>
      <c r="S63" s="17">
        <v>1257</v>
      </c>
      <c r="T63" s="17">
        <f>AVERAGE(Table143690117335[[#This Row],[Teste 1]:[Teste 3]])</f>
        <v>1172.3333333333333</v>
      </c>
    </row>
    <row r="64" spans="1:20" x14ac:dyDescent="0.25">
      <c r="A64" s="16"/>
      <c r="B64" s="16"/>
      <c r="C64" s="17"/>
      <c r="D64" s="17"/>
      <c r="E64" s="17"/>
      <c r="F64" s="17"/>
      <c r="G64" s="16"/>
      <c r="H64" s="16"/>
      <c r="I64" s="16"/>
      <c r="J64" s="17"/>
      <c r="K64" s="17"/>
      <c r="L64" s="17"/>
      <c r="M64" s="17"/>
      <c r="N64" s="16"/>
      <c r="O64" s="16"/>
      <c r="P64" s="16"/>
      <c r="Q64" s="17"/>
      <c r="R64" s="17"/>
      <c r="S64" s="17"/>
      <c r="T64" s="17"/>
    </row>
    <row r="65" spans="1:20" x14ac:dyDescent="0.25">
      <c r="A65" s="16"/>
      <c r="B65" s="16"/>
      <c r="C65" s="17"/>
      <c r="D65" s="17"/>
      <c r="E65" s="17"/>
      <c r="F65" s="17"/>
      <c r="G65" s="16"/>
      <c r="H65" s="16"/>
      <c r="I65" s="16"/>
      <c r="J65" s="17"/>
      <c r="K65" s="17"/>
      <c r="L65" s="17"/>
      <c r="M65" s="17"/>
      <c r="N65" s="16"/>
      <c r="O65" s="16"/>
      <c r="P65" s="16"/>
      <c r="Q65" s="17"/>
      <c r="R65" s="17"/>
      <c r="S65" s="17"/>
      <c r="T65" s="17"/>
    </row>
    <row r="66" spans="1:20" x14ac:dyDescent="0.25">
      <c r="A66" s="16"/>
      <c r="B66" s="16"/>
      <c r="C66" s="17"/>
      <c r="D66" s="17"/>
      <c r="E66" s="17"/>
      <c r="F66" s="17"/>
      <c r="G66" s="16"/>
      <c r="H66" s="16"/>
      <c r="I66" s="16"/>
      <c r="J66" s="17"/>
      <c r="K66" s="17"/>
      <c r="L66" s="17"/>
      <c r="M66" s="17"/>
      <c r="N66" s="16"/>
      <c r="O66" s="16"/>
      <c r="P66" s="16"/>
      <c r="Q66" s="17"/>
      <c r="R66" s="17"/>
      <c r="S66" s="17"/>
      <c r="T66" s="17"/>
    </row>
    <row r="69" spans="1:20" ht="15.75" x14ac:dyDescent="0.25">
      <c r="A69" s="2" t="s">
        <v>66</v>
      </c>
      <c r="H69" s="2" t="s">
        <v>66</v>
      </c>
      <c r="O69" s="2" t="s">
        <v>66</v>
      </c>
    </row>
    <row r="70" spans="1:20" ht="15.75" x14ac:dyDescent="0.25">
      <c r="A70" s="2" t="s">
        <v>65</v>
      </c>
      <c r="H70" s="2" t="s">
        <v>65</v>
      </c>
      <c r="O70" s="2" t="s">
        <v>65</v>
      </c>
    </row>
    <row r="71" spans="1:20" x14ac:dyDescent="0.25">
      <c r="A71" s="16" t="s">
        <v>59</v>
      </c>
      <c r="B71" s="16" t="s">
        <v>66</v>
      </c>
      <c r="C71" s="16" t="s">
        <v>82</v>
      </c>
      <c r="D71" s="16" t="s">
        <v>64</v>
      </c>
      <c r="E71" s="16" t="s">
        <v>63</v>
      </c>
      <c r="F71" s="16" t="s">
        <v>18</v>
      </c>
      <c r="G71" s="16"/>
      <c r="H71" s="16" t="s">
        <v>12</v>
      </c>
      <c r="I71" s="16" t="s">
        <v>66</v>
      </c>
      <c r="J71" s="16" t="s">
        <v>82</v>
      </c>
      <c r="K71" s="16" t="s">
        <v>64</v>
      </c>
      <c r="L71" s="16" t="s">
        <v>63</v>
      </c>
      <c r="M71" s="16" t="s">
        <v>18</v>
      </c>
      <c r="N71" s="16"/>
      <c r="O71" s="16" t="s">
        <v>13</v>
      </c>
      <c r="P71" s="16" t="s">
        <v>66</v>
      </c>
      <c r="Q71" s="16" t="s">
        <v>82</v>
      </c>
      <c r="R71" s="16" t="s">
        <v>64</v>
      </c>
      <c r="S71" s="16" t="s">
        <v>63</v>
      </c>
      <c r="T71" s="16" t="s">
        <v>18</v>
      </c>
    </row>
    <row r="72" spans="1:20" x14ac:dyDescent="0.25">
      <c r="A72" s="16" t="s">
        <v>0</v>
      </c>
      <c r="B72" s="16" t="s">
        <v>1</v>
      </c>
      <c r="C72" s="17">
        <v>182020</v>
      </c>
      <c r="D72" s="17">
        <v>177759</v>
      </c>
      <c r="E72" s="17">
        <v>178685</v>
      </c>
      <c r="F72" s="17">
        <f>AVERAGE(Table1436901174[[#This Row],[Teste 1]:[Teste 3]])</f>
        <v>179488</v>
      </c>
      <c r="G72" s="16"/>
      <c r="H72" s="16" t="s">
        <v>0</v>
      </c>
      <c r="I72" s="16" t="s">
        <v>1</v>
      </c>
      <c r="J72" s="17">
        <v>324858</v>
      </c>
      <c r="K72" s="17">
        <v>350276</v>
      </c>
      <c r="L72" s="17">
        <v>348988</v>
      </c>
      <c r="M72" s="17">
        <f>AVERAGE(Table143690117424[[#This Row],[Teste 1]:[Teste 3]])</f>
        <v>341374</v>
      </c>
      <c r="N72" s="16"/>
      <c r="O72" s="16" t="s">
        <v>0</v>
      </c>
      <c r="P72" s="16" t="s">
        <v>1</v>
      </c>
      <c r="Q72" s="17">
        <v>249891</v>
      </c>
      <c r="R72" s="17">
        <v>269443</v>
      </c>
      <c r="S72" s="17">
        <v>268452</v>
      </c>
      <c r="T72" s="17">
        <f>AVERAGE(Table143690117436[[#This Row],[Teste 1]:[Teste 3]])</f>
        <v>262595.33333333331</v>
      </c>
    </row>
    <row r="73" spans="1:20" x14ac:dyDescent="0.25">
      <c r="A73" s="16" t="s">
        <v>0</v>
      </c>
      <c r="B73" s="16" t="s">
        <v>2</v>
      </c>
      <c r="C73" s="17">
        <v>5493.9017690363698</v>
      </c>
      <c r="D73" s="17">
        <v>5625.59420338773</v>
      </c>
      <c r="E73" s="17">
        <v>5596.4406637378597</v>
      </c>
      <c r="F73" s="17">
        <f>AVERAGE(Table1436901174[[#This Row],[Teste 1]:[Teste 3]])</f>
        <v>5571.9788787206535</v>
      </c>
      <c r="G73" s="16"/>
      <c r="H73" s="16" t="s">
        <v>0</v>
      </c>
      <c r="I73" s="16" t="s">
        <v>2</v>
      </c>
      <c r="J73" s="17">
        <v>3078.27</v>
      </c>
      <c r="K73" s="17">
        <v>2854.89</v>
      </c>
      <c r="L73" s="17">
        <v>2865.43</v>
      </c>
      <c r="M73" s="17">
        <f>AVERAGE(Table143690117424[[#This Row],[Teste 1]:[Teste 3]])</f>
        <v>2932.8633333333332</v>
      </c>
      <c r="N73" s="16"/>
      <c r="O73" s="16" t="s">
        <v>0</v>
      </c>
      <c r="P73" s="16" t="s">
        <v>2</v>
      </c>
      <c r="Q73" s="17">
        <v>4001.7447607156701</v>
      </c>
      <c r="R73" s="17">
        <v>3711.3601021366298</v>
      </c>
      <c r="S73" s="17">
        <v>3725.0607184897099</v>
      </c>
      <c r="T73" s="17">
        <f>AVERAGE(Table143690117436[[#This Row],[Teste 1]:[Teste 3]])</f>
        <v>3812.7218604473369</v>
      </c>
    </row>
    <row r="74" spans="1:20" x14ac:dyDescent="0.25">
      <c r="A74" s="16" t="s">
        <v>16</v>
      </c>
      <c r="B74" s="16" t="s">
        <v>4</v>
      </c>
      <c r="C74" s="17">
        <v>1000000</v>
      </c>
      <c r="D74" s="17">
        <v>1000000</v>
      </c>
      <c r="E74" s="17">
        <v>1000000</v>
      </c>
      <c r="F74" s="17">
        <f>AVERAGE(Table1436901174[[#This Row],[Teste 1]:[Teste 3]])</f>
        <v>1000000</v>
      </c>
      <c r="G74" s="16"/>
      <c r="H74" s="16" t="s">
        <v>16</v>
      </c>
      <c r="I74" s="16" t="s">
        <v>4</v>
      </c>
      <c r="J74" s="17">
        <v>1000000</v>
      </c>
      <c r="K74" s="17">
        <v>1000000</v>
      </c>
      <c r="L74" s="17">
        <v>1000000</v>
      </c>
      <c r="M74" s="17">
        <f>AVERAGE(Table143690117424[[#This Row],[Teste 1]:[Teste 3]])</f>
        <v>1000000</v>
      </c>
      <c r="N74" s="16"/>
      <c r="O74" s="16" t="s">
        <v>16</v>
      </c>
      <c r="P74" s="16" t="s">
        <v>4</v>
      </c>
      <c r="Q74" s="17">
        <v>1000000</v>
      </c>
      <c r="R74" s="17">
        <v>1000000</v>
      </c>
      <c r="S74" s="17">
        <v>1000000</v>
      </c>
      <c r="T74" s="17">
        <f>AVERAGE(Table143690117436[[#This Row],[Teste 1]:[Teste 3]])</f>
        <v>1000000</v>
      </c>
    </row>
    <row r="75" spans="1:20" x14ac:dyDescent="0.25">
      <c r="A75" s="16" t="s">
        <v>16</v>
      </c>
      <c r="B75" s="16" t="s">
        <v>5</v>
      </c>
      <c r="C75" s="17">
        <v>179.52301299999999</v>
      </c>
      <c r="D75" s="17">
        <v>175.233024</v>
      </c>
      <c r="E75" s="17">
        <v>176.12393700000001</v>
      </c>
      <c r="F75" s="17">
        <f>AVERAGE(Table1436901174[[#This Row],[Teste 1]:[Teste 3]])</f>
        <v>176.95999133333331</v>
      </c>
      <c r="G75" s="16"/>
      <c r="H75" s="16" t="s">
        <v>16</v>
      </c>
      <c r="I75" s="16" t="s">
        <v>5</v>
      </c>
      <c r="J75" s="17">
        <v>320.56</v>
      </c>
      <c r="K75" s="17">
        <v>345.86</v>
      </c>
      <c r="L75" s="17">
        <v>344.83</v>
      </c>
      <c r="M75" s="17">
        <f>AVERAGE(Table143690117424[[#This Row],[Teste 1]:[Teste 3]])</f>
        <v>337.08333333333331</v>
      </c>
      <c r="N75" s="16"/>
      <c r="O75" s="16" t="s">
        <v>16</v>
      </c>
      <c r="P75" s="16" t="s">
        <v>5</v>
      </c>
      <c r="Q75" s="17">
        <v>246.58260000000001</v>
      </c>
      <c r="R75" s="17">
        <v>266.04270000000002</v>
      </c>
      <c r="S75" s="17">
        <v>265.25235500000002</v>
      </c>
      <c r="T75" s="17">
        <f>AVERAGE(Table143690117436[[#This Row],[Teste 1]:[Teste 3]])</f>
        <v>259.29255166666667</v>
      </c>
    </row>
    <row r="76" spans="1:20" x14ac:dyDescent="0.25">
      <c r="A76" s="16" t="s">
        <v>16</v>
      </c>
      <c r="B76" s="16" t="s">
        <v>6</v>
      </c>
      <c r="C76" s="17">
        <v>77</v>
      </c>
      <c r="D76" s="17">
        <v>59</v>
      </c>
      <c r="E76" s="17">
        <v>77</v>
      </c>
      <c r="F76" s="17">
        <f>AVERAGE(Table1436901174[[#This Row],[Teste 1]:[Teste 3]])</f>
        <v>71</v>
      </c>
      <c r="G76" s="16"/>
      <c r="H76" s="16" t="s">
        <v>16</v>
      </c>
      <c r="I76" s="16" t="s">
        <v>6</v>
      </c>
      <c r="J76" s="17">
        <v>129</v>
      </c>
      <c r="K76" s="17">
        <v>131</v>
      </c>
      <c r="L76" s="17">
        <v>126</v>
      </c>
      <c r="M76" s="17">
        <f>AVERAGE(Table143690117424[[#This Row],[Teste 1]:[Teste 3]])</f>
        <v>128.66666666666666</v>
      </c>
      <c r="N76" s="16"/>
      <c r="O76" s="16" t="s">
        <v>16</v>
      </c>
      <c r="P76" s="16" t="s">
        <v>6</v>
      </c>
      <c r="Q76" s="17">
        <v>99</v>
      </c>
      <c r="R76" s="17">
        <v>101</v>
      </c>
      <c r="S76" s="17">
        <v>97</v>
      </c>
      <c r="T76" s="17">
        <f>AVERAGE(Table143690117436[[#This Row],[Teste 1]:[Teste 3]])</f>
        <v>99</v>
      </c>
    </row>
    <row r="77" spans="1:20" x14ac:dyDescent="0.25">
      <c r="A77" s="16" t="s">
        <v>16</v>
      </c>
      <c r="B77" s="16" t="s">
        <v>7</v>
      </c>
      <c r="C77" s="17">
        <v>1689599</v>
      </c>
      <c r="D77" s="17">
        <v>2021375</v>
      </c>
      <c r="E77" s="17">
        <v>1975295</v>
      </c>
      <c r="F77" s="17">
        <f>AVERAGE(Table1436901174[[#This Row],[Teste 1]:[Teste 3]])</f>
        <v>1895423</v>
      </c>
      <c r="G77" s="16"/>
      <c r="H77" s="16" t="s">
        <v>16</v>
      </c>
      <c r="I77" s="16" t="s">
        <v>7</v>
      </c>
      <c r="J77" s="17">
        <v>42160</v>
      </c>
      <c r="K77" s="17">
        <v>42452</v>
      </c>
      <c r="L77" s="17">
        <v>42284</v>
      </c>
      <c r="M77" s="17">
        <f>AVERAGE(Table143690117424[[#This Row],[Teste 1]:[Teste 3]])</f>
        <v>42298.666666666664</v>
      </c>
      <c r="N77" s="16"/>
      <c r="O77" s="16" t="s">
        <v>16</v>
      </c>
      <c r="P77" s="16" t="s">
        <v>7</v>
      </c>
      <c r="Q77" s="17">
        <v>32431</v>
      </c>
      <c r="R77" s="17">
        <v>32655</v>
      </c>
      <c r="S77" s="17">
        <v>63295</v>
      </c>
      <c r="T77" s="17">
        <f>AVERAGE(Table143690117436[[#This Row],[Teste 1]:[Teste 3]])</f>
        <v>42793.666666666664</v>
      </c>
    </row>
    <row r="78" spans="1:20" x14ac:dyDescent="0.25">
      <c r="A78" s="16" t="s">
        <v>16</v>
      </c>
      <c r="B78" s="16" t="s">
        <v>8</v>
      </c>
      <c r="C78" s="17">
        <v>202</v>
      </c>
      <c r="D78" s="17">
        <v>214</v>
      </c>
      <c r="E78" s="17">
        <v>216</v>
      </c>
      <c r="F78" s="17">
        <f>AVERAGE(Table1436901174[[#This Row],[Teste 1]:[Teste 3]])</f>
        <v>210.66666666666666</v>
      </c>
      <c r="G78" s="16"/>
      <c r="H78" s="16" t="s">
        <v>16</v>
      </c>
      <c r="I78" s="16" t="s">
        <v>8</v>
      </c>
      <c r="J78" s="17">
        <v>777</v>
      </c>
      <c r="K78" s="17">
        <v>805</v>
      </c>
      <c r="L78" s="17">
        <v>800</v>
      </c>
      <c r="M78" s="17">
        <f>AVERAGE(Table143690117424[[#This Row],[Teste 1]:[Teste 3]])</f>
        <v>794</v>
      </c>
      <c r="N78" s="16"/>
      <c r="O78" s="16" t="s">
        <v>16</v>
      </c>
      <c r="P78" s="16" t="s">
        <v>8</v>
      </c>
      <c r="Q78" s="17">
        <v>598</v>
      </c>
      <c r="R78" s="17">
        <v>619</v>
      </c>
      <c r="S78" s="17">
        <v>615</v>
      </c>
      <c r="T78" s="17">
        <f>AVERAGE(Table143690117436[[#This Row],[Teste 1]:[Teste 3]])</f>
        <v>610.66666666666663</v>
      </c>
    </row>
    <row r="79" spans="1:20" x14ac:dyDescent="0.25">
      <c r="A79" s="16" t="s">
        <v>16</v>
      </c>
      <c r="B79" s="16" t="s">
        <v>9</v>
      </c>
      <c r="C79" s="17">
        <v>530</v>
      </c>
      <c r="D79" s="17">
        <v>545</v>
      </c>
      <c r="E79" s="17">
        <v>542</v>
      </c>
      <c r="F79" s="17">
        <f>AVERAGE(Table1436901174[[#This Row],[Teste 1]:[Teste 3]])</f>
        <v>539</v>
      </c>
      <c r="G79" s="16"/>
      <c r="H79" s="16" t="s">
        <v>16</v>
      </c>
      <c r="I79" s="16" t="s">
        <v>9</v>
      </c>
      <c r="J79" s="17">
        <v>996</v>
      </c>
      <c r="K79" s="17">
        <v>1021</v>
      </c>
      <c r="L79" s="17">
        <v>1047</v>
      </c>
      <c r="M79" s="17">
        <f>AVERAGE(Table143690117424[[#This Row],[Teste 1]:[Teste 3]])</f>
        <v>1021.3333333333334</v>
      </c>
      <c r="N79" s="16"/>
      <c r="O79" s="16" t="s">
        <v>16</v>
      </c>
      <c r="P79" s="16" t="s">
        <v>9</v>
      </c>
      <c r="Q79" s="17">
        <v>766</v>
      </c>
      <c r="R79" s="17">
        <v>785</v>
      </c>
      <c r="S79" s="17">
        <v>805</v>
      </c>
      <c r="T79" s="17">
        <f>AVERAGE(Table143690117436[[#This Row],[Teste 1]:[Teste 3]])</f>
        <v>785.33333333333337</v>
      </c>
    </row>
    <row r="80" spans="1:20" x14ac:dyDescent="0.25">
      <c r="A80" s="16" t="s">
        <v>16</v>
      </c>
      <c r="B80" s="16" t="s">
        <v>11</v>
      </c>
      <c r="C80" s="17">
        <v>1000000</v>
      </c>
      <c r="D80" s="17">
        <v>1000000</v>
      </c>
      <c r="E80" s="17">
        <v>1000000</v>
      </c>
      <c r="F80" s="17">
        <f>AVERAGE(Table1436901174[[#This Row],[Teste 1]:[Teste 3]])</f>
        <v>1000000</v>
      </c>
      <c r="G80" s="16"/>
      <c r="H80" s="16" t="s">
        <v>16</v>
      </c>
      <c r="I80" s="16" t="s">
        <v>11</v>
      </c>
      <c r="J80" s="17">
        <v>1000000</v>
      </c>
      <c r="K80" s="17">
        <v>1000000</v>
      </c>
      <c r="L80" s="17">
        <v>1000000</v>
      </c>
      <c r="M80" s="17">
        <f>AVERAGE(Table143690117424[[#This Row],[Teste 1]:[Teste 3]])</f>
        <v>1000000</v>
      </c>
      <c r="N80" s="16"/>
      <c r="O80" s="16" t="s">
        <v>16</v>
      </c>
      <c r="P80" s="16" t="s">
        <v>11</v>
      </c>
      <c r="Q80" s="17">
        <v>1000000</v>
      </c>
      <c r="R80" s="17">
        <v>1000000</v>
      </c>
      <c r="S80" s="17">
        <v>1000000</v>
      </c>
      <c r="T80" s="17">
        <f>AVERAGE(Table143690117436[[#This Row],[Teste 1]:[Teste 3]])</f>
        <v>1000000</v>
      </c>
    </row>
    <row r="81" spans="1:20" x14ac:dyDescent="0.25">
      <c r="A81" s="16" t="s">
        <v>3</v>
      </c>
      <c r="B81" s="16" t="s">
        <v>4</v>
      </c>
      <c r="C81" s="17">
        <v>1</v>
      </c>
      <c r="D81" s="17">
        <v>1</v>
      </c>
      <c r="E81" s="17">
        <v>1</v>
      </c>
      <c r="F81" s="17">
        <f>AVERAGE(Table1436901174[[#This Row],[Teste 1]:[Teste 3]])</f>
        <v>1</v>
      </c>
      <c r="G81" s="16"/>
      <c r="H81" s="16" t="s">
        <v>3</v>
      </c>
      <c r="I81" s="16" t="s">
        <v>4</v>
      </c>
      <c r="J81" s="17">
        <v>1</v>
      </c>
      <c r="K81" s="17">
        <v>1</v>
      </c>
      <c r="L81" s="17">
        <v>1</v>
      </c>
      <c r="M81" s="17">
        <f>AVERAGE(Table143690117424[[#This Row],[Teste 1]:[Teste 3]])</f>
        <v>1</v>
      </c>
      <c r="N81" s="16"/>
      <c r="O81" s="16" t="s">
        <v>3</v>
      </c>
      <c r="P81" s="16" t="s">
        <v>4</v>
      </c>
      <c r="Q81" s="17">
        <v>1</v>
      </c>
      <c r="R81" s="17">
        <v>1</v>
      </c>
      <c r="S81" s="17">
        <v>1</v>
      </c>
      <c r="T81" s="17">
        <f>AVERAGE(Table143690117436[[#This Row],[Teste 1]:[Teste 3]])</f>
        <v>1</v>
      </c>
    </row>
    <row r="82" spans="1:20" x14ac:dyDescent="0.25">
      <c r="A82" s="16" t="s">
        <v>3</v>
      </c>
      <c r="B82" s="16" t="s">
        <v>5</v>
      </c>
      <c r="C82" s="17">
        <v>1</v>
      </c>
      <c r="D82" s="17">
        <v>2</v>
      </c>
      <c r="E82" s="17">
        <v>1</v>
      </c>
      <c r="F82" s="17">
        <f>AVERAGE(Table1436901174[[#This Row],[Teste 1]:[Teste 3]])</f>
        <v>1.3333333333333333</v>
      </c>
      <c r="G82" s="16"/>
      <c r="H82" s="16" t="s">
        <v>3</v>
      </c>
      <c r="I82" s="16" t="s">
        <v>5</v>
      </c>
      <c r="J82" s="17">
        <v>1</v>
      </c>
      <c r="K82" s="17">
        <v>1</v>
      </c>
      <c r="L82" s="17">
        <v>1</v>
      </c>
      <c r="M82" s="17">
        <f>AVERAGE(Table143690117424[[#This Row],[Teste 1]:[Teste 3]])</f>
        <v>1</v>
      </c>
      <c r="N82" s="16"/>
      <c r="O82" s="16" t="s">
        <v>3</v>
      </c>
      <c r="P82" s="16" t="s">
        <v>5</v>
      </c>
      <c r="Q82" s="17">
        <v>1925</v>
      </c>
      <c r="R82" s="17">
        <v>1751</v>
      </c>
      <c r="S82" s="17">
        <v>2113</v>
      </c>
      <c r="T82" s="17">
        <f>AVERAGE(Table143690117436[[#This Row],[Teste 1]:[Teste 3]])</f>
        <v>1929.6666666666667</v>
      </c>
    </row>
    <row r="83" spans="1:20" x14ac:dyDescent="0.25">
      <c r="A83" s="16" t="s">
        <v>3</v>
      </c>
      <c r="B83" s="16" t="s">
        <v>6</v>
      </c>
      <c r="C83" s="17">
        <v>1</v>
      </c>
      <c r="D83" s="17">
        <v>2</v>
      </c>
      <c r="E83" s="17">
        <v>1</v>
      </c>
      <c r="F83" s="17">
        <f>AVERAGE(Table1436901174[[#This Row],[Teste 1]:[Teste 3]])</f>
        <v>1.3333333333333333</v>
      </c>
      <c r="G83" s="16"/>
      <c r="H83" s="16" t="s">
        <v>3</v>
      </c>
      <c r="I83" s="16" t="s">
        <v>6</v>
      </c>
      <c r="J83" s="17">
        <v>1</v>
      </c>
      <c r="K83" s="17">
        <v>1</v>
      </c>
      <c r="L83" s="17">
        <v>1</v>
      </c>
      <c r="M83" s="17">
        <f>AVERAGE(Table143690117424[[#This Row],[Teste 1]:[Teste 3]])</f>
        <v>1</v>
      </c>
      <c r="N83" s="16"/>
      <c r="O83" s="16" t="s">
        <v>3</v>
      </c>
      <c r="P83" s="16" t="s">
        <v>6</v>
      </c>
      <c r="Q83" s="17">
        <v>1925</v>
      </c>
      <c r="R83" s="17">
        <v>1751</v>
      </c>
      <c r="S83" s="17">
        <v>2113</v>
      </c>
      <c r="T83" s="17">
        <f>AVERAGE(Table143690117436[[#This Row],[Teste 1]:[Teste 3]])</f>
        <v>1929.6666666666667</v>
      </c>
    </row>
    <row r="84" spans="1:20" x14ac:dyDescent="0.25">
      <c r="A84" s="16" t="s">
        <v>3</v>
      </c>
      <c r="B84" s="16" t="s">
        <v>7</v>
      </c>
      <c r="C84" s="17">
        <v>1</v>
      </c>
      <c r="D84" s="17">
        <v>2</v>
      </c>
      <c r="E84" s="17">
        <v>1</v>
      </c>
      <c r="F84" s="17">
        <f>AVERAGE(Table1436901174[[#This Row],[Teste 1]:[Teste 3]])</f>
        <v>1.3333333333333333</v>
      </c>
      <c r="G84" s="16"/>
      <c r="H84" s="16" t="s">
        <v>3</v>
      </c>
      <c r="I84" s="16" t="s">
        <v>7</v>
      </c>
      <c r="J84" s="17">
        <v>1</v>
      </c>
      <c r="K84" s="17">
        <v>1</v>
      </c>
      <c r="L84" s="17">
        <v>1</v>
      </c>
      <c r="M84" s="17">
        <f>AVERAGE(Table143690117424[[#This Row],[Teste 1]:[Teste 3]])</f>
        <v>1</v>
      </c>
      <c r="N84" s="16"/>
      <c r="O84" s="16" t="s">
        <v>3</v>
      </c>
      <c r="P84" s="16" t="s">
        <v>7</v>
      </c>
      <c r="Q84" s="17">
        <v>1925</v>
      </c>
      <c r="R84" s="17">
        <v>1751</v>
      </c>
      <c r="S84" s="17">
        <v>2113</v>
      </c>
      <c r="T84" s="17">
        <f>AVERAGE(Table143690117436[[#This Row],[Teste 1]:[Teste 3]])</f>
        <v>1929.6666666666667</v>
      </c>
    </row>
    <row r="85" spans="1:20" x14ac:dyDescent="0.25">
      <c r="A85" s="16" t="s">
        <v>3</v>
      </c>
      <c r="B85" s="16" t="s">
        <v>8</v>
      </c>
      <c r="C85" s="17">
        <v>1</v>
      </c>
      <c r="D85" s="17">
        <v>2</v>
      </c>
      <c r="E85" s="17">
        <v>1</v>
      </c>
      <c r="F85" s="17">
        <f>AVERAGE(Table1436901174[[#This Row],[Teste 1]:[Teste 3]])</f>
        <v>1.3333333333333333</v>
      </c>
      <c r="G85" s="16"/>
      <c r="H85" s="16" t="s">
        <v>3</v>
      </c>
      <c r="I85" s="16" t="s">
        <v>8</v>
      </c>
      <c r="J85" s="17">
        <v>1</v>
      </c>
      <c r="K85" s="17">
        <v>1</v>
      </c>
      <c r="L85" s="17">
        <v>1</v>
      </c>
      <c r="M85" s="17">
        <f>AVERAGE(Table143690117424[[#This Row],[Teste 1]:[Teste 3]])</f>
        <v>1</v>
      </c>
      <c r="N85" s="16"/>
      <c r="O85" s="16" t="s">
        <v>3</v>
      </c>
      <c r="P85" s="16" t="s">
        <v>8</v>
      </c>
      <c r="Q85" s="17">
        <v>1925</v>
      </c>
      <c r="R85" s="17">
        <v>1751</v>
      </c>
      <c r="S85" s="17">
        <v>2113</v>
      </c>
      <c r="T85" s="17">
        <f>AVERAGE(Table143690117436[[#This Row],[Teste 1]:[Teste 3]])</f>
        <v>1929.6666666666667</v>
      </c>
    </row>
    <row r="86" spans="1:20" x14ac:dyDescent="0.25">
      <c r="A86" s="16" t="s">
        <v>3</v>
      </c>
      <c r="B86" s="16" t="s">
        <v>9</v>
      </c>
      <c r="C86" s="17">
        <v>1</v>
      </c>
      <c r="D86" s="17">
        <v>2</v>
      </c>
      <c r="E86" s="17">
        <v>1</v>
      </c>
      <c r="F86" s="17">
        <f>AVERAGE(Table1436901174[[#This Row],[Teste 1]:[Teste 3]])</f>
        <v>1.3333333333333333</v>
      </c>
      <c r="G86" s="16"/>
      <c r="H86" s="16" t="s">
        <v>3</v>
      </c>
      <c r="I86" s="16" t="s">
        <v>9</v>
      </c>
      <c r="J86" s="17">
        <v>1</v>
      </c>
      <c r="K86" s="17">
        <v>1</v>
      </c>
      <c r="L86" s="17">
        <v>1</v>
      </c>
      <c r="M86" s="17">
        <f>AVERAGE(Table143690117424[[#This Row],[Teste 1]:[Teste 3]])</f>
        <v>1</v>
      </c>
      <c r="N86" s="16"/>
      <c r="O86" s="16" t="s">
        <v>3</v>
      </c>
      <c r="P86" s="16" t="s">
        <v>9</v>
      </c>
      <c r="Q86" s="17">
        <v>1925</v>
      </c>
      <c r="R86" s="17">
        <v>1751</v>
      </c>
      <c r="S86" s="17">
        <v>2113</v>
      </c>
      <c r="T86" s="17">
        <f>AVERAGE(Table143690117436[[#This Row],[Teste 1]:[Teste 3]])</f>
        <v>1929.6666666666667</v>
      </c>
    </row>
    <row r="87" spans="1:20" x14ac:dyDescent="0.25">
      <c r="A87" s="16"/>
      <c r="B87" s="16"/>
      <c r="C87" s="17"/>
      <c r="D87" s="17"/>
      <c r="E87" s="17"/>
      <c r="F87" s="17"/>
      <c r="G87" s="16"/>
      <c r="H87" s="16"/>
      <c r="I87" s="16"/>
      <c r="J87" s="17"/>
      <c r="K87" s="17"/>
      <c r="L87" s="17"/>
      <c r="M87" s="17"/>
      <c r="N87" s="16"/>
      <c r="O87" s="16"/>
      <c r="P87" s="16"/>
      <c r="Q87" s="17"/>
      <c r="R87" s="17"/>
      <c r="S87" s="17"/>
      <c r="T87" s="17"/>
    </row>
    <row r="88" spans="1:20" x14ac:dyDescent="0.25">
      <c r="A88" s="16"/>
      <c r="B88" s="16"/>
      <c r="C88" s="17"/>
      <c r="D88" s="17"/>
      <c r="E88" s="17"/>
      <c r="F88" s="17"/>
      <c r="G88" s="16"/>
      <c r="H88" s="16"/>
      <c r="I88" s="16"/>
      <c r="J88" s="17"/>
      <c r="K88" s="17"/>
      <c r="L88" s="17"/>
      <c r="M88" s="17"/>
      <c r="N88" s="16"/>
      <c r="O88" s="16"/>
      <c r="P88" s="16"/>
      <c r="Q88" s="17"/>
      <c r="R88" s="17"/>
      <c r="S88" s="17"/>
      <c r="T88" s="17"/>
    </row>
    <row r="89" spans="1:20" x14ac:dyDescent="0.25">
      <c r="A89" s="16"/>
      <c r="B89" s="16"/>
      <c r="C89" s="17"/>
      <c r="D89" s="17"/>
      <c r="E89" s="17"/>
      <c r="F89" s="17"/>
      <c r="G89" s="16"/>
      <c r="H89" s="16"/>
      <c r="I89" s="16"/>
      <c r="J89" s="17"/>
      <c r="K89" s="17"/>
      <c r="L89" s="17"/>
      <c r="M89" s="17"/>
      <c r="N89" s="16"/>
      <c r="O89" s="16"/>
      <c r="P89" s="16"/>
      <c r="Q89" s="17"/>
      <c r="R89" s="17"/>
      <c r="S89" s="17"/>
      <c r="T89" s="17"/>
    </row>
    <row r="91" spans="1:20" ht="15.75" x14ac:dyDescent="0.25">
      <c r="A91" s="2" t="s">
        <v>74</v>
      </c>
      <c r="H91" s="2" t="s">
        <v>74</v>
      </c>
      <c r="O91" s="2" t="s">
        <v>74</v>
      </c>
    </row>
    <row r="92" spans="1:20" x14ac:dyDescent="0.25">
      <c r="A92" s="16" t="s">
        <v>59</v>
      </c>
      <c r="B92" s="16" t="s">
        <v>66</v>
      </c>
      <c r="C92" s="16" t="s">
        <v>82</v>
      </c>
      <c r="D92" s="16" t="s">
        <v>64</v>
      </c>
      <c r="E92" s="16" t="s">
        <v>63</v>
      </c>
      <c r="F92" s="16" t="s">
        <v>18</v>
      </c>
      <c r="G92" s="16"/>
      <c r="H92" s="16" t="s">
        <v>12</v>
      </c>
      <c r="I92" s="16" t="s">
        <v>66</v>
      </c>
      <c r="J92" s="16" t="s">
        <v>82</v>
      </c>
      <c r="K92" s="16" t="s">
        <v>64</v>
      </c>
      <c r="L92" s="16" t="s">
        <v>63</v>
      </c>
      <c r="M92" s="16" t="s">
        <v>18</v>
      </c>
      <c r="N92" s="16"/>
      <c r="O92" s="16" t="s">
        <v>13</v>
      </c>
      <c r="P92" s="16" t="s">
        <v>66</v>
      </c>
      <c r="Q92" s="16" t="s">
        <v>82</v>
      </c>
      <c r="R92" s="16" t="s">
        <v>64</v>
      </c>
      <c r="S92" s="16" t="s">
        <v>63</v>
      </c>
      <c r="T92" s="16" t="s">
        <v>18</v>
      </c>
    </row>
    <row r="93" spans="1:20" x14ac:dyDescent="0.25">
      <c r="A93" s="16" t="s">
        <v>0</v>
      </c>
      <c r="B93" s="16" t="s">
        <v>1</v>
      </c>
      <c r="C93" s="17">
        <v>84578</v>
      </c>
      <c r="D93" s="17">
        <v>81038</v>
      </c>
      <c r="E93" s="17">
        <v>75389</v>
      </c>
      <c r="F93" s="17">
        <f>AVERAGE(Table14369011725[[#This Row],[Teste 1]:[Teste 3]])</f>
        <v>80335</v>
      </c>
      <c r="G93" s="16"/>
      <c r="H93" s="16" t="s">
        <v>0</v>
      </c>
      <c r="I93" s="16" t="s">
        <v>1</v>
      </c>
      <c r="J93" s="17">
        <v>141106</v>
      </c>
      <c r="K93" s="17">
        <v>150718</v>
      </c>
      <c r="L93" s="17">
        <v>143326</v>
      </c>
      <c r="M93" s="17">
        <f>AVERAGE(Table1436901172525[[#This Row],[Teste 1]:[Teste 3]])</f>
        <v>145050</v>
      </c>
      <c r="N93" s="16"/>
      <c r="O93" s="16" t="s">
        <v>0</v>
      </c>
      <c r="P93" s="16" t="s">
        <v>1</v>
      </c>
      <c r="Q93" s="17">
        <v>108543</v>
      </c>
      <c r="R93" s="17">
        <v>115937</v>
      </c>
      <c r="S93" s="17">
        <v>110251</v>
      </c>
      <c r="T93" s="17">
        <f>AVERAGE(Table1436901172537[[#This Row],[Teste 1]:[Teste 3]])</f>
        <v>111577</v>
      </c>
    </row>
    <row r="94" spans="1:20" x14ac:dyDescent="0.25">
      <c r="A94" s="16" t="s">
        <v>0</v>
      </c>
      <c r="B94" s="16" t="s">
        <v>2</v>
      </c>
      <c r="C94" s="17">
        <v>11823.405613752901</v>
      </c>
      <c r="D94" s="17">
        <v>12339.889928181799</v>
      </c>
      <c r="E94" s="17">
        <v>13264.534613803</v>
      </c>
      <c r="F94" s="17">
        <f>AVERAGE(Table14369011725[[#This Row],[Teste 1]:[Teste 3]])</f>
        <v>12475.943385245899</v>
      </c>
      <c r="G94" s="16"/>
      <c r="H94" s="16" t="s">
        <v>0</v>
      </c>
      <c r="I94" s="16" t="s">
        <v>2</v>
      </c>
      <c r="J94" s="17">
        <v>7086.88</v>
      </c>
      <c r="K94" s="17">
        <v>6634.9</v>
      </c>
      <c r="L94" s="17">
        <v>6977.09</v>
      </c>
      <c r="M94" s="17">
        <f>AVERAGE(Table1436901172525[[#This Row],[Teste 1]:[Teste 3]])</f>
        <v>6899.623333333333</v>
      </c>
      <c r="N94" s="16"/>
      <c r="O94" s="16" t="s">
        <v>0</v>
      </c>
      <c r="P94" s="16" t="s">
        <v>2</v>
      </c>
      <c r="Q94" s="17">
        <v>9212.9386510415206</v>
      </c>
      <c r="R94" s="17">
        <v>8625.3741256026897</v>
      </c>
      <c r="S94" s="17">
        <v>9070.2125150792199</v>
      </c>
      <c r="T94" s="17">
        <f>AVERAGE(Table1436901172537[[#This Row],[Teste 1]:[Teste 3]])</f>
        <v>8969.5084305744767</v>
      </c>
    </row>
    <row r="95" spans="1:20" x14ac:dyDescent="0.25">
      <c r="A95" s="16" t="s">
        <v>16</v>
      </c>
      <c r="B95" s="16" t="s">
        <v>4</v>
      </c>
      <c r="C95" s="17">
        <v>1000000</v>
      </c>
      <c r="D95" s="17">
        <v>1000000</v>
      </c>
      <c r="E95" s="17">
        <v>1000000</v>
      </c>
      <c r="F95" s="17">
        <f>AVERAGE(Table14369011725[[#This Row],[Teste 1]:[Teste 3]])</f>
        <v>1000000</v>
      </c>
      <c r="G95" s="16"/>
      <c r="H95" s="16" t="s">
        <v>16</v>
      </c>
      <c r="I95" s="16" t="s">
        <v>4</v>
      </c>
      <c r="J95" s="17">
        <v>1000000</v>
      </c>
      <c r="K95" s="17">
        <v>1000000</v>
      </c>
      <c r="L95" s="17">
        <v>1000000</v>
      </c>
      <c r="M95" s="17">
        <f>AVERAGE(Table1436901172525[[#This Row],[Teste 1]:[Teste 3]])</f>
        <v>1000000</v>
      </c>
      <c r="N95" s="16"/>
      <c r="O95" s="16" t="s">
        <v>16</v>
      </c>
      <c r="P95" s="16" t="s">
        <v>4</v>
      </c>
      <c r="Q95" s="17">
        <v>1000000</v>
      </c>
      <c r="R95" s="17">
        <v>1000000</v>
      </c>
      <c r="S95" s="17">
        <v>1000000</v>
      </c>
      <c r="T95" s="17">
        <f>AVERAGE(Table1436901172537[[#This Row],[Teste 1]:[Teste 3]])</f>
        <v>1000000</v>
      </c>
    </row>
    <row r="96" spans="1:20" x14ac:dyDescent="0.25">
      <c r="A96" s="16" t="s">
        <v>16</v>
      </c>
      <c r="B96" s="16" t="s">
        <v>5</v>
      </c>
      <c r="C96" s="17">
        <v>248.82680999999999</v>
      </c>
      <c r="D96" s="17">
        <v>237.42771099999999</v>
      </c>
      <c r="E96" s="17">
        <v>219.93476000000001</v>
      </c>
      <c r="F96" s="17">
        <f>AVERAGE(Table14369011725[[#This Row],[Teste 1]:[Teste 3]])</f>
        <v>235.39642699999999</v>
      </c>
      <c r="G96" s="16"/>
      <c r="H96" s="16" t="s">
        <v>16</v>
      </c>
      <c r="I96" s="16" t="s">
        <v>5</v>
      </c>
      <c r="J96" s="17">
        <v>416.3</v>
      </c>
      <c r="K96" s="17">
        <v>444.58</v>
      </c>
      <c r="L96" s="17">
        <v>422.96</v>
      </c>
      <c r="M96" s="17">
        <f>AVERAGE(Table1436901172525[[#This Row],[Teste 1]:[Teste 3]])</f>
        <v>427.94666666666666</v>
      </c>
      <c r="N96" s="16"/>
      <c r="O96" s="16" t="s">
        <v>16</v>
      </c>
      <c r="P96" s="16" t="s">
        <v>5</v>
      </c>
      <c r="Q96" s="17">
        <v>320.23538400000001</v>
      </c>
      <c r="R96" s="17">
        <v>341.98595</v>
      </c>
      <c r="S96" s="17">
        <v>325.35066999999998</v>
      </c>
      <c r="T96" s="17">
        <f>AVERAGE(Table1436901172537[[#This Row],[Teste 1]:[Teste 3]])</f>
        <v>329.19066800000002</v>
      </c>
    </row>
    <row r="97" spans="1:20" x14ac:dyDescent="0.25">
      <c r="A97" s="16" t="s">
        <v>16</v>
      </c>
      <c r="B97" s="16" t="s">
        <v>6</v>
      </c>
      <c r="C97" s="17">
        <v>82</v>
      </c>
      <c r="D97" s="17">
        <v>74</v>
      </c>
      <c r="E97" s="17">
        <v>69</v>
      </c>
      <c r="F97" s="17">
        <f>AVERAGE(Table14369011725[[#This Row],[Teste 1]:[Teste 3]])</f>
        <v>75</v>
      </c>
      <c r="G97" s="16"/>
      <c r="H97" s="16" t="s">
        <v>16</v>
      </c>
      <c r="I97" s="16" t="s">
        <v>6</v>
      </c>
      <c r="J97" s="17">
        <v>133</v>
      </c>
      <c r="K97" s="17">
        <v>130</v>
      </c>
      <c r="L97" s="17">
        <v>131</v>
      </c>
      <c r="M97" s="17">
        <f>AVERAGE(Table1436901172525[[#This Row],[Teste 1]:[Teste 3]])</f>
        <v>131.33333333333334</v>
      </c>
      <c r="N97" s="16"/>
      <c r="O97" s="16" t="s">
        <v>16</v>
      </c>
      <c r="P97" s="16" t="s">
        <v>6</v>
      </c>
      <c r="Q97" s="17">
        <v>102</v>
      </c>
      <c r="R97" s="17">
        <v>100</v>
      </c>
      <c r="S97" s="17">
        <v>101</v>
      </c>
      <c r="T97" s="17">
        <f>AVERAGE(Table1436901172537[[#This Row],[Teste 1]:[Teste 3]])</f>
        <v>101</v>
      </c>
    </row>
    <row r="98" spans="1:20" x14ac:dyDescent="0.25">
      <c r="A98" s="16" t="s">
        <v>16</v>
      </c>
      <c r="B98" s="16" t="s">
        <v>7</v>
      </c>
      <c r="C98" s="17">
        <v>1788927</v>
      </c>
      <c r="D98" s="17">
        <v>2011135</v>
      </c>
      <c r="E98" s="17">
        <v>2564095</v>
      </c>
      <c r="F98" s="17">
        <f>AVERAGE(Table14369011725[[#This Row],[Teste 1]:[Teste 3]])</f>
        <v>2121385.6666666665</v>
      </c>
      <c r="G98" s="16"/>
      <c r="H98" s="16" t="s">
        <v>16</v>
      </c>
      <c r="I98" s="16" t="s">
        <v>7</v>
      </c>
      <c r="J98" s="17">
        <v>47548</v>
      </c>
      <c r="K98" s="17">
        <v>54952</v>
      </c>
      <c r="L98" s="17">
        <v>43928</v>
      </c>
      <c r="M98" s="17">
        <f>AVERAGE(Table1436901172525[[#This Row],[Teste 1]:[Teste 3]])</f>
        <v>48809.333333333336</v>
      </c>
      <c r="N98" s="16"/>
      <c r="O98" s="16" t="s">
        <v>16</v>
      </c>
      <c r="P98" s="16" t="s">
        <v>7</v>
      </c>
      <c r="Q98" s="17">
        <v>36575</v>
      </c>
      <c r="R98" s="17">
        <v>42271</v>
      </c>
      <c r="S98" s="17">
        <v>33791</v>
      </c>
      <c r="T98" s="17">
        <f>AVERAGE(Table1436901172537[[#This Row],[Teste 1]:[Teste 3]])</f>
        <v>37545.666666666664</v>
      </c>
    </row>
    <row r="99" spans="1:20" x14ac:dyDescent="0.25">
      <c r="A99" s="16" t="s">
        <v>16</v>
      </c>
      <c r="B99" s="16" t="s">
        <v>8</v>
      </c>
      <c r="C99" s="17">
        <v>250</v>
      </c>
      <c r="D99" s="17">
        <v>228</v>
      </c>
      <c r="E99" s="17">
        <v>222</v>
      </c>
      <c r="F99" s="17">
        <f>AVERAGE(Table14369011725[[#This Row],[Teste 1]:[Teste 3]])</f>
        <v>233.33333333333334</v>
      </c>
      <c r="G99" s="16"/>
      <c r="H99" s="16" t="s">
        <v>16</v>
      </c>
      <c r="I99" s="16" t="s">
        <v>8</v>
      </c>
      <c r="J99" s="17">
        <v>1128</v>
      </c>
      <c r="K99" s="17">
        <v>1187</v>
      </c>
      <c r="L99" s="17">
        <v>1136</v>
      </c>
      <c r="M99" s="17">
        <f>AVERAGE(Table1436901172525[[#This Row],[Teste 1]:[Teste 3]])</f>
        <v>1150.3333333333333</v>
      </c>
      <c r="N99" s="16"/>
      <c r="O99" s="16" t="s">
        <v>16</v>
      </c>
      <c r="P99" s="16" t="s">
        <v>8</v>
      </c>
      <c r="Q99" s="17">
        <v>868</v>
      </c>
      <c r="R99" s="17">
        <v>913</v>
      </c>
      <c r="S99" s="17">
        <v>874</v>
      </c>
      <c r="T99" s="17">
        <f>AVERAGE(Table1436901172537[[#This Row],[Teste 1]:[Teste 3]])</f>
        <v>885</v>
      </c>
    </row>
    <row r="100" spans="1:20" x14ac:dyDescent="0.25">
      <c r="A100" s="16" t="s">
        <v>16</v>
      </c>
      <c r="B100" s="16" t="s">
        <v>9</v>
      </c>
      <c r="C100" s="17">
        <v>650</v>
      </c>
      <c r="D100" s="17">
        <v>609</v>
      </c>
      <c r="E100" s="17">
        <v>613</v>
      </c>
      <c r="F100" s="17">
        <f>AVERAGE(Table14369011725[[#This Row],[Teste 1]:[Teste 3]])</f>
        <v>624</v>
      </c>
      <c r="G100" s="16"/>
      <c r="H100" s="16" t="s">
        <v>16</v>
      </c>
      <c r="I100" s="16" t="s">
        <v>9</v>
      </c>
      <c r="J100" s="17">
        <v>1404</v>
      </c>
      <c r="K100" s="17">
        <v>1482</v>
      </c>
      <c r="L100" s="17">
        <v>1408</v>
      </c>
      <c r="M100" s="17">
        <f>AVERAGE(Table1436901172525[[#This Row],[Teste 1]:[Teste 3]])</f>
        <v>1431.3333333333333</v>
      </c>
      <c r="N100" s="16"/>
      <c r="O100" s="16" t="s">
        <v>16</v>
      </c>
      <c r="P100" s="16" t="s">
        <v>9</v>
      </c>
      <c r="Q100" s="17">
        <v>1080</v>
      </c>
      <c r="R100" s="17">
        <v>1140</v>
      </c>
      <c r="S100" s="17">
        <v>1083</v>
      </c>
      <c r="T100" s="17">
        <f>AVERAGE(Table1436901172537[[#This Row],[Teste 1]:[Teste 3]])</f>
        <v>1101</v>
      </c>
    </row>
    <row r="101" spans="1:20" x14ac:dyDescent="0.25">
      <c r="A101" s="16" t="s">
        <v>16</v>
      </c>
      <c r="B101" s="16" t="s">
        <v>11</v>
      </c>
      <c r="C101" s="17">
        <v>1000000</v>
      </c>
      <c r="D101" s="17">
        <v>1000000</v>
      </c>
      <c r="E101" s="17">
        <v>1000000</v>
      </c>
      <c r="F101" s="17">
        <f>AVERAGE(Table14369011725[[#This Row],[Teste 1]:[Teste 3]])</f>
        <v>1000000</v>
      </c>
      <c r="G101" s="16"/>
      <c r="H101" s="16" t="s">
        <v>16</v>
      </c>
      <c r="I101" s="16" t="s">
        <v>11</v>
      </c>
      <c r="J101" s="17">
        <v>1000000</v>
      </c>
      <c r="K101" s="17">
        <v>1000000</v>
      </c>
      <c r="L101" s="17">
        <v>1000000</v>
      </c>
      <c r="M101" s="17">
        <f>AVERAGE(Table1436901172525[[#This Row],[Teste 1]:[Teste 3]])</f>
        <v>1000000</v>
      </c>
      <c r="N101" s="16"/>
      <c r="O101" s="16" t="s">
        <v>16</v>
      </c>
      <c r="P101" s="16" t="s">
        <v>11</v>
      </c>
      <c r="Q101" s="17">
        <v>1000000</v>
      </c>
      <c r="R101" s="17">
        <v>1000000</v>
      </c>
      <c r="S101" s="17">
        <v>1000000</v>
      </c>
      <c r="T101" s="17">
        <f>AVERAGE(Table1436901172537[[#This Row],[Teste 1]:[Teste 3]])</f>
        <v>1000000</v>
      </c>
    </row>
    <row r="102" spans="1:20" x14ac:dyDescent="0.25">
      <c r="A102" s="16" t="s">
        <v>3</v>
      </c>
      <c r="B102" s="16" t="s">
        <v>4</v>
      </c>
      <c r="C102" s="17">
        <v>3</v>
      </c>
      <c r="D102" s="17">
        <v>3</v>
      </c>
      <c r="E102" s="17">
        <v>3</v>
      </c>
      <c r="F102" s="17">
        <f>AVERAGE(Table14369011725[[#This Row],[Teste 1]:[Teste 3]])</f>
        <v>3</v>
      </c>
      <c r="G102" s="16"/>
      <c r="H102" s="16" t="s">
        <v>3</v>
      </c>
      <c r="I102" s="16" t="s">
        <v>4</v>
      </c>
      <c r="J102" s="17">
        <v>3</v>
      </c>
      <c r="K102" s="17">
        <v>3</v>
      </c>
      <c r="L102" s="17">
        <v>3</v>
      </c>
      <c r="M102" s="17">
        <f>AVERAGE(Table1436901172525[[#This Row],[Teste 1]:[Teste 3]])</f>
        <v>3</v>
      </c>
      <c r="N102" s="16"/>
      <c r="O102" s="16" t="s">
        <v>3</v>
      </c>
      <c r="P102" s="16" t="s">
        <v>4</v>
      </c>
      <c r="Q102" s="17">
        <v>3</v>
      </c>
      <c r="R102" s="17">
        <v>3</v>
      </c>
      <c r="S102" s="17">
        <v>3</v>
      </c>
      <c r="T102" s="17">
        <f>AVERAGE(Table1436901172537[[#This Row],[Teste 1]:[Teste 3]])</f>
        <v>3</v>
      </c>
    </row>
    <row r="103" spans="1:20" x14ac:dyDescent="0.25">
      <c r="A103" s="16" t="s">
        <v>3</v>
      </c>
      <c r="B103" s="16" t="s">
        <v>5</v>
      </c>
      <c r="C103" s="17">
        <v>0.66666666666666596</v>
      </c>
      <c r="D103" s="17">
        <v>1</v>
      </c>
      <c r="E103" s="17">
        <v>0.66666666666666596</v>
      </c>
      <c r="F103" s="17">
        <f>AVERAGE(Table14369011725[[#This Row],[Teste 1]:[Teste 3]])</f>
        <v>0.77777777777777735</v>
      </c>
      <c r="G103" s="16"/>
      <c r="H103" s="16" t="s">
        <v>3</v>
      </c>
      <c r="I103" s="16" t="s">
        <v>5</v>
      </c>
      <c r="J103" s="17">
        <v>1.33</v>
      </c>
      <c r="K103" s="17">
        <v>1.33</v>
      </c>
      <c r="L103" s="17">
        <v>1.33</v>
      </c>
      <c r="M103" s="17">
        <f>AVERAGE(Table1436901172525[[#This Row],[Teste 1]:[Teste 3]])</f>
        <v>1.33</v>
      </c>
      <c r="N103" s="16"/>
      <c r="O103" s="16" t="s">
        <v>3</v>
      </c>
      <c r="P103" s="16" t="s">
        <v>5</v>
      </c>
      <c r="Q103" s="17">
        <v>638.66666666666595</v>
      </c>
      <c r="R103" s="17">
        <v>593</v>
      </c>
      <c r="S103" s="17">
        <v>766</v>
      </c>
      <c r="T103" s="17">
        <f>AVERAGE(Table1436901172537[[#This Row],[Teste 1]:[Teste 3]])</f>
        <v>665.88888888888869</v>
      </c>
    </row>
    <row r="104" spans="1:20" x14ac:dyDescent="0.25">
      <c r="A104" s="16" t="s">
        <v>3</v>
      </c>
      <c r="B104" s="16" t="s">
        <v>6</v>
      </c>
      <c r="C104" s="17">
        <v>0</v>
      </c>
      <c r="D104" s="17">
        <v>0</v>
      </c>
      <c r="E104" s="17">
        <v>0</v>
      </c>
      <c r="F104" s="17">
        <f>AVERAGE(Table14369011725[[#This Row],[Teste 1]:[Teste 3]])</f>
        <v>0</v>
      </c>
      <c r="G104" s="16"/>
      <c r="H104" s="16" t="s">
        <v>3</v>
      </c>
      <c r="I104" s="16" t="s">
        <v>6</v>
      </c>
      <c r="J104" s="17">
        <v>1</v>
      </c>
      <c r="K104" s="17">
        <v>1</v>
      </c>
      <c r="L104" s="17">
        <v>1</v>
      </c>
      <c r="M104" s="17">
        <f>AVERAGE(Table1436901172525[[#This Row],[Teste 1]:[Teste 3]])</f>
        <v>1</v>
      </c>
      <c r="N104" s="16"/>
      <c r="O104" s="16" t="s">
        <v>3</v>
      </c>
      <c r="P104" s="16" t="s">
        <v>6</v>
      </c>
      <c r="Q104" s="17">
        <v>1</v>
      </c>
      <c r="R104" s="17">
        <v>1</v>
      </c>
      <c r="S104" s="17">
        <v>1</v>
      </c>
      <c r="T104" s="17">
        <f>AVERAGE(Table1436901172537[[#This Row],[Teste 1]:[Teste 3]])</f>
        <v>1</v>
      </c>
    </row>
    <row r="105" spans="1:20" x14ac:dyDescent="0.25">
      <c r="A105" s="16" t="s">
        <v>3</v>
      </c>
      <c r="B105" s="16" t="s">
        <v>7</v>
      </c>
      <c r="C105" s="17">
        <v>2</v>
      </c>
      <c r="D105" s="17">
        <v>2</v>
      </c>
      <c r="E105" s="17">
        <v>2</v>
      </c>
      <c r="F105" s="17">
        <f>AVERAGE(Table14369011725[[#This Row],[Teste 1]:[Teste 3]])</f>
        <v>2</v>
      </c>
      <c r="G105" s="16"/>
      <c r="H105" s="16" t="s">
        <v>3</v>
      </c>
      <c r="I105" s="16" t="s">
        <v>7</v>
      </c>
      <c r="J105" s="17">
        <v>7</v>
      </c>
      <c r="K105" s="17">
        <v>7</v>
      </c>
      <c r="L105" s="17">
        <v>7</v>
      </c>
      <c r="M105" s="17">
        <f>AVERAGE(Table1436901172525[[#This Row],[Teste 1]:[Teste 3]])</f>
        <v>7</v>
      </c>
      <c r="N105" s="16"/>
      <c r="O105" s="16" t="s">
        <v>3</v>
      </c>
      <c r="P105" s="16" t="s">
        <v>7</v>
      </c>
      <c r="Q105" s="17">
        <v>1910</v>
      </c>
      <c r="R105" s="17">
        <v>1772</v>
      </c>
      <c r="S105" s="17">
        <v>2291</v>
      </c>
      <c r="T105" s="17">
        <f>AVERAGE(Table1436901172537[[#This Row],[Teste 1]:[Teste 3]])</f>
        <v>1991</v>
      </c>
    </row>
    <row r="106" spans="1:20" x14ac:dyDescent="0.25">
      <c r="A106" s="16" t="s">
        <v>3</v>
      </c>
      <c r="B106" s="16" t="s">
        <v>8</v>
      </c>
      <c r="C106" s="17">
        <v>2</v>
      </c>
      <c r="D106" s="17">
        <v>2</v>
      </c>
      <c r="E106" s="17">
        <v>2</v>
      </c>
      <c r="F106" s="17">
        <f>AVERAGE(Table14369011725[[#This Row],[Teste 1]:[Teste 3]])</f>
        <v>2</v>
      </c>
      <c r="G106" s="16"/>
      <c r="H106" s="16" t="s">
        <v>3</v>
      </c>
      <c r="I106" s="16" t="s">
        <v>8</v>
      </c>
      <c r="J106" s="17">
        <v>7</v>
      </c>
      <c r="K106" s="17">
        <v>7</v>
      </c>
      <c r="L106" s="17">
        <v>7</v>
      </c>
      <c r="M106" s="17">
        <f>AVERAGE(Table1436901172525[[#This Row],[Teste 1]:[Teste 3]])</f>
        <v>7</v>
      </c>
      <c r="N106" s="16"/>
      <c r="O106" s="16" t="s">
        <v>3</v>
      </c>
      <c r="P106" s="16" t="s">
        <v>8</v>
      </c>
      <c r="Q106" s="17">
        <v>1910</v>
      </c>
      <c r="R106" s="17">
        <v>1772</v>
      </c>
      <c r="S106" s="17">
        <v>2291</v>
      </c>
      <c r="T106" s="17">
        <f>AVERAGE(Table1436901172537[[#This Row],[Teste 1]:[Teste 3]])</f>
        <v>1991</v>
      </c>
    </row>
    <row r="107" spans="1:20" x14ac:dyDescent="0.25">
      <c r="A107" s="16" t="s">
        <v>3</v>
      </c>
      <c r="B107" s="16" t="s">
        <v>9</v>
      </c>
      <c r="C107" s="17">
        <v>2</v>
      </c>
      <c r="D107" s="17">
        <v>2</v>
      </c>
      <c r="E107" s="17">
        <v>2</v>
      </c>
      <c r="F107" s="17">
        <f>AVERAGE(Table14369011725[[#This Row],[Teste 1]:[Teste 3]])</f>
        <v>2</v>
      </c>
      <c r="G107" s="16"/>
      <c r="H107" s="16" t="s">
        <v>3</v>
      </c>
      <c r="I107" s="16" t="s">
        <v>9</v>
      </c>
      <c r="J107" s="17">
        <v>7</v>
      </c>
      <c r="K107" s="17">
        <v>7</v>
      </c>
      <c r="L107" s="17">
        <v>7</v>
      </c>
      <c r="M107" s="17">
        <f>AVERAGE(Table1436901172525[[#This Row],[Teste 1]:[Teste 3]])</f>
        <v>7</v>
      </c>
      <c r="N107" s="16"/>
      <c r="O107" s="16" t="s">
        <v>3</v>
      </c>
      <c r="P107" s="16" t="s">
        <v>9</v>
      </c>
      <c r="Q107" s="17">
        <v>1910</v>
      </c>
      <c r="R107" s="17">
        <v>1772</v>
      </c>
      <c r="S107" s="17">
        <v>2291</v>
      </c>
      <c r="T107" s="17">
        <f>AVERAGE(Table1436901172537[[#This Row],[Teste 1]:[Teste 3]])</f>
        <v>1991</v>
      </c>
    </row>
    <row r="108" spans="1:20" x14ac:dyDescent="0.25">
      <c r="A108" s="16"/>
      <c r="B108" s="16"/>
      <c r="C108" s="17"/>
      <c r="D108" s="17"/>
      <c r="E108" s="17"/>
      <c r="F108" s="17"/>
      <c r="G108" s="16"/>
      <c r="H108" s="16"/>
      <c r="I108" s="16"/>
      <c r="J108" s="17"/>
      <c r="K108" s="17"/>
      <c r="L108" s="17"/>
      <c r="M108" s="17"/>
      <c r="N108" s="16"/>
      <c r="O108" s="16"/>
      <c r="P108" s="16"/>
      <c r="Q108" s="17"/>
      <c r="R108" s="17"/>
      <c r="S108" s="17"/>
      <c r="T108" s="17"/>
    </row>
    <row r="109" spans="1:20" x14ac:dyDescent="0.25">
      <c r="A109" s="16"/>
      <c r="B109" s="16"/>
      <c r="C109" s="17"/>
      <c r="D109" s="17"/>
      <c r="E109" s="17"/>
      <c r="F109" s="17"/>
      <c r="G109" s="16"/>
      <c r="H109" s="16"/>
      <c r="I109" s="16"/>
      <c r="J109" s="17"/>
      <c r="K109" s="17"/>
      <c r="L109" s="17"/>
      <c r="M109" s="17"/>
      <c r="N109" s="16"/>
      <c r="O109" s="16"/>
      <c r="P109" s="16"/>
      <c r="Q109" s="17"/>
      <c r="R109" s="17"/>
      <c r="S109" s="17"/>
      <c r="T109" s="17"/>
    </row>
    <row r="110" spans="1:20" x14ac:dyDescent="0.25">
      <c r="A110" s="16"/>
      <c r="B110" s="16"/>
      <c r="C110" s="17"/>
      <c r="D110" s="17"/>
      <c r="E110" s="17"/>
      <c r="F110" s="17"/>
      <c r="G110" s="16"/>
      <c r="H110" s="16"/>
      <c r="I110" s="16"/>
      <c r="J110" s="17"/>
      <c r="K110" s="17"/>
      <c r="L110" s="17"/>
      <c r="M110" s="17"/>
      <c r="N110" s="16"/>
      <c r="O110" s="16"/>
      <c r="P110" s="16"/>
      <c r="Q110" s="17"/>
      <c r="R110" s="17"/>
      <c r="S110" s="17"/>
      <c r="T110" s="17"/>
    </row>
    <row r="112" spans="1:20" ht="15.75" x14ac:dyDescent="0.25">
      <c r="A112" s="2" t="s">
        <v>73</v>
      </c>
      <c r="H112" s="2" t="s">
        <v>73</v>
      </c>
      <c r="O112" s="2" t="s">
        <v>73</v>
      </c>
    </row>
    <row r="113" spans="1:20" x14ac:dyDescent="0.25">
      <c r="A113" s="16" t="s">
        <v>59</v>
      </c>
      <c r="B113" s="16" t="s">
        <v>66</v>
      </c>
      <c r="C113" s="16" t="s">
        <v>82</v>
      </c>
      <c r="D113" s="16" t="s">
        <v>64</v>
      </c>
      <c r="E113" s="16" t="s">
        <v>63</v>
      </c>
      <c r="F113" s="16" t="s">
        <v>18</v>
      </c>
      <c r="G113" s="16"/>
      <c r="H113" s="16" t="s">
        <v>12</v>
      </c>
      <c r="I113" s="16" t="s">
        <v>66</v>
      </c>
      <c r="J113" s="16" t="s">
        <v>82</v>
      </c>
      <c r="K113" s="16" t="s">
        <v>64</v>
      </c>
      <c r="L113" s="16" t="s">
        <v>63</v>
      </c>
      <c r="M113" s="16" t="s">
        <v>18</v>
      </c>
      <c r="N113" s="16"/>
      <c r="O113" s="16" t="s">
        <v>13</v>
      </c>
      <c r="P113" s="16" t="s">
        <v>66</v>
      </c>
      <c r="Q113" s="16" t="s">
        <v>82</v>
      </c>
      <c r="R113" s="16" t="s">
        <v>64</v>
      </c>
      <c r="S113" s="16" t="s">
        <v>63</v>
      </c>
      <c r="T113" s="16" t="s">
        <v>18</v>
      </c>
    </row>
    <row r="114" spans="1:20" x14ac:dyDescent="0.25">
      <c r="A114" s="16" t="s">
        <v>0</v>
      </c>
      <c r="B114" s="16" t="s">
        <v>1</v>
      </c>
      <c r="C114" s="17">
        <v>55989</v>
      </c>
      <c r="D114" s="17">
        <v>46533</v>
      </c>
      <c r="E114" s="17">
        <v>58599</v>
      </c>
      <c r="F114" s="17">
        <f>AVERAGE(Table14369011738[[#This Row],[Teste 1]:[Teste 3]])</f>
        <v>53707</v>
      </c>
      <c r="G114" s="16"/>
      <c r="H114" s="16" t="s">
        <v>0</v>
      </c>
      <c r="I114" s="16" t="s">
        <v>1</v>
      </c>
      <c r="J114" s="17">
        <v>10262</v>
      </c>
      <c r="K114" s="17">
        <v>95899</v>
      </c>
      <c r="L114" s="17">
        <v>98798</v>
      </c>
      <c r="M114" s="17">
        <f>AVERAGE(Table1436901173826[[#This Row],[Teste 1]:[Teste 3]])</f>
        <v>68319.666666666672</v>
      </c>
      <c r="N114" s="16"/>
      <c r="O114" s="16" t="s">
        <v>0</v>
      </c>
      <c r="P114" s="16" t="s">
        <v>1</v>
      </c>
      <c r="Q114" s="17">
        <v>93056</v>
      </c>
      <c r="R114" s="17">
        <v>87181</v>
      </c>
      <c r="S114" s="17">
        <v>89816</v>
      </c>
      <c r="T114" s="17">
        <f>AVERAGE(Table1436901173838[[#This Row],[Teste 1]:[Teste 3]])</f>
        <v>90017.666666666672</v>
      </c>
    </row>
    <row r="115" spans="1:20" x14ac:dyDescent="0.25">
      <c r="A115" s="16" t="s">
        <v>0</v>
      </c>
      <c r="B115" s="16" t="s">
        <v>2</v>
      </c>
      <c r="C115" s="17">
        <v>17860.651199342701</v>
      </c>
      <c r="D115" s="17">
        <v>21490.125287430401</v>
      </c>
      <c r="E115" s="17">
        <v>17065.137630334899</v>
      </c>
      <c r="F115" s="17">
        <f>AVERAGE(Table14369011738[[#This Row],[Teste 1]:[Teste 3]])</f>
        <v>18805.304705702667</v>
      </c>
      <c r="G115" s="16"/>
      <c r="H115" s="16" t="s">
        <v>0</v>
      </c>
      <c r="I115" s="16" t="s">
        <v>2</v>
      </c>
      <c r="J115" s="17">
        <v>9769.2900000000009</v>
      </c>
      <c r="K115" s="17">
        <v>10427.629999999999</v>
      </c>
      <c r="L115" s="17">
        <v>10121.700000000001</v>
      </c>
      <c r="M115" s="17">
        <f>AVERAGE(Table1436901173826[[#This Row],[Teste 1]:[Teste 3]])</f>
        <v>10106.206666666667</v>
      </c>
      <c r="N115" s="16"/>
      <c r="O115" s="16" t="s">
        <v>0</v>
      </c>
      <c r="P115" s="16" t="s">
        <v>2</v>
      </c>
      <c r="Q115" s="17">
        <v>10746.2173314993</v>
      </c>
      <c r="R115" s="17">
        <v>11470.389190305201</v>
      </c>
      <c r="S115" s="17">
        <v>11133.873697336699</v>
      </c>
      <c r="T115" s="17">
        <f>AVERAGE(Table1436901173838[[#This Row],[Teste 1]:[Teste 3]])</f>
        <v>11116.826739713733</v>
      </c>
    </row>
    <row r="116" spans="1:20" x14ac:dyDescent="0.25">
      <c r="A116" s="16" t="s">
        <v>16</v>
      </c>
      <c r="B116" s="16" t="s">
        <v>4</v>
      </c>
      <c r="C116" s="17">
        <v>1000000</v>
      </c>
      <c r="D116" s="17">
        <v>1000000</v>
      </c>
      <c r="E116" s="17">
        <v>1000000</v>
      </c>
      <c r="F116" s="17">
        <f>AVERAGE(Table14369011738[[#This Row],[Teste 1]:[Teste 3]])</f>
        <v>1000000</v>
      </c>
      <c r="G116" s="16"/>
      <c r="H116" s="16" t="s">
        <v>16</v>
      </c>
      <c r="I116" s="16" t="s">
        <v>4</v>
      </c>
      <c r="J116" s="17">
        <v>1000000</v>
      </c>
      <c r="K116" s="17">
        <v>1000000</v>
      </c>
      <c r="L116" s="17">
        <v>1000000</v>
      </c>
      <c r="M116" s="17">
        <f>AVERAGE(Table1436901173826[[#This Row],[Teste 1]:[Teste 3]])</f>
        <v>1000000</v>
      </c>
      <c r="N116" s="16"/>
      <c r="O116" s="16" t="s">
        <v>16</v>
      </c>
      <c r="P116" s="16" t="s">
        <v>4</v>
      </c>
      <c r="Q116" s="17">
        <v>1000000</v>
      </c>
      <c r="R116" s="17">
        <v>1000000</v>
      </c>
      <c r="S116" s="17">
        <v>1000000</v>
      </c>
      <c r="T116" s="17">
        <f>AVERAGE(Table1436901173838[[#This Row],[Teste 1]:[Teste 3]])</f>
        <v>1000000</v>
      </c>
    </row>
    <row r="117" spans="1:20" x14ac:dyDescent="0.25">
      <c r="A117" s="16" t="s">
        <v>16</v>
      </c>
      <c r="B117" s="16" t="s">
        <v>5</v>
      </c>
      <c r="C117" s="17">
        <v>326.41967799999998</v>
      </c>
      <c r="D117" s="17">
        <v>267.51220899999998</v>
      </c>
      <c r="E117" s="17">
        <v>340.98416300000002</v>
      </c>
      <c r="F117" s="17">
        <f>AVERAGE(Table14369011738[[#This Row],[Teste 1]:[Teste 3]])</f>
        <v>311.63868333333335</v>
      </c>
      <c r="G117" s="16"/>
      <c r="H117" s="16" t="s">
        <v>16</v>
      </c>
      <c r="I117" s="16" t="s">
        <v>5</v>
      </c>
      <c r="J117" s="17">
        <v>605.51</v>
      </c>
      <c r="K117" s="17">
        <v>566.1</v>
      </c>
      <c r="L117" s="17">
        <v>584.15</v>
      </c>
      <c r="M117" s="17">
        <f>AVERAGE(Table1436901173826[[#This Row],[Teste 1]:[Teste 3]])</f>
        <v>585.25333333333344</v>
      </c>
      <c r="N117" s="16"/>
      <c r="O117" s="16" t="s">
        <v>16</v>
      </c>
      <c r="P117" s="16" t="s">
        <v>5</v>
      </c>
      <c r="Q117" s="17">
        <v>550.46436300000005</v>
      </c>
      <c r="R117" s="17">
        <v>514.63099699999998</v>
      </c>
      <c r="S117" s="17">
        <v>531.04282899999998</v>
      </c>
      <c r="T117" s="17">
        <f>AVERAGE(Table1436901173838[[#This Row],[Teste 1]:[Teste 3]])</f>
        <v>532.046063</v>
      </c>
    </row>
    <row r="118" spans="1:20" x14ac:dyDescent="0.25">
      <c r="A118" s="16" t="s">
        <v>16</v>
      </c>
      <c r="B118" s="16" t="s">
        <v>6</v>
      </c>
      <c r="C118" s="17">
        <v>64</v>
      </c>
      <c r="D118" s="17">
        <v>71</v>
      </c>
      <c r="E118" s="17">
        <v>73</v>
      </c>
      <c r="F118" s="17">
        <f>AVERAGE(Table14369011738[[#This Row],[Teste 1]:[Teste 3]])</f>
        <v>69.333333333333329</v>
      </c>
      <c r="G118" s="16"/>
      <c r="H118" s="16" t="s">
        <v>16</v>
      </c>
      <c r="I118" s="16" t="s">
        <v>6</v>
      </c>
      <c r="J118" s="17">
        <v>110</v>
      </c>
      <c r="K118" s="17">
        <v>108</v>
      </c>
      <c r="L118" s="17">
        <v>117</v>
      </c>
      <c r="M118" s="17">
        <f>AVERAGE(Table1436901173826[[#This Row],[Teste 1]:[Teste 3]])</f>
        <v>111.66666666666667</v>
      </c>
      <c r="N118" s="16"/>
      <c r="O118" s="16" t="s">
        <v>16</v>
      </c>
      <c r="P118" s="16" t="s">
        <v>6</v>
      </c>
      <c r="Q118" s="17">
        <v>100</v>
      </c>
      <c r="R118" s="17">
        <v>98</v>
      </c>
      <c r="S118" s="17">
        <v>106</v>
      </c>
      <c r="T118" s="17">
        <f>AVERAGE(Table1436901173838[[#This Row],[Teste 1]:[Teste 3]])</f>
        <v>101.33333333333333</v>
      </c>
    </row>
    <row r="119" spans="1:20" x14ac:dyDescent="0.25">
      <c r="A119" s="16" t="s">
        <v>16</v>
      </c>
      <c r="B119" s="16" t="s">
        <v>7</v>
      </c>
      <c r="C119" s="17">
        <v>2084863</v>
      </c>
      <c r="D119" s="17">
        <v>1440767</v>
      </c>
      <c r="E119" s="17">
        <v>3446783</v>
      </c>
      <c r="F119" s="17">
        <f>AVERAGE(Table14369011738[[#This Row],[Teste 1]:[Teste 3]])</f>
        <v>2324137.6666666665</v>
      </c>
      <c r="G119" s="16"/>
      <c r="H119" s="16" t="s">
        <v>16</v>
      </c>
      <c r="I119" s="16" t="s">
        <v>7</v>
      </c>
      <c r="J119" s="17">
        <v>80185</v>
      </c>
      <c r="K119" s="17">
        <v>51250</v>
      </c>
      <c r="L119" s="17">
        <v>38754</v>
      </c>
      <c r="M119" s="17">
        <f>AVERAGE(Table1436901173826[[#This Row],[Teste 1]:[Teste 3]])</f>
        <v>56729.666666666664</v>
      </c>
      <c r="N119" s="16"/>
      <c r="O119" s="16" t="s">
        <v>16</v>
      </c>
      <c r="P119" s="16" t="s">
        <v>7</v>
      </c>
      <c r="Q119" s="17">
        <v>72895</v>
      </c>
      <c r="R119" s="17">
        <v>46591</v>
      </c>
      <c r="S119" s="17">
        <v>35231</v>
      </c>
      <c r="T119" s="17">
        <f>AVERAGE(Table1436901173838[[#This Row],[Teste 1]:[Teste 3]])</f>
        <v>51572.333333333336</v>
      </c>
    </row>
    <row r="120" spans="1:20" x14ac:dyDescent="0.25">
      <c r="A120" s="16" t="s">
        <v>16</v>
      </c>
      <c r="B120" s="16" t="s">
        <v>8</v>
      </c>
      <c r="C120" s="17">
        <v>276</v>
      </c>
      <c r="D120" s="17">
        <v>256</v>
      </c>
      <c r="E120" s="17">
        <v>349</v>
      </c>
      <c r="F120" s="17">
        <f>AVERAGE(Table14369011738[[#This Row],[Teste 1]:[Teste 3]])</f>
        <v>293.66666666666669</v>
      </c>
      <c r="G120" s="16"/>
      <c r="H120" s="16" t="s">
        <v>16</v>
      </c>
      <c r="I120" s="16" t="s">
        <v>8</v>
      </c>
      <c r="J120" s="17">
        <v>1920</v>
      </c>
      <c r="K120" s="17">
        <v>1821</v>
      </c>
      <c r="L120" s="17">
        <v>1879</v>
      </c>
      <c r="M120" s="17">
        <f>AVERAGE(Table1436901173826[[#This Row],[Teste 1]:[Teste 3]])</f>
        <v>1873.3333333333333</v>
      </c>
      <c r="N120" s="16"/>
      <c r="O120" s="16" t="s">
        <v>16</v>
      </c>
      <c r="P120" s="16" t="s">
        <v>8</v>
      </c>
      <c r="Q120" s="17">
        <v>1745</v>
      </c>
      <c r="R120" s="17">
        <v>1655</v>
      </c>
      <c r="S120" s="17">
        <v>1708</v>
      </c>
      <c r="T120" s="17">
        <f>AVERAGE(Table1436901173838[[#This Row],[Teste 1]:[Teste 3]])</f>
        <v>1702.6666666666667</v>
      </c>
    </row>
    <row r="121" spans="1:20" x14ac:dyDescent="0.25">
      <c r="A121" s="16" t="s">
        <v>16</v>
      </c>
      <c r="B121" s="16" t="s">
        <v>9</v>
      </c>
      <c r="C121" s="17">
        <v>950</v>
      </c>
      <c r="D121" s="17">
        <v>517</v>
      </c>
      <c r="E121" s="17">
        <v>785</v>
      </c>
      <c r="F121" s="17">
        <f>AVERAGE(Table14369011738[[#This Row],[Teste 1]:[Teste 3]])</f>
        <v>750.66666666666663</v>
      </c>
      <c r="G121" s="16"/>
      <c r="H121" s="16" t="s">
        <v>16</v>
      </c>
      <c r="I121" s="16" t="s">
        <v>9</v>
      </c>
      <c r="J121" s="17">
        <v>2377</v>
      </c>
      <c r="K121" s="17">
        <v>2208</v>
      </c>
      <c r="L121" s="17">
        <v>2296</v>
      </c>
      <c r="M121" s="17">
        <f>AVERAGE(Table1436901173826[[#This Row],[Teste 1]:[Teste 3]])</f>
        <v>2293.6666666666665</v>
      </c>
      <c r="N121" s="16"/>
      <c r="O121" s="16" t="s">
        <v>16</v>
      </c>
      <c r="P121" s="16" t="s">
        <v>9</v>
      </c>
      <c r="Q121" s="17">
        <v>2161</v>
      </c>
      <c r="R121" s="17">
        <v>2007</v>
      </c>
      <c r="S121" s="17">
        <v>2087</v>
      </c>
      <c r="T121" s="17">
        <f>AVERAGE(Table1436901173838[[#This Row],[Teste 1]:[Teste 3]])</f>
        <v>2085</v>
      </c>
    </row>
    <row r="122" spans="1:20" x14ac:dyDescent="0.25">
      <c r="A122" s="16" t="s">
        <v>16</v>
      </c>
      <c r="B122" s="16" t="s">
        <v>11</v>
      </c>
      <c r="C122" s="17">
        <v>1000000</v>
      </c>
      <c r="D122" s="17">
        <v>1000000</v>
      </c>
      <c r="E122" s="17">
        <v>1000000</v>
      </c>
      <c r="F122" s="17">
        <f>AVERAGE(Table14369011738[[#This Row],[Teste 1]:[Teste 3]])</f>
        <v>1000000</v>
      </c>
      <c r="G122" s="16"/>
      <c r="H122" s="16" t="s">
        <v>16</v>
      </c>
      <c r="I122" s="16" t="s">
        <v>11</v>
      </c>
      <c r="J122" s="17">
        <v>1000000</v>
      </c>
      <c r="K122" s="17">
        <v>1000000</v>
      </c>
      <c r="L122" s="17">
        <v>1000000</v>
      </c>
      <c r="M122" s="17">
        <f>AVERAGE(Table1436901173826[[#This Row],[Teste 1]:[Teste 3]])</f>
        <v>1000000</v>
      </c>
      <c r="N122" s="16"/>
      <c r="O122" s="16" t="s">
        <v>16</v>
      </c>
      <c r="P122" s="16" t="s">
        <v>11</v>
      </c>
      <c r="Q122" s="17">
        <v>1000000</v>
      </c>
      <c r="R122" s="17">
        <v>1000000</v>
      </c>
      <c r="S122" s="17">
        <v>1000000</v>
      </c>
      <c r="T122" s="17">
        <f>AVERAGE(Table1436901173838[[#This Row],[Teste 1]:[Teste 3]])</f>
        <v>1000000</v>
      </c>
    </row>
    <row r="123" spans="1:20" x14ac:dyDescent="0.25">
      <c r="A123" s="16" t="s">
        <v>3</v>
      </c>
      <c r="B123" s="16" t="s">
        <v>4</v>
      </c>
      <c r="C123" s="17">
        <v>6</v>
      </c>
      <c r="D123" s="17">
        <v>6</v>
      </c>
      <c r="E123" s="17">
        <v>6</v>
      </c>
      <c r="F123" s="17">
        <f>AVERAGE(Table14369011738[[#This Row],[Teste 1]:[Teste 3]])</f>
        <v>6</v>
      </c>
      <c r="G123" s="16"/>
      <c r="H123" s="16" t="s">
        <v>3</v>
      </c>
      <c r="I123" s="16" t="s">
        <v>4</v>
      </c>
      <c r="J123" s="17">
        <v>6</v>
      </c>
      <c r="K123" s="17">
        <v>6</v>
      </c>
      <c r="L123" s="17">
        <v>6</v>
      </c>
      <c r="M123" s="17">
        <f>AVERAGE(Table1436901173826[[#This Row],[Teste 1]:[Teste 3]])</f>
        <v>6</v>
      </c>
      <c r="N123" s="16"/>
      <c r="O123" s="16" t="s">
        <v>3</v>
      </c>
      <c r="P123" s="16" t="s">
        <v>4</v>
      </c>
      <c r="Q123" s="17">
        <v>6</v>
      </c>
      <c r="R123" s="17">
        <v>6</v>
      </c>
      <c r="S123" s="17">
        <v>6</v>
      </c>
      <c r="T123" s="17">
        <f>AVERAGE(Table1436901173838[[#This Row],[Teste 1]:[Teste 3]])</f>
        <v>6</v>
      </c>
    </row>
    <row r="124" spans="1:20" x14ac:dyDescent="0.25">
      <c r="A124" s="16" t="s">
        <v>3</v>
      </c>
      <c r="B124" s="16" t="s">
        <v>5</v>
      </c>
      <c r="C124" s="17">
        <v>0.66666666666666596</v>
      </c>
      <c r="D124" s="17">
        <v>0.5</v>
      </c>
      <c r="E124" s="17">
        <v>1.5</v>
      </c>
      <c r="F124" s="17">
        <f>AVERAGE(Table14369011738[[#This Row],[Teste 1]:[Teste 3]])</f>
        <v>0.88888888888888873</v>
      </c>
      <c r="G124" s="16"/>
      <c r="H124" s="16" t="s">
        <v>3</v>
      </c>
      <c r="I124" s="16" t="s">
        <v>5</v>
      </c>
      <c r="J124" s="17">
        <v>0.33300000000000002</v>
      </c>
      <c r="K124" s="17">
        <v>1.33</v>
      </c>
      <c r="L124" s="17">
        <v>1.33</v>
      </c>
      <c r="M124" s="17">
        <f>AVERAGE(Table1436901173826[[#This Row],[Teste 1]:[Teste 3]])</f>
        <v>0.99766666666666681</v>
      </c>
      <c r="N124" s="16"/>
      <c r="O124" s="16" t="s">
        <v>3</v>
      </c>
      <c r="P124" s="16" t="s">
        <v>5</v>
      </c>
      <c r="Q124" s="17">
        <v>334.33333333333297</v>
      </c>
      <c r="R124" s="17">
        <v>346</v>
      </c>
      <c r="S124" s="17">
        <v>459</v>
      </c>
      <c r="T124" s="17">
        <f>AVERAGE(Table1436901173838[[#This Row],[Teste 1]:[Teste 3]])</f>
        <v>379.77777777777766</v>
      </c>
    </row>
    <row r="125" spans="1:20" x14ac:dyDescent="0.25">
      <c r="A125" s="16" t="s">
        <v>3</v>
      </c>
      <c r="B125" s="16" t="s">
        <v>6</v>
      </c>
      <c r="C125" s="17">
        <v>0</v>
      </c>
      <c r="D125" s="17">
        <v>0</v>
      </c>
      <c r="E125" s="17">
        <v>1</v>
      </c>
      <c r="F125" s="17">
        <f>AVERAGE(Table14369011738[[#This Row],[Teste 1]:[Teste 3]])</f>
        <v>0.33333333333333331</v>
      </c>
      <c r="G125" s="16"/>
      <c r="H125" s="16" t="s">
        <v>3</v>
      </c>
      <c r="I125" s="16" t="s">
        <v>6</v>
      </c>
      <c r="J125" s="17">
        <v>1</v>
      </c>
      <c r="K125" s="17">
        <v>0.67</v>
      </c>
      <c r="L125" s="17">
        <v>0.67</v>
      </c>
      <c r="M125" s="17">
        <f>AVERAGE(Table1436901173826[[#This Row],[Teste 1]:[Teste 3]])</f>
        <v>0.77999999999999992</v>
      </c>
      <c r="N125" s="16"/>
      <c r="O125" s="16" t="s">
        <v>3</v>
      </c>
      <c r="P125" s="16" t="s">
        <v>6</v>
      </c>
      <c r="Q125" s="17">
        <v>1</v>
      </c>
      <c r="R125" s="17">
        <v>1</v>
      </c>
      <c r="S125" s="17">
        <v>1</v>
      </c>
      <c r="T125" s="17">
        <f>AVERAGE(Table1436901173838[[#This Row],[Teste 1]:[Teste 3]])</f>
        <v>1</v>
      </c>
    </row>
    <row r="126" spans="1:20" x14ac:dyDescent="0.25">
      <c r="A126" s="16" t="s">
        <v>3</v>
      </c>
      <c r="B126" s="16" t="s">
        <v>7</v>
      </c>
      <c r="C126" s="17">
        <v>2</v>
      </c>
      <c r="D126" s="17">
        <v>2</v>
      </c>
      <c r="E126" s="17">
        <v>3</v>
      </c>
      <c r="F126" s="17">
        <f>AVERAGE(Table14369011738[[#This Row],[Teste 1]:[Teste 3]])</f>
        <v>2.3333333333333335</v>
      </c>
      <c r="G126" s="16"/>
      <c r="H126" s="16" t="s">
        <v>3</v>
      </c>
      <c r="I126" s="16" t="s">
        <v>7</v>
      </c>
      <c r="J126" s="17">
        <v>3</v>
      </c>
      <c r="K126" s="17">
        <v>3</v>
      </c>
      <c r="L126" s="17">
        <v>3</v>
      </c>
      <c r="M126" s="17">
        <f>AVERAGE(Table1436901173826[[#This Row],[Teste 1]:[Teste 3]])</f>
        <v>3</v>
      </c>
      <c r="N126" s="16"/>
      <c r="O126" s="16" t="s">
        <v>3</v>
      </c>
      <c r="P126" s="16" t="s">
        <v>7</v>
      </c>
      <c r="Q126" s="17">
        <v>1996</v>
      </c>
      <c r="R126" s="17">
        <v>2065</v>
      </c>
      <c r="S126" s="17">
        <v>2741</v>
      </c>
      <c r="T126" s="17">
        <f>AVERAGE(Table1436901173838[[#This Row],[Teste 1]:[Teste 3]])</f>
        <v>2267.3333333333335</v>
      </c>
    </row>
    <row r="127" spans="1:20" x14ac:dyDescent="0.25">
      <c r="A127" s="16" t="s">
        <v>3</v>
      </c>
      <c r="B127" s="16" t="s">
        <v>8</v>
      </c>
      <c r="C127" s="17">
        <v>2</v>
      </c>
      <c r="D127" s="17">
        <v>2</v>
      </c>
      <c r="E127" s="17">
        <v>3</v>
      </c>
      <c r="F127" s="17">
        <f>AVERAGE(Table14369011738[[#This Row],[Teste 1]:[Teste 3]])</f>
        <v>2.3333333333333335</v>
      </c>
      <c r="G127" s="16"/>
      <c r="H127" s="16" t="s">
        <v>3</v>
      </c>
      <c r="I127" s="16" t="s">
        <v>8</v>
      </c>
      <c r="J127" s="17">
        <v>3</v>
      </c>
      <c r="K127" s="17">
        <v>3</v>
      </c>
      <c r="L127" s="17">
        <v>3</v>
      </c>
      <c r="M127" s="17">
        <f>AVERAGE(Table1436901173826[[#This Row],[Teste 1]:[Teste 3]])</f>
        <v>3</v>
      </c>
      <c r="N127" s="16"/>
      <c r="O127" s="16" t="s">
        <v>3</v>
      </c>
      <c r="P127" s="16" t="s">
        <v>8</v>
      </c>
      <c r="Q127" s="17">
        <v>1996</v>
      </c>
      <c r="R127" s="17">
        <v>2065</v>
      </c>
      <c r="S127" s="17">
        <v>2741</v>
      </c>
      <c r="T127" s="17">
        <f>AVERAGE(Table1436901173838[[#This Row],[Teste 1]:[Teste 3]])</f>
        <v>2267.3333333333335</v>
      </c>
    </row>
    <row r="128" spans="1:20" x14ac:dyDescent="0.25">
      <c r="A128" s="16" t="s">
        <v>3</v>
      </c>
      <c r="B128" s="16" t="s">
        <v>9</v>
      </c>
      <c r="C128" s="17">
        <v>2</v>
      </c>
      <c r="D128" s="17">
        <v>2</v>
      </c>
      <c r="E128" s="17">
        <v>3</v>
      </c>
      <c r="F128" s="17">
        <f>AVERAGE(Table14369011738[[#This Row],[Teste 1]:[Teste 3]])</f>
        <v>2.3333333333333335</v>
      </c>
      <c r="G128" s="16"/>
      <c r="H128" s="16" t="s">
        <v>3</v>
      </c>
      <c r="I128" s="16" t="s">
        <v>9</v>
      </c>
      <c r="J128" s="17">
        <v>3</v>
      </c>
      <c r="K128" s="17">
        <v>3</v>
      </c>
      <c r="L128" s="17">
        <v>3</v>
      </c>
      <c r="M128" s="17">
        <f>AVERAGE(Table1436901173826[[#This Row],[Teste 1]:[Teste 3]])</f>
        <v>3</v>
      </c>
      <c r="N128" s="16"/>
      <c r="O128" s="16" t="s">
        <v>3</v>
      </c>
      <c r="P128" s="16" t="s">
        <v>9</v>
      </c>
      <c r="Q128" s="17">
        <v>1996</v>
      </c>
      <c r="R128" s="17">
        <v>2065</v>
      </c>
      <c r="S128" s="17">
        <v>2741</v>
      </c>
      <c r="T128" s="17">
        <f>AVERAGE(Table1436901173838[[#This Row],[Teste 1]:[Teste 3]])</f>
        <v>2267.3333333333335</v>
      </c>
    </row>
    <row r="129" spans="1:20" x14ac:dyDescent="0.25">
      <c r="A129" s="16"/>
      <c r="B129" s="16"/>
      <c r="C129" s="17"/>
      <c r="D129" s="17"/>
      <c r="E129" s="17"/>
      <c r="F129" s="17"/>
      <c r="G129" s="16"/>
      <c r="H129" s="16"/>
      <c r="I129" s="16"/>
      <c r="J129" s="17"/>
      <c r="K129" s="17"/>
      <c r="L129" s="17"/>
      <c r="M129" s="17"/>
      <c r="N129" s="16"/>
      <c r="O129" s="16"/>
      <c r="P129" s="16"/>
      <c r="Q129" s="17"/>
      <c r="R129" s="17"/>
      <c r="S129" s="17"/>
      <c r="T129" s="17"/>
    </row>
    <row r="130" spans="1:20" x14ac:dyDescent="0.25">
      <c r="A130" s="16"/>
      <c r="B130" s="16"/>
      <c r="C130" s="17"/>
      <c r="D130" s="17"/>
      <c r="E130" s="17"/>
      <c r="F130" s="17"/>
      <c r="G130" s="16"/>
      <c r="H130" s="16"/>
      <c r="I130" s="16"/>
      <c r="J130" s="17"/>
      <c r="K130" s="17"/>
      <c r="L130" s="17"/>
      <c r="M130" s="17"/>
      <c r="N130" s="16"/>
      <c r="O130" s="16"/>
      <c r="P130" s="16"/>
      <c r="Q130" s="17"/>
      <c r="R130" s="17"/>
      <c r="S130" s="17"/>
      <c r="T130" s="17"/>
    </row>
    <row r="131" spans="1:20" x14ac:dyDescent="0.25">
      <c r="A131" s="16"/>
      <c r="B131" s="16"/>
      <c r="C131" s="17"/>
      <c r="D131" s="17"/>
      <c r="E131" s="17"/>
      <c r="F131" s="17"/>
      <c r="G131" s="16"/>
      <c r="H131" s="16"/>
      <c r="I131" s="16"/>
      <c r="J131" s="17"/>
      <c r="K131" s="17"/>
      <c r="L131" s="17"/>
      <c r="M131" s="17"/>
      <c r="N131" s="16"/>
      <c r="O131" s="16"/>
      <c r="P131" s="16"/>
      <c r="Q131" s="17"/>
      <c r="R131" s="17"/>
      <c r="S131" s="17"/>
      <c r="T131" s="17"/>
    </row>
    <row r="134" spans="1:20" ht="15.75" x14ac:dyDescent="0.25">
      <c r="A134" s="2" t="s">
        <v>81</v>
      </c>
      <c r="H134" s="2" t="s">
        <v>81</v>
      </c>
      <c r="O134" s="2" t="s">
        <v>81</v>
      </c>
    </row>
    <row r="135" spans="1:20" ht="15.75" x14ac:dyDescent="0.25">
      <c r="A135" s="2" t="s">
        <v>65</v>
      </c>
      <c r="H135" s="2" t="s">
        <v>65</v>
      </c>
      <c r="O135" s="2" t="s">
        <v>65</v>
      </c>
    </row>
    <row r="136" spans="1:20" x14ac:dyDescent="0.25">
      <c r="A136" s="16" t="s">
        <v>59</v>
      </c>
      <c r="B136" s="16" t="s">
        <v>81</v>
      </c>
      <c r="C136" s="16" t="s">
        <v>82</v>
      </c>
      <c r="D136" s="16" t="s">
        <v>64</v>
      </c>
      <c r="E136" s="16" t="s">
        <v>63</v>
      </c>
      <c r="F136" s="16" t="s">
        <v>18</v>
      </c>
      <c r="G136" s="16"/>
      <c r="H136" s="16" t="s">
        <v>12</v>
      </c>
      <c r="I136" s="16" t="s">
        <v>81</v>
      </c>
      <c r="J136" s="16" t="s">
        <v>82</v>
      </c>
      <c r="K136" s="16" t="s">
        <v>64</v>
      </c>
      <c r="L136" s="16" t="s">
        <v>63</v>
      </c>
      <c r="M136" s="16" t="s">
        <v>18</v>
      </c>
      <c r="N136" s="16"/>
      <c r="O136" s="16" t="s">
        <v>13</v>
      </c>
      <c r="P136" s="16" t="s">
        <v>81</v>
      </c>
      <c r="Q136" s="16" t="s">
        <v>82</v>
      </c>
      <c r="R136" s="16" t="s">
        <v>64</v>
      </c>
      <c r="S136" s="16" t="s">
        <v>63</v>
      </c>
      <c r="T136" s="16" t="s">
        <v>18</v>
      </c>
    </row>
    <row r="137" spans="1:20" x14ac:dyDescent="0.25">
      <c r="A137" s="16" t="s">
        <v>0</v>
      </c>
      <c r="B137" s="16" t="s">
        <v>1</v>
      </c>
      <c r="C137" s="17">
        <v>6214093</v>
      </c>
      <c r="D137" s="17">
        <v>6753884</v>
      </c>
      <c r="E137" s="17">
        <v>6752933</v>
      </c>
      <c r="F137" s="17">
        <f>AVERAGE(Table1436901179[[#This Row],[Teste 1]:[Teste 3]])</f>
        <v>6573636.666666667</v>
      </c>
      <c r="G137" s="16"/>
      <c r="H137" s="16" t="s">
        <v>0</v>
      </c>
      <c r="I137" s="16" t="s">
        <v>1</v>
      </c>
      <c r="J137" s="17">
        <v>6966814</v>
      </c>
      <c r="K137" s="17">
        <v>7174704</v>
      </c>
      <c r="L137" s="17">
        <v>7353801</v>
      </c>
      <c r="M137" s="17">
        <f>AVERAGE(Table143690117927[[#This Row],[Teste 1]:[Teste 3]])</f>
        <v>7165106.333333333</v>
      </c>
      <c r="N137" s="16"/>
      <c r="O137" s="16" t="s">
        <v>0</v>
      </c>
      <c r="P137" s="16" t="s">
        <v>1</v>
      </c>
      <c r="Q137" s="17">
        <v>4172138</v>
      </c>
      <c r="R137" s="17">
        <v>4628841</v>
      </c>
      <c r="S137" s="17">
        <v>4744388</v>
      </c>
      <c r="T137" s="17">
        <f>AVERAGE(Table143690117939[[#This Row],[Teste 1]:[Teste 3]])</f>
        <v>4515122.333333333</v>
      </c>
    </row>
    <row r="138" spans="1:20" x14ac:dyDescent="0.25">
      <c r="A138" s="16" t="s">
        <v>0</v>
      </c>
      <c r="B138" s="16" t="s">
        <v>2</v>
      </c>
      <c r="C138" s="17">
        <v>2372.9898699435398</v>
      </c>
      <c r="D138" s="17">
        <v>1480.6295162901799</v>
      </c>
      <c r="E138" s="17">
        <v>1480.8380299345399</v>
      </c>
      <c r="F138" s="17">
        <f>AVERAGE(Table1436901179[[#This Row],[Teste 1]:[Teste 3]])</f>
        <v>1778.1524720560865</v>
      </c>
      <c r="G138" s="16"/>
      <c r="H138" s="16" t="s">
        <v>0</v>
      </c>
      <c r="I138" s="16" t="s">
        <v>2</v>
      </c>
      <c r="J138" s="17">
        <v>1546.36</v>
      </c>
      <c r="K138" s="17">
        <v>1393.79</v>
      </c>
      <c r="L138" s="17">
        <v>1359.84</v>
      </c>
      <c r="M138" s="17">
        <f>AVERAGE(Table143690117927[[#This Row],[Teste 1]:[Teste 3]])</f>
        <v>1433.33</v>
      </c>
      <c r="N138" s="16"/>
      <c r="O138" s="16" t="s">
        <v>0</v>
      </c>
      <c r="P138" s="16" t="s">
        <v>2</v>
      </c>
      <c r="Q138" s="17">
        <v>2396.8526448549801</v>
      </c>
      <c r="R138" s="17">
        <v>2160.3680057275601</v>
      </c>
      <c r="S138" s="17">
        <v>2107.7534130851</v>
      </c>
      <c r="T138" s="17">
        <f>AVERAGE(Table143690117939[[#This Row],[Teste 1]:[Teste 3]])</f>
        <v>2221.6580212225467</v>
      </c>
    </row>
    <row r="139" spans="1:20" x14ac:dyDescent="0.25">
      <c r="A139" s="16" t="s">
        <v>16</v>
      </c>
      <c r="B139" s="16" t="s">
        <v>4</v>
      </c>
      <c r="C139" s="17">
        <v>10000000</v>
      </c>
      <c r="D139" s="17">
        <v>10000000</v>
      </c>
      <c r="E139" s="17">
        <v>10000000</v>
      </c>
      <c r="F139" s="17">
        <f>AVERAGE(Table1436901179[[#This Row],[Teste 1]:[Teste 3]])</f>
        <v>10000000</v>
      </c>
      <c r="G139" s="16"/>
      <c r="H139" s="16" t="s">
        <v>16</v>
      </c>
      <c r="I139" s="16" t="s">
        <v>4</v>
      </c>
      <c r="J139" s="17">
        <v>10000000</v>
      </c>
      <c r="K139" s="17">
        <v>10000000</v>
      </c>
      <c r="L139" s="17">
        <v>10000000</v>
      </c>
      <c r="M139" s="17">
        <f>AVERAGE(Table143690117927[[#This Row],[Teste 1]:[Teste 3]])</f>
        <v>10000000</v>
      </c>
      <c r="N139" s="16"/>
      <c r="O139" s="16" t="s">
        <v>16</v>
      </c>
      <c r="P139" s="16" t="s">
        <v>4</v>
      </c>
      <c r="Q139" s="17">
        <v>10000000</v>
      </c>
      <c r="R139" s="17">
        <v>10000000</v>
      </c>
      <c r="S139" s="17">
        <v>10000000</v>
      </c>
      <c r="T139" s="17">
        <f>AVERAGE(Table143690117939[[#This Row],[Teste 1]:[Teste 3]])</f>
        <v>10000000</v>
      </c>
    </row>
    <row r="140" spans="1:20" x14ac:dyDescent="0.25">
      <c r="A140" s="16" t="s">
        <v>16</v>
      </c>
      <c r="B140" s="16" t="s">
        <v>5</v>
      </c>
      <c r="C140" s="17">
        <v>418.97578549999997</v>
      </c>
      <c r="D140" s="17">
        <v>672.62192870000001</v>
      </c>
      <c r="E140" s="17">
        <v>672.21571449999999</v>
      </c>
      <c r="F140" s="17">
        <f>AVERAGE(Table1436901179[[#This Row],[Teste 1]:[Teste 3]])</f>
        <v>587.9378095666666</v>
      </c>
      <c r="G140" s="16"/>
      <c r="H140" s="16" t="s">
        <v>16</v>
      </c>
      <c r="I140" s="16" t="s">
        <v>5</v>
      </c>
      <c r="J140" s="17">
        <v>642.44000000000005</v>
      </c>
      <c r="K140" s="17">
        <v>713.15</v>
      </c>
      <c r="L140" s="17">
        <v>730.79</v>
      </c>
      <c r="M140" s="17">
        <f>AVERAGE(Table143690117927[[#This Row],[Teste 1]:[Teste 3]])</f>
        <v>695.46</v>
      </c>
      <c r="N140" s="16"/>
      <c r="O140" s="16" t="s">
        <v>16</v>
      </c>
      <c r="P140" s="16" t="s">
        <v>5</v>
      </c>
      <c r="Q140" s="17">
        <v>414.47702090000001</v>
      </c>
      <c r="R140" s="17">
        <v>460.09488370000003</v>
      </c>
      <c r="S140" s="17">
        <v>471.47533979999997</v>
      </c>
      <c r="T140" s="17">
        <f>AVERAGE(Table143690117939[[#This Row],[Teste 1]:[Teste 3]])</f>
        <v>448.6824148</v>
      </c>
    </row>
    <row r="141" spans="1:20" x14ac:dyDescent="0.25">
      <c r="A141" s="16" t="s">
        <v>16</v>
      </c>
      <c r="B141" s="16" t="s">
        <v>6</v>
      </c>
      <c r="C141" s="17">
        <v>70</v>
      </c>
      <c r="D141" s="17">
        <v>75</v>
      </c>
      <c r="E141" s="17">
        <v>66</v>
      </c>
      <c r="F141" s="17">
        <f>AVERAGE(Table1436901179[[#This Row],[Teste 1]:[Teste 3]])</f>
        <v>70.333333333333329</v>
      </c>
      <c r="G141" s="16"/>
      <c r="H141" s="16" t="s">
        <v>16</v>
      </c>
      <c r="I141" s="16" t="s">
        <v>6</v>
      </c>
      <c r="J141" s="17">
        <v>135</v>
      </c>
      <c r="K141" s="17">
        <v>152</v>
      </c>
      <c r="L141" s="17">
        <v>144</v>
      </c>
      <c r="M141" s="17">
        <f>AVERAGE(Table143690117927[[#This Row],[Teste 1]:[Teste 3]])</f>
        <v>143.66666666666666</v>
      </c>
      <c r="N141" s="16"/>
      <c r="O141" s="16" t="s">
        <v>16</v>
      </c>
      <c r="P141" s="16" t="s">
        <v>6</v>
      </c>
      <c r="Q141" s="17">
        <v>87</v>
      </c>
      <c r="R141" s="17">
        <v>98</v>
      </c>
      <c r="S141" s="17">
        <v>93</v>
      </c>
      <c r="T141" s="17">
        <f>AVERAGE(Table143690117939[[#This Row],[Teste 1]:[Teste 3]])</f>
        <v>92.666666666666671</v>
      </c>
    </row>
    <row r="142" spans="1:20" x14ac:dyDescent="0.25">
      <c r="A142" s="16" t="s">
        <v>16</v>
      </c>
      <c r="B142" s="16" t="s">
        <v>7</v>
      </c>
      <c r="C142" s="17">
        <v>3014655</v>
      </c>
      <c r="D142" s="17">
        <v>66623</v>
      </c>
      <c r="E142" s="17">
        <v>83327</v>
      </c>
      <c r="F142" s="17">
        <f>AVERAGE(Table1436901179[[#This Row],[Teste 1]:[Teste 3]])</f>
        <v>1054868.3333333333</v>
      </c>
      <c r="G142" s="16"/>
      <c r="H142" s="16" t="s">
        <v>16</v>
      </c>
      <c r="I142" s="16" t="s">
        <v>7</v>
      </c>
      <c r="J142" s="17">
        <v>56691</v>
      </c>
      <c r="K142" s="17">
        <v>57443</v>
      </c>
      <c r="L142" s="17">
        <v>58917</v>
      </c>
      <c r="M142" s="17">
        <f>AVERAGE(Table143690117927[[#This Row],[Teste 1]:[Teste 3]])</f>
        <v>57683.666666666664</v>
      </c>
      <c r="N142" s="16"/>
      <c r="O142" s="16" t="s">
        <v>16</v>
      </c>
      <c r="P142" s="16" t="s">
        <v>7</v>
      </c>
      <c r="Q142" s="17">
        <v>36575</v>
      </c>
      <c r="R142" s="17">
        <v>56415</v>
      </c>
      <c r="S142" s="17">
        <v>102527</v>
      </c>
      <c r="T142" s="17">
        <f>AVERAGE(Table143690117939[[#This Row],[Teste 1]:[Teste 3]])</f>
        <v>65172.333333333336</v>
      </c>
    </row>
    <row r="143" spans="1:20" x14ac:dyDescent="0.25">
      <c r="A143" s="16" t="s">
        <v>16</v>
      </c>
      <c r="B143" s="16" t="s">
        <v>8</v>
      </c>
      <c r="C143" s="17">
        <v>1270</v>
      </c>
      <c r="D143" s="17">
        <v>1641</v>
      </c>
      <c r="E143" s="17">
        <v>1641</v>
      </c>
      <c r="F143" s="17">
        <f>AVERAGE(Table1436901179[[#This Row],[Teste 1]:[Teste 3]])</f>
        <v>1517.3333333333333</v>
      </c>
      <c r="G143" s="16"/>
      <c r="H143" s="16" t="s">
        <v>16</v>
      </c>
      <c r="I143" s="16" t="s">
        <v>8</v>
      </c>
      <c r="J143" s="17">
        <v>1085</v>
      </c>
      <c r="K143" s="17">
        <v>1314</v>
      </c>
      <c r="L143" s="17">
        <v>1366</v>
      </c>
      <c r="M143" s="17">
        <f>AVERAGE(Table143690117927[[#This Row],[Teste 1]:[Teste 3]])</f>
        <v>1255</v>
      </c>
      <c r="N143" s="16"/>
      <c r="O143" s="16" t="s">
        <v>16</v>
      </c>
      <c r="P143" s="16" t="s">
        <v>8</v>
      </c>
      <c r="Q143" s="17">
        <v>700</v>
      </c>
      <c r="R143" s="17">
        <v>848</v>
      </c>
      <c r="S143" s="17">
        <v>881</v>
      </c>
      <c r="T143" s="17">
        <f>AVERAGE(Table143690117939[[#This Row],[Teste 1]:[Teste 3]])</f>
        <v>809.66666666666663</v>
      </c>
    </row>
    <row r="144" spans="1:20" x14ac:dyDescent="0.25">
      <c r="A144" s="16" t="s">
        <v>16</v>
      </c>
      <c r="B144" s="16" t="s">
        <v>9</v>
      </c>
      <c r="C144" s="17">
        <v>1543</v>
      </c>
      <c r="D144" s="17">
        <v>1852</v>
      </c>
      <c r="E144" s="17">
        <v>1861</v>
      </c>
      <c r="F144" s="17">
        <f>AVERAGE(Table1436901179[[#This Row],[Teste 1]:[Teste 3]])</f>
        <v>1752</v>
      </c>
      <c r="G144" s="16"/>
      <c r="H144" s="16" t="s">
        <v>16</v>
      </c>
      <c r="I144" s="16" t="s">
        <v>9</v>
      </c>
      <c r="J144" s="17">
        <v>1379</v>
      </c>
      <c r="K144" s="17">
        <v>1678</v>
      </c>
      <c r="L144" s="17">
        <v>1838</v>
      </c>
      <c r="M144" s="17">
        <f>AVERAGE(Table143690117927[[#This Row],[Teste 1]:[Teste 3]])</f>
        <v>1631.6666666666667</v>
      </c>
      <c r="N144" s="16"/>
      <c r="O144" s="16" t="s">
        <v>16</v>
      </c>
      <c r="P144" s="16" t="s">
        <v>9</v>
      </c>
      <c r="Q144" s="17">
        <v>890</v>
      </c>
      <c r="R144" s="17">
        <v>1083</v>
      </c>
      <c r="S144" s="17">
        <v>1186</v>
      </c>
      <c r="T144" s="17">
        <f>AVERAGE(Table143690117939[[#This Row],[Teste 1]:[Teste 3]])</f>
        <v>1053</v>
      </c>
    </row>
    <row r="145" spans="1:20" x14ac:dyDescent="0.25">
      <c r="A145" s="16" t="s">
        <v>16</v>
      </c>
      <c r="B145" s="16" t="s">
        <v>11</v>
      </c>
      <c r="C145" s="17">
        <v>10000000</v>
      </c>
      <c r="D145" s="17">
        <v>10000000</v>
      </c>
      <c r="E145" s="17">
        <v>10000000</v>
      </c>
      <c r="F145" s="17">
        <f>AVERAGE(Table1436901179[[#This Row],[Teste 1]:[Teste 3]])</f>
        <v>10000000</v>
      </c>
      <c r="G145" s="16"/>
      <c r="H145" s="16" t="s">
        <v>16</v>
      </c>
      <c r="I145" s="16" t="s">
        <v>11</v>
      </c>
      <c r="J145" s="17">
        <v>10000000</v>
      </c>
      <c r="K145" s="17">
        <v>10000000</v>
      </c>
      <c r="L145" s="17">
        <v>10000000</v>
      </c>
      <c r="M145" s="17">
        <f>AVERAGE(Table143690117927[[#This Row],[Teste 1]:[Teste 3]])</f>
        <v>10000000</v>
      </c>
      <c r="N145" s="16"/>
      <c r="O145" s="16" t="s">
        <v>16</v>
      </c>
      <c r="P145" s="16" t="s">
        <v>11</v>
      </c>
      <c r="Q145" s="17">
        <v>10000000</v>
      </c>
      <c r="R145" s="17">
        <v>10000000</v>
      </c>
      <c r="S145" s="17">
        <v>10000000</v>
      </c>
      <c r="T145" s="17">
        <f>AVERAGE(Table143690117939[[#This Row],[Teste 1]:[Teste 3]])</f>
        <v>10000000</v>
      </c>
    </row>
    <row r="146" spans="1:20" x14ac:dyDescent="0.25">
      <c r="A146" s="16" t="s">
        <v>3</v>
      </c>
      <c r="B146" s="16" t="s">
        <v>4</v>
      </c>
      <c r="C146" s="17">
        <v>1</v>
      </c>
      <c r="D146" s="17">
        <v>1</v>
      </c>
      <c r="E146" s="17">
        <v>1</v>
      </c>
      <c r="F146" s="17">
        <f>AVERAGE(Table1436901179[[#This Row],[Teste 1]:[Teste 3]])</f>
        <v>1</v>
      </c>
      <c r="G146" s="16"/>
      <c r="H146" s="16" t="s">
        <v>3</v>
      </c>
      <c r="I146" s="16" t="s">
        <v>4</v>
      </c>
      <c r="J146" s="17">
        <v>1</v>
      </c>
      <c r="K146" s="17">
        <v>1</v>
      </c>
      <c r="L146" s="17">
        <v>1</v>
      </c>
      <c r="M146" s="17">
        <f>AVERAGE(Table143690117927[[#This Row],[Teste 1]:[Teste 3]])</f>
        <v>1</v>
      </c>
      <c r="N146" s="16"/>
      <c r="O146" s="16" t="s">
        <v>3</v>
      </c>
      <c r="P146" s="16" t="s">
        <v>4</v>
      </c>
      <c r="Q146" s="17">
        <v>1</v>
      </c>
      <c r="R146" s="17">
        <v>1</v>
      </c>
      <c r="S146" s="17">
        <v>1</v>
      </c>
      <c r="T146" s="17">
        <f>AVERAGE(Table143690117939[[#This Row],[Teste 1]:[Teste 3]])</f>
        <v>1</v>
      </c>
    </row>
    <row r="147" spans="1:20" x14ac:dyDescent="0.25">
      <c r="A147" s="16" t="s">
        <v>3</v>
      </c>
      <c r="B147" s="16" t="s">
        <v>5</v>
      </c>
      <c r="C147" s="17">
        <v>2</v>
      </c>
      <c r="D147" s="17">
        <v>12</v>
      </c>
      <c r="E147" s="17">
        <v>2</v>
      </c>
      <c r="F147" s="17">
        <f>AVERAGE(Table1436901179[[#This Row],[Teste 1]:[Teste 3]])</f>
        <v>5.333333333333333</v>
      </c>
      <c r="G147" s="16"/>
      <c r="H147" s="16" t="s">
        <v>3</v>
      </c>
      <c r="I147" s="16" t="s">
        <v>5</v>
      </c>
      <c r="J147" s="17">
        <v>8</v>
      </c>
      <c r="K147" s="17">
        <v>10</v>
      </c>
      <c r="L147" s="17">
        <v>6</v>
      </c>
      <c r="M147" s="17">
        <f>AVERAGE(Table143690117927[[#This Row],[Teste 1]:[Teste 3]])</f>
        <v>8</v>
      </c>
      <c r="N147" s="16"/>
      <c r="O147" s="16" t="s">
        <v>3</v>
      </c>
      <c r="P147" s="16" t="s">
        <v>5</v>
      </c>
      <c r="Q147" s="17">
        <v>3665</v>
      </c>
      <c r="R147" s="17">
        <v>18056</v>
      </c>
      <c r="S147" s="17">
        <v>35120</v>
      </c>
      <c r="T147" s="17">
        <f>AVERAGE(Table143690117939[[#This Row],[Teste 1]:[Teste 3]])</f>
        <v>18947</v>
      </c>
    </row>
    <row r="148" spans="1:20" x14ac:dyDescent="0.25">
      <c r="A148" s="16" t="s">
        <v>3</v>
      </c>
      <c r="B148" s="16" t="s">
        <v>6</v>
      </c>
      <c r="C148" s="17">
        <v>2</v>
      </c>
      <c r="D148" s="17">
        <v>12</v>
      </c>
      <c r="E148" s="17">
        <v>2</v>
      </c>
      <c r="F148" s="17">
        <f>AVERAGE(Table1436901179[[#This Row],[Teste 1]:[Teste 3]])</f>
        <v>5.333333333333333</v>
      </c>
      <c r="G148" s="16"/>
      <c r="H148" s="16" t="s">
        <v>3</v>
      </c>
      <c r="I148" s="16" t="s">
        <v>6</v>
      </c>
      <c r="J148" s="17">
        <v>8</v>
      </c>
      <c r="K148" s="17">
        <v>10</v>
      </c>
      <c r="L148" s="17">
        <v>6</v>
      </c>
      <c r="M148" s="17">
        <f>AVERAGE(Table143690117927[[#This Row],[Teste 1]:[Teste 3]])</f>
        <v>8</v>
      </c>
      <c r="N148" s="16"/>
      <c r="O148" s="16" t="s">
        <v>3</v>
      </c>
      <c r="P148" s="16" t="s">
        <v>6</v>
      </c>
      <c r="Q148" s="17">
        <v>3665</v>
      </c>
      <c r="R148" s="17">
        <v>18048</v>
      </c>
      <c r="S148" s="17">
        <v>35104</v>
      </c>
      <c r="T148" s="17">
        <f>AVERAGE(Table143690117939[[#This Row],[Teste 1]:[Teste 3]])</f>
        <v>18939</v>
      </c>
    </row>
    <row r="149" spans="1:20" x14ac:dyDescent="0.25">
      <c r="A149" s="16" t="s">
        <v>3</v>
      </c>
      <c r="B149" s="16" t="s">
        <v>7</v>
      </c>
      <c r="C149" s="17">
        <v>2</v>
      </c>
      <c r="D149" s="17">
        <v>12</v>
      </c>
      <c r="E149" s="17">
        <v>2</v>
      </c>
      <c r="F149" s="17">
        <f>AVERAGE(Table1436901179[[#This Row],[Teste 1]:[Teste 3]])</f>
        <v>5.333333333333333</v>
      </c>
      <c r="G149" s="16"/>
      <c r="H149" s="16" t="s">
        <v>3</v>
      </c>
      <c r="I149" s="16" t="s">
        <v>7</v>
      </c>
      <c r="J149" s="17">
        <v>8</v>
      </c>
      <c r="K149" s="17">
        <v>10</v>
      </c>
      <c r="L149" s="17">
        <v>6</v>
      </c>
      <c r="M149" s="17">
        <f>AVERAGE(Table143690117927[[#This Row],[Teste 1]:[Teste 3]])</f>
        <v>8</v>
      </c>
      <c r="N149" s="16"/>
      <c r="O149" s="16" t="s">
        <v>3</v>
      </c>
      <c r="P149" s="16" t="s">
        <v>7</v>
      </c>
      <c r="Q149" s="17">
        <v>3665</v>
      </c>
      <c r="R149" s="17">
        <v>18063</v>
      </c>
      <c r="S149" s="17">
        <v>35135</v>
      </c>
      <c r="T149" s="17">
        <f>AVERAGE(Table143690117939[[#This Row],[Teste 1]:[Teste 3]])</f>
        <v>18954.333333333332</v>
      </c>
    </row>
    <row r="150" spans="1:20" x14ac:dyDescent="0.25">
      <c r="A150" s="16" t="s">
        <v>3</v>
      </c>
      <c r="B150" s="16" t="s">
        <v>8</v>
      </c>
      <c r="C150" s="17">
        <v>2</v>
      </c>
      <c r="D150" s="17">
        <v>12</v>
      </c>
      <c r="E150" s="17">
        <v>2</v>
      </c>
      <c r="F150" s="17">
        <f>AVERAGE(Table1436901179[[#This Row],[Teste 1]:[Teste 3]])</f>
        <v>5.333333333333333</v>
      </c>
      <c r="G150" s="16"/>
      <c r="H150" s="16" t="s">
        <v>3</v>
      </c>
      <c r="I150" s="16" t="s">
        <v>8</v>
      </c>
      <c r="J150" s="17">
        <v>8</v>
      </c>
      <c r="K150" s="17">
        <v>10</v>
      </c>
      <c r="L150" s="17">
        <v>6</v>
      </c>
      <c r="M150" s="17">
        <f>AVERAGE(Table143690117927[[#This Row],[Teste 1]:[Teste 3]])</f>
        <v>8</v>
      </c>
      <c r="N150" s="16"/>
      <c r="O150" s="16" t="s">
        <v>3</v>
      </c>
      <c r="P150" s="16" t="s">
        <v>8</v>
      </c>
      <c r="Q150" s="17">
        <v>3665</v>
      </c>
      <c r="R150" s="17">
        <v>18063</v>
      </c>
      <c r="S150" s="17">
        <v>35135</v>
      </c>
      <c r="T150" s="17">
        <f>AVERAGE(Table143690117939[[#This Row],[Teste 1]:[Teste 3]])</f>
        <v>18954.333333333332</v>
      </c>
    </row>
    <row r="151" spans="1:20" x14ac:dyDescent="0.25">
      <c r="A151" s="16" t="s">
        <v>3</v>
      </c>
      <c r="B151" s="16" t="s">
        <v>9</v>
      </c>
      <c r="C151" s="17">
        <v>2</v>
      </c>
      <c r="D151" s="17">
        <v>12</v>
      </c>
      <c r="E151" s="17">
        <v>2</v>
      </c>
      <c r="F151" s="17">
        <f>AVERAGE(Table1436901179[[#This Row],[Teste 1]:[Teste 3]])</f>
        <v>5.333333333333333</v>
      </c>
      <c r="G151" s="16"/>
      <c r="H151" s="16" t="s">
        <v>3</v>
      </c>
      <c r="I151" s="16" t="s">
        <v>9</v>
      </c>
      <c r="J151" s="17">
        <v>8</v>
      </c>
      <c r="K151" s="17">
        <v>10</v>
      </c>
      <c r="L151" s="17">
        <v>6</v>
      </c>
      <c r="M151" s="17">
        <f>AVERAGE(Table143690117927[[#This Row],[Teste 1]:[Teste 3]])</f>
        <v>8</v>
      </c>
      <c r="N151" s="16"/>
      <c r="O151" s="16" t="s">
        <v>3</v>
      </c>
      <c r="P151" s="16" t="s">
        <v>9</v>
      </c>
      <c r="Q151" s="17">
        <v>3665</v>
      </c>
      <c r="R151" s="17">
        <v>18063</v>
      </c>
      <c r="S151" s="17">
        <v>35135</v>
      </c>
      <c r="T151" s="17">
        <f>AVERAGE(Table143690117939[[#This Row],[Teste 1]:[Teste 3]])</f>
        <v>18954.333333333332</v>
      </c>
    </row>
    <row r="152" spans="1:20" x14ac:dyDescent="0.25">
      <c r="A152" s="16"/>
      <c r="B152" s="16"/>
      <c r="C152" s="17"/>
      <c r="D152" s="17"/>
      <c r="E152" s="17"/>
      <c r="F152" s="17"/>
      <c r="G152" s="16"/>
      <c r="H152" s="16"/>
      <c r="I152" s="16"/>
      <c r="J152" s="17"/>
      <c r="K152" s="17"/>
      <c r="L152" s="17"/>
      <c r="M152" s="17"/>
      <c r="N152" s="16"/>
      <c r="O152" s="16"/>
      <c r="P152" s="16"/>
      <c r="Q152" s="17"/>
      <c r="R152" s="17"/>
      <c r="S152" s="17"/>
      <c r="T152" s="17"/>
    </row>
    <row r="153" spans="1:20" x14ac:dyDescent="0.25">
      <c r="A153" s="16"/>
      <c r="B153" s="16"/>
      <c r="C153" s="17"/>
      <c r="D153" s="17"/>
      <c r="E153" s="17"/>
      <c r="F153" s="17"/>
      <c r="G153" s="16"/>
      <c r="H153" s="16"/>
      <c r="I153" s="16"/>
      <c r="J153" s="17"/>
      <c r="K153" s="17"/>
      <c r="L153" s="17"/>
      <c r="M153" s="17"/>
      <c r="N153" s="16"/>
      <c r="O153" s="16"/>
      <c r="P153" s="16"/>
      <c r="Q153" s="17"/>
      <c r="R153" s="17"/>
      <c r="S153" s="17"/>
      <c r="T153" s="17"/>
    </row>
    <row r="154" spans="1:20" x14ac:dyDescent="0.25">
      <c r="A154" s="16"/>
      <c r="B154" s="16"/>
      <c r="C154" s="17"/>
      <c r="D154" s="17"/>
      <c r="E154" s="17"/>
      <c r="F154" s="17"/>
      <c r="G154" s="16"/>
      <c r="H154" s="16"/>
      <c r="I154" s="16"/>
      <c r="J154" s="17"/>
      <c r="K154" s="17"/>
      <c r="L154" s="17"/>
      <c r="M154" s="17"/>
      <c r="N154" s="16"/>
      <c r="O154" s="16"/>
      <c r="P154" s="16"/>
      <c r="Q154" s="17"/>
      <c r="R154" s="17"/>
      <c r="S154" s="17"/>
      <c r="T154" s="17"/>
    </row>
    <row r="156" spans="1:20" ht="15.75" x14ac:dyDescent="0.25">
      <c r="A156" s="2" t="s">
        <v>74</v>
      </c>
      <c r="H156" s="2" t="s">
        <v>74</v>
      </c>
      <c r="O156" s="2" t="s">
        <v>74</v>
      </c>
    </row>
    <row r="157" spans="1:20" x14ac:dyDescent="0.25">
      <c r="A157" s="16" t="s">
        <v>59</v>
      </c>
      <c r="B157" s="16" t="s">
        <v>81</v>
      </c>
      <c r="C157" s="16" t="s">
        <v>82</v>
      </c>
      <c r="D157" s="16" t="s">
        <v>64</v>
      </c>
      <c r="E157" s="16" t="s">
        <v>63</v>
      </c>
      <c r="F157" s="16" t="s">
        <v>18</v>
      </c>
      <c r="G157" s="16"/>
      <c r="H157" s="16" t="s">
        <v>12</v>
      </c>
      <c r="I157" s="16" t="s">
        <v>81</v>
      </c>
      <c r="J157" s="16" t="s">
        <v>82</v>
      </c>
      <c r="K157" s="16" t="s">
        <v>64</v>
      </c>
      <c r="L157" s="16" t="s">
        <v>63</v>
      </c>
      <c r="M157" s="16" t="s">
        <v>18</v>
      </c>
      <c r="N157" s="16"/>
      <c r="O157" s="16" t="s">
        <v>13</v>
      </c>
      <c r="P157" s="16" t="s">
        <v>81</v>
      </c>
      <c r="Q157" s="16" t="s">
        <v>82</v>
      </c>
      <c r="R157" s="16" t="s">
        <v>64</v>
      </c>
      <c r="S157" s="16" t="s">
        <v>63</v>
      </c>
      <c r="T157" s="16" t="s">
        <v>18</v>
      </c>
    </row>
    <row r="158" spans="1:20" x14ac:dyDescent="0.25">
      <c r="A158" s="16" t="s">
        <v>0</v>
      </c>
      <c r="B158" s="16" t="s">
        <v>1</v>
      </c>
      <c r="C158" s="17">
        <v>3406668</v>
      </c>
      <c r="D158" s="17">
        <v>3400400</v>
      </c>
      <c r="E158" s="17">
        <v>3462845</v>
      </c>
      <c r="F158" s="17">
        <f>AVERAGE(Table143690117210[[#This Row],[Teste 1]:[Teste 3]])</f>
        <v>3423304.3333333335</v>
      </c>
      <c r="G158" s="16"/>
      <c r="H158" s="16" t="s">
        <v>0</v>
      </c>
      <c r="I158" s="16" t="s">
        <v>1</v>
      </c>
      <c r="J158" s="17">
        <v>4049278</v>
      </c>
      <c r="K158" s="17">
        <v>4122007</v>
      </c>
      <c r="L158" s="17">
        <v>4278895</v>
      </c>
      <c r="M158" s="17">
        <f>AVERAGE(Table14369011721028[[#This Row],[Teste 1]:[Teste 3]])</f>
        <v>4150060</v>
      </c>
      <c r="N158" s="16"/>
      <c r="O158" s="16" t="s">
        <v>0</v>
      </c>
      <c r="P158" s="16" t="s">
        <v>1</v>
      </c>
      <c r="Q158" s="17">
        <v>2249599</v>
      </c>
      <c r="R158" s="17">
        <v>2290004</v>
      </c>
      <c r="S158" s="17">
        <v>2377164</v>
      </c>
      <c r="T158" s="17">
        <f>AVERAGE(Table14369011721040[[#This Row],[Teste 1]:[Teste 3]])</f>
        <v>2305589</v>
      </c>
    </row>
    <row r="159" spans="1:20" x14ac:dyDescent="0.25">
      <c r="A159" s="16" t="s">
        <v>0</v>
      </c>
      <c r="B159" s="16" t="s">
        <v>2</v>
      </c>
      <c r="C159" s="17">
        <v>2935.4195947477101</v>
      </c>
      <c r="D159" s="17">
        <v>2940.8304905305199</v>
      </c>
      <c r="E159" s="17">
        <v>2887.7989052354301</v>
      </c>
      <c r="F159" s="17">
        <f>AVERAGE(Table143690117210[[#This Row],[Teste 1]:[Teste 3]])</f>
        <v>2921.3496635045535</v>
      </c>
      <c r="G159" s="16"/>
      <c r="H159" s="16" t="s">
        <v>0</v>
      </c>
      <c r="I159" s="16" t="s">
        <v>2</v>
      </c>
      <c r="J159" s="17">
        <v>2469.58</v>
      </c>
      <c r="K159" s="17">
        <v>2426.0100000000002</v>
      </c>
      <c r="L159" s="17">
        <v>2337.0500000000002</v>
      </c>
      <c r="M159" s="17">
        <f>AVERAGE(Table14369011721028[[#This Row],[Teste 1]:[Teste 3]])</f>
        <v>2410.88</v>
      </c>
      <c r="N159" s="16"/>
      <c r="O159" s="16" t="s">
        <v>0</v>
      </c>
      <c r="P159" s="16" t="s">
        <v>2</v>
      </c>
      <c r="Q159" s="17">
        <v>4445.2366844046401</v>
      </c>
      <c r="R159" s="17">
        <v>4366.8045994679396</v>
      </c>
      <c r="S159" s="17">
        <v>4206.6933539293004</v>
      </c>
      <c r="T159" s="17">
        <f>AVERAGE(Table14369011721040[[#This Row],[Teste 1]:[Teste 3]])</f>
        <v>4339.5782126006261</v>
      </c>
    </row>
    <row r="160" spans="1:20" x14ac:dyDescent="0.25">
      <c r="A160" s="16" t="s">
        <v>16</v>
      </c>
      <c r="B160" s="16" t="s">
        <v>4</v>
      </c>
      <c r="C160" s="17">
        <v>10000000</v>
      </c>
      <c r="D160" s="17">
        <v>10000000</v>
      </c>
      <c r="E160" s="17">
        <v>10000000</v>
      </c>
      <c r="F160" s="17">
        <f>AVERAGE(Table143690117210[[#This Row],[Teste 1]:[Teste 3]])</f>
        <v>10000000</v>
      </c>
      <c r="G160" s="16"/>
      <c r="H160" s="16" t="s">
        <v>16</v>
      </c>
      <c r="I160" s="16" t="s">
        <v>4</v>
      </c>
      <c r="J160" s="17">
        <v>10000000</v>
      </c>
      <c r="K160" s="17">
        <v>10000000</v>
      </c>
      <c r="L160" s="17">
        <v>10000000</v>
      </c>
      <c r="M160" s="17">
        <f>AVERAGE(Table14369011721028[[#This Row],[Teste 1]:[Teste 3]])</f>
        <v>10000000</v>
      </c>
      <c r="N160" s="16"/>
      <c r="O160" s="16" t="s">
        <v>16</v>
      </c>
      <c r="P160" s="16" t="s">
        <v>4</v>
      </c>
      <c r="Q160" s="17">
        <v>10000000</v>
      </c>
      <c r="R160" s="17">
        <v>10000000</v>
      </c>
      <c r="S160" s="17">
        <v>10000000</v>
      </c>
      <c r="T160" s="17">
        <f>AVERAGE(Table14369011721040[[#This Row],[Teste 1]:[Teste 3]])</f>
        <v>10000000</v>
      </c>
    </row>
    <row r="161" spans="1:20" x14ac:dyDescent="0.25">
      <c r="A161" s="16" t="s">
        <v>16</v>
      </c>
      <c r="B161" s="16" t="s">
        <v>5</v>
      </c>
      <c r="C161" s="17">
        <v>1017.8145211</v>
      </c>
      <c r="D161" s="17">
        <v>1015.6817577</v>
      </c>
      <c r="E161" s="17">
        <v>1033.5951695000001</v>
      </c>
      <c r="F161" s="17">
        <f>AVERAGE(Table143690117210[[#This Row],[Teste 1]:[Teste 3]])</f>
        <v>1022.3638161</v>
      </c>
      <c r="G161" s="16"/>
      <c r="H161" s="16" t="s">
        <v>16</v>
      </c>
      <c r="I161" s="16" t="s">
        <v>5</v>
      </c>
      <c r="J161" s="17">
        <v>1203.69</v>
      </c>
      <c r="K161" s="17">
        <v>1225.6400000000001</v>
      </c>
      <c r="L161" s="17">
        <v>1277.3800000000001</v>
      </c>
      <c r="M161" s="17">
        <f>AVERAGE(Table14369011721028[[#This Row],[Teste 1]:[Teste 3]])</f>
        <v>1235.57</v>
      </c>
      <c r="N161" s="16"/>
      <c r="O161" s="16" t="s">
        <v>16</v>
      </c>
      <c r="P161" s="16" t="s">
        <v>5</v>
      </c>
      <c r="Q161" s="17">
        <v>668.71884850000004</v>
      </c>
      <c r="R161" s="17">
        <v>680.91208849999998</v>
      </c>
      <c r="S161" s="17">
        <v>709.65560200000004</v>
      </c>
      <c r="T161" s="17">
        <f>AVERAGE(Table14369011721040[[#This Row],[Teste 1]:[Teste 3]])</f>
        <v>686.42884633333324</v>
      </c>
    </row>
    <row r="162" spans="1:20" x14ac:dyDescent="0.25">
      <c r="A162" s="16" t="s">
        <v>16</v>
      </c>
      <c r="B162" s="16" t="s">
        <v>6</v>
      </c>
      <c r="C162" s="17">
        <v>132</v>
      </c>
      <c r="D162" s="17">
        <v>104</v>
      </c>
      <c r="E162" s="17">
        <v>122</v>
      </c>
      <c r="F162" s="17">
        <f>AVERAGE(Table143690117210[[#This Row],[Teste 1]:[Teste 3]])</f>
        <v>119.33333333333333</v>
      </c>
      <c r="G162" s="16"/>
      <c r="H162" s="16" t="s">
        <v>16</v>
      </c>
      <c r="I162" s="16" t="s">
        <v>6</v>
      </c>
      <c r="J162" s="17">
        <v>178</v>
      </c>
      <c r="K162" s="17">
        <v>180</v>
      </c>
      <c r="L162" s="17">
        <v>176</v>
      </c>
      <c r="M162" s="17">
        <f>AVERAGE(Table14369011721028[[#This Row],[Teste 1]:[Teste 3]])</f>
        <v>178</v>
      </c>
      <c r="N162" s="16"/>
      <c r="O162" s="16" t="s">
        <v>16</v>
      </c>
      <c r="P162" s="16" t="s">
        <v>6</v>
      </c>
      <c r="Q162" s="17">
        <v>99</v>
      </c>
      <c r="R162" s="17">
        <v>100</v>
      </c>
      <c r="S162" s="17">
        <v>98</v>
      </c>
      <c r="T162" s="17">
        <f>AVERAGE(Table14369011721040[[#This Row],[Teste 1]:[Teste 3]])</f>
        <v>99</v>
      </c>
    </row>
    <row r="163" spans="1:20" x14ac:dyDescent="0.25">
      <c r="A163" s="16" t="s">
        <v>16</v>
      </c>
      <c r="B163" s="16" t="s">
        <v>7</v>
      </c>
      <c r="C163" s="17">
        <v>3100671</v>
      </c>
      <c r="D163" s="17">
        <v>147583</v>
      </c>
      <c r="E163" s="17">
        <v>92351</v>
      </c>
      <c r="F163" s="17">
        <f>AVERAGE(Table143690117210[[#This Row],[Teste 1]:[Teste 3]])</f>
        <v>1113535</v>
      </c>
      <c r="G163" s="16"/>
      <c r="H163" s="16" t="s">
        <v>16</v>
      </c>
      <c r="I163" s="16" t="s">
        <v>7</v>
      </c>
      <c r="J163" s="17">
        <v>126257</v>
      </c>
      <c r="K163" s="17">
        <v>484695</v>
      </c>
      <c r="L163" s="17">
        <v>790270</v>
      </c>
      <c r="M163" s="17">
        <f>AVERAGE(Table14369011721028[[#This Row],[Teste 1]:[Teste 3]])</f>
        <v>467074</v>
      </c>
      <c r="N163" s="16"/>
      <c r="O163" s="16" t="s">
        <v>16</v>
      </c>
      <c r="P163" s="16" t="s">
        <v>7</v>
      </c>
      <c r="Q163" s="17">
        <v>70143</v>
      </c>
      <c r="R163" s="17">
        <v>824831</v>
      </c>
      <c r="S163" s="17">
        <v>439039</v>
      </c>
      <c r="T163" s="17">
        <f>AVERAGE(Table14369011721040[[#This Row],[Teste 1]:[Teste 3]])</f>
        <v>444671</v>
      </c>
    </row>
    <row r="164" spans="1:20" x14ac:dyDescent="0.25">
      <c r="A164" s="16" t="s">
        <v>16</v>
      </c>
      <c r="B164" s="16" t="s">
        <v>8</v>
      </c>
      <c r="C164" s="17">
        <v>2427</v>
      </c>
      <c r="D164" s="17">
        <v>2451</v>
      </c>
      <c r="E164" s="17">
        <v>2485</v>
      </c>
      <c r="F164" s="17">
        <f>AVERAGE(Table143690117210[[#This Row],[Teste 1]:[Teste 3]])</f>
        <v>2454.3333333333335</v>
      </c>
      <c r="G164" s="16"/>
      <c r="H164" s="16" t="s">
        <v>16</v>
      </c>
      <c r="I164" s="16" t="s">
        <v>8</v>
      </c>
      <c r="J164" s="17">
        <v>2207</v>
      </c>
      <c r="K164" s="17">
        <v>2239</v>
      </c>
      <c r="L164" s="17">
        <v>2326</v>
      </c>
      <c r="M164" s="17">
        <f>AVERAGE(Table14369011721028[[#This Row],[Teste 1]:[Teste 3]])</f>
        <v>2257.3333333333335</v>
      </c>
      <c r="N164" s="16"/>
      <c r="O164" s="16" t="s">
        <v>16</v>
      </c>
      <c r="P164" s="16" t="s">
        <v>8</v>
      </c>
      <c r="Q164" s="17">
        <v>1226</v>
      </c>
      <c r="R164" s="17">
        <v>1244</v>
      </c>
      <c r="S164" s="17">
        <v>1292</v>
      </c>
      <c r="T164" s="17">
        <f>AVERAGE(Table14369011721040[[#This Row],[Teste 1]:[Teste 3]])</f>
        <v>1254</v>
      </c>
    </row>
    <row r="165" spans="1:20" x14ac:dyDescent="0.25">
      <c r="A165" s="16" t="s">
        <v>16</v>
      </c>
      <c r="B165" s="16" t="s">
        <v>9</v>
      </c>
      <c r="C165" s="17">
        <v>3081</v>
      </c>
      <c r="D165" s="17">
        <v>3137</v>
      </c>
      <c r="E165" s="17">
        <v>3181</v>
      </c>
      <c r="F165" s="17">
        <f>AVERAGE(Table143690117210[[#This Row],[Teste 1]:[Teste 3]])</f>
        <v>3133</v>
      </c>
      <c r="G165" s="16"/>
      <c r="H165" s="16" t="s">
        <v>16</v>
      </c>
      <c r="I165" s="16" t="s">
        <v>9</v>
      </c>
      <c r="J165" s="17">
        <v>2554</v>
      </c>
      <c r="K165" s="17">
        <v>2648</v>
      </c>
      <c r="L165" s="17">
        <v>2689</v>
      </c>
      <c r="M165" s="17">
        <f>AVERAGE(Table14369011721028[[#This Row],[Teste 1]:[Teste 3]])</f>
        <v>2630.3333333333335</v>
      </c>
      <c r="N165" s="16"/>
      <c r="O165" s="16" t="s">
        <v>16</v>
      </c>
      <c r="P165" s="16" t="s">
        <v>9</v>
      </c>
      <c r="Q165" s="17">
        <v>1419</v>
      </c>
      <c r="R165" s="17">
        <v>1471</v>
      </c>
      <c r="S165" s="17">
        <v>1494</v>
      </c>
      <c r="T165" s="17">
        <f>AVERAGE(Table14369011721040[[#This Row],[Teste 1]:[Teste 3]])</f>
        <v>1461.3333333333333</v>
      </c>
    </row>
    <row r="166" spans="1:20" x14ac:dyDescent="0.25">
      <c r="A166" s="16" t="s">
        <v>16</v>
      </c>
      <c r="B166" s="16" t="s">
        <v>11</v>
      </c>
      <c r="C166" s="17">
        <v>10000000</v>
      </c>
      <c r="D166" s="17">
        <v>10000000</v>
      </c>
      <c r="E166" s="17">
        <v>10000000</v>
      </c>
      <c r="F166" s="17">
        <f>AVERAGE(Table143690117210[[#This Row],[Teste 1]:[Teste 3]])</f>
        <v>10000000</v>
      </c>
      <c r="G166" s="16"/>
      <c r="H166" s="16" t="s">
        <v>16</v>
      </c>
      <c r="I166" s="16" t="s">
        <v>11</v>
      </c>
      <c r="J166" s="17">
        <v>10000000</v>
      </c>
      <c r="K166" s="17">
        <v>10000000</v>
      </c>
      <c r="L166" s="17">
        <v>10000000</v>
      </c>
      <c r="M166" s="17">
        <f>AVERAGE(Table14369011721028[[#This Row],[Teste 1]:[Teste 3]])</f>
        <v>10000000</v>
      </c>
      <c r="N166" s="16"/>
      <c r="O166" s="16" t="s">
        <v>16</v>
      </c>
      <c r="P166" s="16" t="s">
        <v>11</v>
      </c>
      <c r="Q166" s="17">
        <v>10000000</v>
      </c>
      <c r="R166" s="17">
        <v>10000000</v>
      </c>
      <c r="S166" s="17">
        <v>10000000</v>
      </c>
      <c r="T166" s="17">
        <f>AVERAGE(Table14369011721040[[#This Row],[Teste 1]:[Teste 3]])</f>
        <v>10000000</v>
      </c>
    </row>
    <row r="167" spans="1:20" x14ac:dyDescent="0.25">
      <c r="A167" s="16" t="s">
        <v>3</v>
      </c>
      <c r="B167" s="16" t="s">
        <v>4</v>
      </c>
      <c r="C167" s="17">
        <v>3</v>
      </c>
      <c r="D167" s="17">
        <v>3</v>
      </c>
      <c r="E167" s="17">
        <v>3</v>
      </c>
      <c r="F167" s="17">
        <f>AVERAGE(Table143690117210[[#This Row],[Teste 1]:[Teste 3]])</f>
        <v>3</v>
      </c>
      <c r="G167" s="16"/>
      <c r="H167" s="16" t="s">
        <v>3</v>
      </c>
      <c r="I167" s="16" t="s">
        <v>4</v>
      </c>
      <c r="J167" s="17">
        <v>3</v>
      </c>
      <c r="K167" s="17">
        <v>3</v>
      </c>
      <c r="L167" s="17">
        <v>3</v>
      </c>
      <c r="M167" s="17">
        <f>AVERAGE(Table14369011721028[[#This Row],[Teste 1]:[Teste 3]])</f>
        <v>3</v>
      </c>
      <c r="N167" s="16"/>
      <c r="O167" s="16" t="s">
        <v>3</v>
      </c>
      <c r="P167" s="16" t="s">
        <v>4</v>
      </c>
      <c r="Q167" s="17">
        <v>3</v>
      </c>
      <c r="R167" s="17">
        <v>3</v>
      </c>
      <c r="S167" s="17">
        <v>3</v>
      </c>
      <c r="T167" s="17">
        <f>AVERAGE(Table14369011721040[[#This Row],[Teste 1]:[Teste 3]])</f>
        <v>3</v>
      </c>
    </row>
    <row r="168" spans="1:20" x14ac:dyDescent="0.25">
      <c r="A168" s="16" t="s">
        <v>3</v>
      </c>
      <c r="B168" s="16" t="s">
        <v>5</v>
      </c>
      <c r="C168" s="17">
        <v>0.33333333333333298</v>
      </c>
      <c r="D168" s="17">
        <v>1</v>
      </c>
      <c r="E168" s="17">
        <v>2</v>
      </c>
      <c r="F168" s="17">
        <f>AVERAGE(Table143690117210[[#This Row],[Teste 1]:[Teste 3]])</f>
        <v>1.1111111111111109</v>
      </c>
      <c r="G168" s="16"/>
      <c r="H168" s="16" t="s">
        <v>3</v>
      </c>
      <c r="I168" s="16" t="s">
        <v>5</v>
      </c>
      <c r="J168" s="17">
        <v>3.6666666666666599</v>
      </c>
      <c r="K168" s="17">
        <v>2</v>
      </c>
      <c r="L168" s="17">
        <v>2</v>
      </c>
      <c r="M168" s="17">
        <f>AVERAGE(Table14369011721028[[#This Row],[Teste 1]:[Teste 3]])</f>
        <v>2.5555555555555531</v>
      </c>
      <c r="N168" s="16"/>
      <c r="O168" s="16" t="s">
        <v>3</v>
      </c>
      <c r="P168" s="16" t="s">
        <v>5</v>
      </c>
      <c r="Q168" s="17">
        <v>3200.6666666666601</v>
      </c>
      <c r="R168" s="17">
        <v>4955.3333333333303</v>
      </c>
      <c r="S168" s="17">
        <v>753.66666666666595</v>
      </c>
      <c r="T168" s="17">
        <f>AVERAGE(Table14369011721040[[#This Row],[Teste 1]:[Teste 3]])</f>
        <v>2969.8888888888855</v>
      </c>
    </row>
    <row r="169" spans="1:20" x14ac:dyDescent="0.25">
      <c r="A169" s="16" t="s">
        <v>3</v>
      </c>
      <c r="B169" s="16" t="s">
        <v>6</v>
      </c>
      <c r="C169" s="17">
        <v>0</v>
      </c>
      <c r="D169" s="17">
        <v>0</v>
      </c>
      <c r="E169" s="17">
        <v>0</v>
      </c>
      <c r="F169" s="17">
        <f>AVERAGE(Table143690117210[[#This Row],[Teste 1]:[Teste 3]])</f>
        <v>0</v>
      </c>
      <c r="G169" s="16"/>
      <c r="H169" s="16" t="s">
        <v>3</v>
      </c>
      <c r="I169" s="16" t="s">
        <v>6</v>
      </c>
      <c r="J169" s="17">
        <v>1</v>
      </c>
      <c r="K169" s="17">
        <v>0</v>
      </c>
      <c r="L169" s="17">
        <v>0</v>
      </c>
      <c r="M169" s="17">
        <f>AVERAGE(Table14369011721028[[#This Row],[Teste 1]:[Teste 3]])</f>
        <v>0.33333333333333331</v>
      </c>
      <c r="N169" s="16"/>
      <c r="O169" s="16" t="s">
        <v>3</v>
      </c>
      <c r="P169" s="16" t="s">
        <v>6</v>
      </c>
      <c r="Q169" s="17">
        <v>1</v>
      </c>
      <c r="R169" s="17">
        <v>1</v>
      </c>
      <c r="S169" s="17">
        <v>1</v>
      </c>
      <c r="T169" s="17">
        <f>AVERAGE(Table14369011721040[[#This Row],[Teste 1]:[Teste 3]])</f>
        <v>1</v>
      </c>
    </row>
    <row r="170" spans="1:20" x14ac:dyDescent="0.25">
      <c r="A170" s="16" t="s">
        <v>3</v>
      </c>
      <c r="B170" s="16" t="s">
        <v>7</v>
      </c>
      <c r="C170" s="17">
        <v>1</v>
      </c>
      <c r="D170" s="17">
        <v>2</v>
      </c>
      <c r="E170" s="17">
        <v>6</v>
      </c>
      <c r="F170" s="17">
        <f>AVERAGE(Table143690117210[[#This Row],[Teste 1]:[Teste 3]])</f>
        <v>3</v>
      </c>
      <c r="G170" s="16"/>
      <c r="H170" s="16" t="s">
        <v>3</v>
      </c>
      <c r="I170" s="16" t="s">
        <v>7</v>
      </c>
      <c r="J170" s="17">
        <v>9</v>
      </c>
      <c r="K170" s="17">
        <v>6</v>
      </c>
      <c r="L170" s="17">
        <v>6</v>
      </c>
      <c r="M170" s="17">
        <f>AVERAGE(Table14369011721028[[#This Row],[Teste 1]:[Teste 3]])</f>
        <v>7</v>
      </c>
      <c r="N170" s="16"/>
      <c r="O170" s="16" t="s">
        <v>3</v>
      </c>
      <c r="P170" s="16" t="s">
        <v>7</v>
      </c>
      <c r="Q170" s="17">
        <v>9599</v>
      </c>
      <c r="R170" s="17">
        <v>14695</v>
      </c>
      <c r="S170" s="17">
        <v>2255</v>
      </c>
      <c r="T170" s="17">
        <f>AVERAGE(Table14369011721040[[#This Row],[Teste 1]:[Teste 3]])</f>
        <v>8849.6666666666661</v>
      </c>
    </row>
    <row r="171" spans="1:20" x14ac:dyDescent="0.25">
      <c r="A171" s="16" t="s">
        <v>3</v>
      </c>
      <c r="B171" s="16" t="s">
        <v>8</v>
      </c>
      <c r="C171" s="17">
        <v>1</v>
      </c>
      <c r="D171" s="17">
        <v>2</v>
      </c>
      <c r="E171" s="17">
        <v>6</v>
      </c>
      <c r="F171" s="17">
        <f>AVERAGE(Table143690117210[[#This Row],[Teste 1]:[Teste 3]])</f>
        <v>3</v>
      </c>
      <c r="G171" s="16"/>
      <c r="H171" s="16" t="s">
        <v>3</v>
      </c>
      <c r="I171" s="16" t="s">
        <v>8</v>
      </c>
      <c r="J171" s="17">
        <v>9</v>
      </c>
      <c r="K171" s="17">
        <v>6</v>
      </c>
      <c r="L171" s="17">
        <v>6</v>
      </c>
      <c r="M171" s="17">
        <f>AVERAGE(Table14369011721028[[#This Row],[Teste 1]:[Teste 3]])</f>
        <v>7</v>
      </c>
      <c r="N171" s="16"/>
      <c r="O171" s="16" t="s">
        <v>3</v>
      </c>
      <c r="P171" s="16" t="s">
        <v>8</v>
      </c>
      <c r="Q171" s="17">
        <v>9599</v>
      </c>
      <c r="R171" s="17">
        <v>14695</v>
      </c>
      <c r="S171" s="17">
        <v>2255</v>
      </c>
      <c r="T171" s="17">
        <f>AVERAGE(Table14369011721040[[#This Row],[Teste 1]:[Teste 3]])</f>
        <v>8849.6666666666661</v>
      </c>
    </row>
    <row r="172" spans="1:20" x14ac:dyDescent="0.25">
      <c r="A172" s="16" t="s">
        <v>3</v>
      </c>
      <c r="B172" s="16" t="s">
        <v>9</v>
      </c>
      <c r="C172" s="17">
        <v>1</v>
      </c>
      <c r="D172" s="17">
        <v>2</v>
      </c>
      <c r="E172" s="17">
        <v>6</v>
      </c>
      <c r="F172" s="17">
        <f>AVERAGE(Table143690117210[[#This Row],[Teste 1]:[Teste 3]])</f>
        <v>3</v>
      </c>
      <c r="G172" s="16"/>
      <c r="H172" s="16" t="s">
        <v>3</v>
      </c>
      <c r="I172" s="16" t="s">
        <v>9</v>
      </c>
      <c r="J172" s="17">
        <v>9</v>
      </c>
      <c r="K172" s="17">
        <v>6</v>
      </c>
      <c r="L172" s="17">
        <v>6</v>
      </c>
      <c r="M172" s="17">
        <f>AVERAGE(Table14369011721028[[#This Row],[Teste 1]:[Teste 3]])</f>
        <v>7</v>
      </c>
      <c r="N172" s="16"/>
      <c r="O172" s="16" t="s">
        <v>3</v>
      </c>
      <c r="P172" s="16" t="s">
        <v>9</v>
      </c>
      <c r="Q172" s="17">
        <v>9599</v>
      </c>
      <c r="R172" s="17">
        <v>14695</v>
      </c>
      <c r="S172" s="17">
        <v>2255</v>
      </c>
      <c r="T172" s="17">
        <f>AVERAGE(Table14369011721040[[#This Row],[Teste 1]:[Teste 3]])</f>
        <v>8849.6666666666661</v>
      </c>
    </row>
    <row r="173" spans="1:20" x14ac:dyDescent="0.25">
      <c r="A173" s="16"/>
      <c r="B173" s="16"/>
      <c r="C173" s="17"/>
      <c r="D173" s="17"/>
      <c r="E173" s="17"/>
      <c r="F173" s="17"/>
      <c r="G173" s="16"/>
      <c r="H173" s="16"/>
      <c r="I173" s="16"/>
      <c r="J173" s="17"/>
      <c r="K173" s="17"/>
      <c r="L173" s="17"/>
      <c r="M173" s="17"/>
      <c r="N173" s="16"/>
      <c r="O173" s="16"/>
      <c r="P173" s="16"/>
      <c r="Q173" s="17"/>
      <c r="R173" s="17"/>
      <c r="S173" s="17"/>
      <c r="T173" s="17"/>
    </row>
    <row r="174" spans="1:20" x14ac:dyDescent="0.25">
      <c r="A174" s="16"/>
      <c r="B174" s="16"/>
      <c r="C174" s="17"/>
      <c r="D174" s="17"/>
      <c r="E174" s="17"/>
      <c r="F174" s="17"/>
      <c r="G174" s="16"/>
      <c r="H174" s="16"/>
      <c r="I174" s="16"/>
      <c r="J174" s="17"/>
      <c r="K174" s="17"/>
      <c r="L174" s="17"/>
      <c r="M174" s="17"/>
      <c r="N174" s="16"/>
      <c r="O174" s="16"/>
      <c r="P174" s="16"/>
      <c r="Q174" s="17"/>
      <c r="R174" s="17"/>
      <c r="S174" s="17"/>
      <c r="T174" s="17"/>
    </row>
    <row r="175" spans="1:20" x14ac:dyDescent="0.25">
      <c r="A175" s="16"/>
      <c r="B175" s="16"/>
      <c r="C175" s="17"/>
      <c r="D175" s="17"/>
      <c r="E175" s="17"/>
      <c r="F175" s="17"/>
      <c r="G175" s="16"/>
      <c r="H175" s="16"/>
      <c r="I175" s="16"/>
      <c r="J175" s="17"/>
      <c r="K175" s="17"/>
      <c r="L175" s="17"/>
      <c r="M175" s="17"/>
      <c r="N175" s="16"/>
      <c r="O175" s="16"/>
      <c r="P175" s="16"/>
      <c r="Q175" s="17"/>
      <c r="R175" s="17"/>
      <c r="S175" s="17"/>
      <c r="T175" s="17"/>
    </row>
    <row r="177" spans="1:36" ht="15.75" x14ac:dyDescent="0.25">
      <c r="A177" s="2" t="s">
        <v>73</v>
      </c>
      <c r="H177" s="2" t="s">
        <v>73</v>
      </c>
      <c r="O177" s="2" t="s">
        <v>73</v>
      </c>
    </row>
    <row r="178" spans="1:36" x14ac:dyDescent="0.25">
      <c r="A178" s="16" t="s">
        <v>59</v>
      </c>
      <c r="B178" s="16" t="s">
        <v>81</v>
      </c>
      <c r="C178" s="16" t="s">
        <v>82</v>
      </c>
      <c r="D178" s="16" t="s">
        <v>64</v>
      </c>
      <c r="E178" s="16" t="s">
        <v>63</v>
      </c>
      <c r="F178" s="16" t="s">
        <v>18</v>
      </c>
      <c r="G178" s="16"/>
      <c r="H178" s="16" t="s">
        <v>12</v>
      </c>
      <c r="I178" s="16" t="s">
        <v>81</v>
      </c>
      <c r="J178" s="16" t="s">
        <v>82</v>
      </c>
      <c r="K178" s="16" t="s">
        <v>64</v>
      </c>
      <c r="L178" s="16" t="s">
        <v>63</v>
      </c>
      <c r="M178" s="16" t="s">
        <v>18</v>
      </c>
      <c r="N178" s="16"/>
      <c r="O178" s="16" t="s">
        <v>13</v>
      </c>
      <c r="P178" s="16" t="s">
        <v>81</v>
      </c>
      <c r="Q178" s="16" t="s">
        <v>82</v>
      </c>
      <c r="R178" s="16" t="s">
        <v>64</v>
      </c>
      <c r="S178" s="16" t="s">
        <v>63</v>
      </c>
      <c r="T178" s="16" t="s">
        <v>18</v>
      </c>
    </row>
    <row r="179" spans="1:36" x14ac:dyDescent="0.25">
      <c r="A179" s="16" t="s">
        <v>0</v>
      </c>
      <c r="B179" s="16" t="s">
        <v>1</v>
      </c>
      <c r="C179" s="17">
        <v>1226640</v>
      </c>
      <c r="D179" s="17">
        <v>1308016</v>
      </c>
      <c r="E179" s="17">
        <v>1281722</v>
      </c>
      <c r="F179" s="17">
        <f>AVERAGE(Table143690117317[[#This Row],[Teste 1]:[Teste 3]])</f>
        <v>1272126</v>
      </c>
      <c r="G179" s="16"/>
      <c r="H179" s="16" t="s">
        <v>0</v>
      </c>
      <c r="I179" s="16" t="s">
        <v>1</v>
      </c>
      <c r="J179" s="17">
        <v>2863751</v>
      </c>
      <c r="K179" s="17">
        <v>2852922</v>
      </c>
      <c r="L179" s="17">
        <v>2785253</v>
      </c>
      <c r="M179" s="17">
        <f>AVERAGE(Table14369011731729[[#This Row],[Teste 1]:[Teste 3]])</f>
        <v>2833975.3333333335</v>
      </c>
      <c r="N179" s="16"/>
      <c r="O179" s="16" t="s">
        <v>0</v>
      </c>
      <c r="P179" s="16" t="s">
        <v>1</v>
      </c>
      <c r="Q179" s="17">
        <v>2309477</v>
      </c>
      <c r="R179" s="17">
        <v>2300744</v>
      </c>
      <c r="S179" s="17">
        <v>2246172</v>
      </c>
      <c r="T179" s="17">
        <f>AVERAGE(Table14369011731741[[#This Row],[Teste 1]:[Teste 3]])</f>
        <v>2285464.3333333335</v>
      </c>
    </row>
    <row r="180" spans="1:36" x14ac:dyDescent="0.25">
      <c r="A180" s="16" t="s">
        <v>0</v>
      </c>
      <c r="B180" s="16" t="s">
        <v>2</v>
      </c>
      <c r="C180" s="17">
        <v>8152.3511380682103</v>
      </c>
      <c r="D180" s="17">
        <v>7645.16641998263</v>
      </c>
      <c r="E180" s="17">
        <v>7802.0038666731098</v>
      </c>
      <c r="F180" s="17">
        <f>AVERAGE(Table143690117317[[#This Row],[Teste 1]:[Teste 3]])</f>
        <v>7866.5071415746497</v>
      </c>
      <c r="G180" s="16"/>
      <c r="H180" s="16" t="s">
        <v>0</v>
      </c>
      <c r="I180" s="16" t="s">
        <v>2</v>
      </c>
      <c r="J180" s="17">
        <v>3536.3</v>
      </c>
      <c r="K180" s="17">
        <v>3496.74</v>
      </c>
      <c r="L180" s="17">
        <v>3590.34</v>
      </c>
      <c r="M180" s="17">
        <f>AVERAGE(Table14369011731729[[#This Row],[Teste 1]:[Teste 3]])</f>
        <v>3541.126666666667</v>
      </c>
      <c r="N180" s="16"/>
      <c r="O180" s="16" t="s">
        <v>0</v>
      </c>
      <c r="P180" s="16" t="s">
        <v>2</v>
      </c>
      <c r="Q180" s="17">
        <v>4385.0162190303499</v>
      </c>
      <c r="R180" s="17">
        <v>4335.9527335450102</v>
      </c>
      <c r="S180" s="17">
        <v>4452.0188124506903</v>
      </c>
      <c r="T180" s="17">
        <f>AVERAGE(Table14369011731741[[#This Row],[Teste 1]:[Teste 3]])</f>
        <v>4390.9959216753496</v>
      </c>
    </row>
    <row r="181" spans="1:36" x14ac:dyDescent="0.25">
      <c r="A181" s="16" t="s">
        <v>16</v>
      </c>
      <c r="B181" s="16" t="s">
        <v>4</v>
      </c>
      <c r="C181" s="17">
        <v>10000000</v>
      </c>
      <c r="D181" s="17">
        <v>10000000</v>
      </c>
      <c r="E181" s="17">
        <v>10000000</v>
      </c>
      <c r="F181" s="17">
        <f>AVERAGE(Table143690117317[[#This Row],[Teste 1]:[Teste 3]])</f>
        <v>10000000</v>
      </c>
      <c r="G181" s="16"/>
      <c r="H181" s="16" t="s">
        <v>16</v>
      </c>
      <c r="I181" s="16" t="s">
        <v>4</v>
      </c>
      <c r="J181" s="17">
        <v>10000000</v>
      </c>
      <c r="K181" s="17">
        <v>10000000</v>
      </c>
      <c r="L181" s="17">
        <v>10000000</v>
      </c>
      <c r="M181" s="17">
        <f>AVERAGE(Table14369011731729[[#This Row],[Teste 1]:[Teste 3]])</f>
        <v>10000000</v>
      </c>
      <c r="N181" s="16"/>
      <c r="O181" s="16" t="s">
        <v>16</v>
      </c>
      <c r="P181" s="16" t="s">
        <v>4</v>
      </c>
      <c r="Q181" s="17">
        <v>10000000</v>
      </c>
      <c r="R181" s="17">
        <v>10000000</v>
      </c>
      <c r="S181" s="17">
        <v>10000000</v>
      </c>
      <c r="T181" s="17">
        <f>AVERAGE(Table14369011731741[[#This Row],[Teste 1]:[Teste 3]])</f>
        <v>10000000</v>
      </c>
    </row>
    <row r="182" spans="1:36" x14ac:dyDescent="0.25">
      <c r="A182" s="16" t="s">
        <v>16</v>
      </c>
      <c r="B182" s="16" t="s">
        <v>5</v>
      </c>
      <c r="C182" s="17">
        <v>728.34551390000001</v>
      </c>
      <c r="D182" s="17">
        <v>778.34435289999999</v>
      </c>
      <c r="E182" s="17">
        <v>763.40973039999994</v>
      </c>
      <c r="F182" s="17">
        <f>AVERAGE(Table143690117317[[#This Row],[Teste 1]:[Teste 3]])</f>
        <v>756.69986573333335</v>
      </c>
      <c r="G182" s="16"/>
      <c r="H182" s="16" t="s">
        <v>16</v>
      </c>
      <c r="I182" s="16" t="s">
        <v>5</v>
      </c>
      <c r="J182" s="17">
        <v>1772.76</v>
      </c>
      <c r="K182" s="17">
        <v>1751.45</v>
      </c>
      <c r="L182" s="17">
        <v>1666.75</v>
      </c>
      <c r="M182" s="17">
        <f>AVERAGE(Table14369011731729[[#This Row],[Teste 1]:[Teste 3]])</f>
        <v>1730.32</v>
      </c>
      <c r="N182" s="16"/>
      <c r="O182" s="16" t="s">
        <v>16</v>
      </c>
      <c r="P182" s="16" t="s">
        <v>5</v>
      </c>
      <c r="Q182" s="17">
        <v>1429.6434566999999</v>
      </c>
      <c r="R182" s="17">
        <v>1412.4567466000001</v>
      </c>
      <c r="S182" s="17">
        <v>1344.1546049999999</v>
      </c>
      <c r="T182" s="17">
        <f>AVERAGE(Table14369011731741[[#This Row],[Teste 1]:[Teste 3]])</f>
        <v>1395.4182694333333</v>
      </c>
    </row>
    <row r="183" spans="1:36" x14ac:dyDescent="0.25">
      <c r="A183" s="16" t="s">
        <v>16</v>
      </c>
      <c r="B183" s="16" t="s">
        <v>6</v>
      </c>
      <c r="C183" s="17">
        <v>80</v>
      </c>
      <c r="D183" s="17">
        <v>90</v>
      </c>
      <c r="E183" s="17">
        <v>76</v>
      </c>
      <c r="F183" s="17">
        <f>AVERAGE(Table143690117317[[#This Row],[Teste 1]:[Teste 3]])</f>
        <v>82</v>
      </c>
      <c r="G183" s="16"/>
      <c r="H183" s="16" t="s">
        <v>16</v>
      </c>
      <c r="I183" s="16" t="s">
        <v>6</v>
      </c>
      <c r="J183" s="17">
        <v>121</v>
      </c>
      <c r="K183" s="17">
        <v>120</v>
      </c>
      <c r="L183" s="17">
        <v>117</v>
      </c>
      <c r="M183" s="17">
        <f>AVERAGE(Table14369011731729[[#This Row],[Teste 1]:[Teste 3]])</f>
        <v>119.33333333333333</v>
      </c>
      <c r="N183" s="16"/>
      <c r="O183" s="16" t="s">
        <v>16</v>
      </c>
      <c r="P183" s="16" t="s">
        <v>6</v>
      </c>
      <c r="Q183" s="17">
        <v>98</v>
      </c>
      <c r="R183" s="17">
        <v>97</v>
      </c>
      <c r="S183" s="17">
        <v>95</v>
      </c>
      <c r="T183" s="17">
        <f>AVERAGE(Table14369011731741[[#This Row],[Teste 1]:[Teste 3]])</f>
        <v>96.666666666666671</v>
      </c>
    </row>
    <row r="184" spans="1:36" x14ac:dyDescent="0.25">
      <c r="A184" s="16" t="s">
        <v>16</v>
      </c>
      <c r="B184" s="16" t="s">
        <v>7</v>
      </c>
      <c r="C184" s="17">
        <v>89343</v>
      </c>
      <c r="D184" s="17">
        <v>79679</v>
      </c>
      <c r="E184" s="17">
        <v>141823</v>
      </c>
      <c r="F184" s="17">
        <f>AVERAGE(Table143690117317[[#This Row],[Teste 1]:[Teste 3]])</f>
        <v>103615</v>
      </c>
      <c r="G184" s="16"/>
      <c r="H184" s="16" t="s">
        <v>16</v>
      </c>
      <c r="I184" s="16" t="s">
        <v>7</v>
      </c>
      <c r="J184" s="17">
        <v>155941</v>
      </c>
      <c r="K184" s="17">
        <v>120885</v>
      </c>
      <c r="L184" s="17">
        <v>140916</v>
      </c>
      <c r="M184" s="17">
        <f>AVERAGE(Table14369011731729[[#This Row],[Teste 1]:[Teste 3]])</f>
        <v>139247.33333333334</v>
      </c>
      <c r="N184" s="16"/>
      <c r="O184" s="16" t="s">
        <v>16</v>
      </c>
      <c r="P184" s="16" t="s">
        <v>7</v>
      </c>
      <c r="Q184" s="17">
        <v>125759</v>
      </c>
      <c r="R184" s="17">
        <v>823295</v>
      </c>
      <c r="S184" s="17">
        <v>436223</v>
      </c>
      <c r="T184" s="17">
        <f>AVERAGE(Table14369011731741[[#This Row],[Teste 1]:[Teste 3]])</f>
        <v>461759</v>
      </c>
    </row>
    <row r="185" spans="1:36" x14ac:dyDescent="0.25">
      <c r="A185" s="16" t="s">
        <v>16</v>
      </c>
      <c r="B185" s="16" t="s">
        <v>8</v>
      </c>
      <c r="C185" s="17">
        <v>2469</v>
      </c>
      <c r="D185" s="17">
        <v>2423</v>
      </c>
      <c r="E185" s="17">
        <v>2413</v>
      </c>
      <c r="F185" s="17">
        <f>AVERAGE(Table143690117317[[#This Row],[Teste 1]:[Teste 3]])</f>
        <v>2435</v>
      </c>
      <c r="G185" s="16"/>
      <c r="H185" s="16" t="s">
        <v>16</v>
      </c>
      <c r="I185" s="16" t="s">
        <v>8</v>
      </c>
      <c r="J185" s="17">
        <v>3190</v>
      </c>
      <c r="K185" s="17">
        <v>3388</v>
      </c>
      <c r="L185" s="17">
        <v>2994</v>
      </c>
      <c r="M185" s="17">
        <f>AVERAGE(Table14369011731729[[#This Row],[Teste 1]:[Teste 3]])</f>
        <v>3190.6666666666665</v>
      </c>
      <c r="N185" s="16"/>
      <c r="O185" s="16" t="s">
        <v>16</v>
      </c>
      <c r="P185" s="16" t="s">
        <v>8</v>
      </c>
      <c r="Q185" s="17">
        <v>2573</v>
      </c>
      <c r="R185" s="17">
        <v>2733</v>
      </c>
      <c r="S185" s="17">
        <v>2415</v>
      </c>
      <c r="T185" s="17">
        <f>AVERAGE(Table14369011731741[[#This Row],[Teste 1]:[Teste 3]])</f>
        <v>2573.6666666666665</v>
      </c>
    </row>
    <row r="186" spans="1:36" x14ac:dyDescent="0.25">
      <c r="A186" s="16" t="s">
        <v>16</v>
      </c>
      <c r="B186" s="16" t="s">
        <v>9</v>
      </c>
      <c r="C186" s="17">
        <v>3647</v>
      </c>
      <c r="D186" s="17">
        <v>3503</v>
      </c>
      <c r="E186" s="17">
        <v>3477</v>
      </c>
      <c r="F186" s="17">
        <f>AVERAGE(Table143690117317[[#This Row],[Teste 1]:[Teste 3]])</f>
        <v>3542.3333333333335</v>
      </c>
      <c r="G186" s="16"/>
      <c r="H186" s="16" t="s">
        <v>16</v>
      </c>
      <c r="I186" s="16" t="s">
        <v>9</v>
      </c>
      <c r="J186" s="17">
        <v>4090</v>
      </c>
      <c r="K186" s="17">
        <v>4291</v>
      </c>
      <c r="L186" s="17">
        <v>3818</v>
      </c>
      <c r="M186" s="17">
        <f>AVERAGE(Table14369011731729[[#This Row],[Teste 1]:[Teste 3]])</f>
        <v>4066.3333333333335</v>
      </c>
      <c r="N186" s="16"/>
      <c r="O186" s="16" t="s">
        <v>16</v>
      </c>
      <c r="P186" s="16" t="s">
        <v>9</v>
      </c>
      <c r="Q186" s="17">
        <v>3299</v>
      </c>
      <c r="R186" s="17">
        <v>3461</v>
      </c>
      <c r="S186" s="17">
        <v>3079</v>
      </c>
      <c r="T186" s="17">
        <f>AVERAGE(Table14369011731741[[#This Row],[Teste 1]:[Teste 3]])</f>
        <v>3279.6666666666665</v>
      </c>
    </row>
    <row r="187" spans="1:36" x14ac:dyDescent="0.25">
      <c r="A187" s="16" t="s">
        <v>16</v>
      </c>
      <c r="B187" s="16" t="s">
        <v>11</v>
      </c>
      <c r="C187" s="17">
        <v>10000000</v>
      </c>
      <c r="D187" s="17">
        <v>10000000</v>
      </c>
      <c r="E187" s="17">
        <v>10000000</v>
      </c>
      <c r="F187" s="17">
        <f>AVERAGE(Table143690117317[[#This Row],[Teste 1]:[Teste 3]])</f>
        <v>10000000</v>
      </c>
      <c r="G187" s="16"/>
      <c r="H187" s="16" t="s">
        <v>16</v>
      </c>
      <c r="I187" s="16" t="s">
        <v>11</v>
      </c>
      <c r="J187" s="17">
        <v>10000000</v>
      </c>
      <c r="K187" s="17">
        <v>10000000</v>
      </c>
      <c r="L187" s="17">
        <v>10000000</v>
      </c>
      <c r="M187" s="17">
        <f>AVERAGE(Table14369011731729[[#This Row],[Teste 1]:[Teste 3]])</f>
        <v>10000000</v>
      </c>
      <c r="N187" s="16"/>
      <c r="O187" s="16" t="s">
        <v>16</v>
      </c>
      <c r="P187" s="16" t="s">
        <v>11</v>
      </c>
      <c r="Q187" s="17">
        <v>10000000</v>
      </c>
      <c r="R187" s="17">
        <v>10000000</v>
      </c>
      <c r="S187" s="17">
        <v>10000000</v>
      </c>
      <c r="T187" s="17">
        <f>AVERAGE(Table14369011731741[[#This Row],[Teste 1]:[Teste 3]])</f>
        <v>10000000</v>
      </c>
    </row>
    <row r="188" spans="1:36" x14ac:dyDescent="0.25">
      <c r="A188" s="16" t="s">
        <v>3</v>
      </c>
      <c r="B188" s="16" t="s">
        <v>4</v>
      </c>
      <c r="C188" s="17">
        <v>6</v>
      </c>
      <c r="D188" s="17">
        <v>6</v>
      </c>
      <c r="E188" s="17">
        <v>6</v>
      </c>
      <c r="F188" s="17">
        <f>AVERAGE(Table143690117317[[#This Row],[Teste 1]:[Teste 3]])</f>
        <v>6</v>
      </c>
      <c r="G188" s="16"/>
      <c r="H188" s="16" t="s">
        <v>3</v>
      </c>
      <c r="I188" s="16" t="s">
        <v>4</v>
      </c>
      <c r="J188" s="17">
        <v>6</v>
      </c>
      <c r="K188" s="17">
        <v>6</v>
      </c>
      <c r="L188" s="17">
        <v>6</v>
      </c>
      <c r="M188" s="17">
        <f>AVERAGE(Table14369011731729[[#This Row],[Teste 1]:[Teste 3]])</f>
        <v>6</v>
      </c>
      <c r="N188" s="16"/>
      <c r="O188" s="16" t="s">
        <v>3</v>
      </c>
      <c r="P188" s="16" t="s">
        <v>4</v>
      </c>
      <c r="Q188" s="17">
        <v>6</v>
      </c>
      <c r="R188" s="17">
        <v>6</v>
      </c>
      <c r="S188" s="17">
        <v>6</v>
      </c>
      <c r="T188" s="17">
        <f>AVERAGE(Table14369011731741[[#This Row],[Teste 1]:[Teste 3]])</f>
        <v>6</v>
      </c>
      <c r="V188" s="3"/>
      <c r="AJ188" s="3"/>
    </row>
    <row r="189" spans="1:36" x14ac:dyDescent="0.25">
      <c r="A189" s="16" t="s">
        <v>3</v>
      </c>
      <c r="B189" s="16" t="s">
        <v>5</v>
      </c>
      <c r="C189" s="17">
        <v>0.5</v>
      </c>
      <c r="D189" s="17">
        <v>1.5</v>
      </c>
      <c r="E189" s="17">
        <v>0.83333333333333304</v>
      </c>
      <c r="F189" s="17">
        <f>AVERAGE(Table143690117317[[#This Row],[Teste 1]:[Teste 3]])</f>
        <v>0.94444444444444431</v>
      </c>
      <c r="G189" s="16"/>
      <c r="H189" s="16" t="s">
        <v>3</v>
      </c>
      <c r="I189" s="16" t="s">
        <v>5</v>
      </c>
      <c r="J189" s="17">
        <v>3</v>
      </c>
      <c r="K189" s="17">
        <v>1.6666666666666601</v>
      </c>
      <c r="L189" s="17">
        <v>1.5</v>
      </c>
      <c r="M189" s="17">
        <f>AVERAGE(Table14369011731729[[#This Row],[Teste 1]:[Teste 3]])</f>
        <v>2.0555555555555531</v>
      </c>
      <c r="N189" s="16"/>
      <c r="O189" s="16" t="s">
        <v>3</v>
      </c>
      <c r="P189" s="16" t="s">
        <v>5</v>
      </c>
      <c r="Q189" s="17">
        <v>2656</v>
      </c>
      <c r="R189" s="17">
        <v>411.666666666666</v>
      </c>
      <c r="S189" s="17">
        <v>378.5</v>
      </c>
      <c r="T189" s="17">
        <f>AVERAGE(Table14369011731741[[#This Row],[Teste 1]:[Teste 3]])</f>
        <v>1148.7222222222219</v>
      </c>
      <c r="AH189" s="3"/>
    </row>
    <row r="190" spans="1:36" x14ac:dyDescent="0.25">
      <c r="A190" s="16" t="s">
        <v>3</v>
      </c>
      <c r="B190" s="16" t="s">
        <v>6</v>
      </c>
      <c r="C190" s="17">
        <v>0</v>
      </c>
      <c r="D190" s="17">
        <v>0</v>
      </c>
      <c r="E190" s="17">
        <v>0</v>
      </c>
      <c r="F190" s="17">
        <f>AVERAGE(Table143690117317[[#This Row],[Teste 1]:[Teste 3]])</f>
        <v>0</v>
      </c>
      <c r="G190" s="16"/>
      <c r="H190" s="16" t="s">
        <v>3</v>
      </c>
      <c r="I190" s="16" t="s">
        <v>6</v>
      </c>
      <c r="J190" s="17">
        <v>0</v>
      </c>
      <c r="K190" s="17">
        <v>0</v>
      </c>
      <c r="L190" s="17">
        <v>0</v>
      </c>
      <c r="M190" s="17">
        <f>AVERAGE(Table14369011731729[[#This Row],[Teste 1]:[Teste 3]])</f>
        <v>0</v>
      </c>
      <c r="N190" s="16"/>
      <c r="O190" s="16" t="s">
        <v>3</v>
      </c>
      <c r="P190" s="16" t="s">
        <v>6</v>
      </c>
      <c r="Q190" s="17">
        <v>1</v>
      </c>
      <c r="R190" s="17">
        <v>1</v>
      </c>
      <c r="S190" s="17">
        <v>1</v>
      </c>
      <c r="T190" s="17">
        <f>AVERAGE(Table14369011731741[[#This Row],[Teste 1]:[Teste 3]])</f>
        <v>1</v>
      </c>
    </row>
    <row r="191" spans="1:36" x14ac:dyDescent="0.25">
      <c r="A191" s="16" t="s">
        <v>3</v>
      </c>
      <c r="B191" s="16" t="s">
        <v>7</v>
      </c>
      <c r="C191" s="17">
        <v>2</v>
      </c>
      <c r="D191" s="17">
        <v>7</v>
      </c>
      <c r="E191" s="17">
        <v>2</v>
      </c>
      <c r="F191" s="17">
        <f>AVERAGE(Table143690117317[[#This Row],[Teste 1]:[Teste 3]])</f>
        <v>3.6666666666666665</v>
      </c>
      <c r="G191" s="16"/>
      <c r="H191" s="16" t="s">
        <v>3</v>
      </c>
      <c r="I191" s="16" t="s">
        <v>7</v>
      </c>
      <c r="J191" s="17">
        <v>16</v>
      </c>
      <c r="K191" s="17">
        <v>6</v>
      </c>
      <c r="L191" s="17">
        <v>7</v>
      </c>
      <c r="M191" s="17">
        <f>AVERAGE(Table14369011731729[[#This Row],[Teste 1]:[Teste 3]])</f>
        <v>9.6666666666666661</v>
      </c>
      <c r="N191" s="16"/>
      <c r="O191" s="16" t="s">
        <v>3</v>
      </c>
      <c r="P191" s="16" t="s">
        <v>7</v>
      </c>
      <c r="Q191" s="17">
        <v>15783</v>
      </c>
      <c r="R191" s="17">
        <v>2461</v>
      </c>
      <c r="S191" s="17">
        <v>2261</v>
      </c>
      <c r="T191" s="17">
        <f>AVERAGE(Table14369011731741[[#This Row],[Teste 1]:[Teste 3]])</f>
        <v>6835</v>
      </c>
    </row>
    <row r="192" spans="1:36" x14ac:dyDescent="0.25">
      <c r="A192" s="16" t="s">
        <v>3</v>
      </c>
      <c r="B192" s="16" t="s">
        <v>8</v>
      </c>
      <c r="C192" s="17">
        <v>2</v>
      </c>
      <c r="D192" s="17">
        <v>7</v>
      </c>
      <c r="E192" s="17">
        <v>2</v>
      </c>
      <c r="F192" s="17">
        <f>AVERAGE(Table143690117317[[#This Row],[Teste 1]:[Teste 3]])</f>
        <v>3.6666666666666665</v>
      </c>
      <c r="G192" s="16"/>
      <c r="H192" s="16" t="s">
        <v>3</v>
      </c>
      <c r="I192" s="16" t="s">
        <v>8</v>
      </c>
      <c r="J192" s="17">
        <v>16</v>
      </c>
      <c r="K192" s="17">
        <v>6</v>
      </c>
      <c r="L192" s="17">
        <v>7</v>
      </c>
      <c r="M192" s="17">
        <f>AVERAGE(Table14369011731729[[#This Row],[Teste 1]:[Teste 3]])</f>
        <v>9.6666666666666661</v>
      </c>
      <c r="N192" s="16"/>
      <c r="O192" s="16" t="s">
        <v>3</v>
      </c>
      <c r="P192" s="16" t="s">
        <v>8</v>
      </c>
      <c r="Q192" s="17">
        <v>15783</v>
      </c>
      <c r="R192" s="17">
        <v>2461</v>
      </c>
      <c r="S192" s="17">
        <v>2261</v>
      </c>
      <c r="T192" s="17">
        <f>AVERAGE(Table14369011731741[[#This Row],[Teste 1]:[Teste 3]])</f>
        <v>6835</v>
      </c>
    </row>
    <row r="193" spans="1:34" x14ac:dyDescent="0.25">
      <c r="A193" s="16" t="s">
        <v>3</v>
      </c>
      <c r="B193" s="16" t="s">
        <v>9</v>
      </c>
      <c r="C193" s="17">
        <v>2</v>
      </c>
      <c r="D193" s="17">
        <v>7</v>
      </c>
      <c r="E193" s="17">
        <v>2</v>
      </c>
      <c r="F193" s="17">
        <f>AVERAGE(Table143690117317[[#This Row],[Teste 1]:[Teste 3]])</f>
        <v>3.6666666666666665</v>
      </c>
      <c r="G193" s="16"/>
      <c r="H193" s="16" t="s">
        <v>3</v>
      </c>
      <c r="I193" s="16" t="s">
        <v>9</v>
      </c>
      <c r="J193" s="17">
        <v>16</v>
      </c>
      <c r="K193" s="17">
        <v>6</v>
      </c>
      <c r="L193" s="17">
        <v>7</v>
      </c>
      <c r="M193" s="17">
        <f>AVERAGE(Table14369011731729[[#This Row],[Teste 1]:[Teste 3]])</f>
        <v>9.6666666666666661</v>
      </c>
      <c r="N193" s="16"/>
      <c r="O193" s="16" t="s">
        <v>3</v>
      </c>
      <c r="P193" s="16" t="s">
        <v>9</v>
      </c>
      <c r="Q193" s="17">
        <v>15783</v>
      </c>
      <c r="R193" s="17">
        <v>2461</v>
      </c>
      <c r="S193" s="17">
        <v>2261</v>
      </c>
      <c r="T193" s="17">
        <f>AVERAGE(Table14369011731741[[#This Row],[Teste 1]:[Teste 3]])</f>
        <v>6835</v>
      </c>
    </row>
    <row r="194" spans="1:34" x14ac:dyDescent="0.25">
      <c r="A194" s="16"/>
      <c r="B194" s="16"/>
      <c r="C194" s="17"/>
      <c r="D194" s="17"/>
      <c r="E194" s="17"/>
      <c r="F194" s="17"/>
      <c r="G194" s="16"/>
      <c r="H194" s="16"/>
      <c r="I194" s="16"/>
      <c r="J194" s="17"/>
      <c r="K194" s="17"/>
      <c r="L194" s="17"/>
      <c r="M194" s="17"/>
      <c r="N194" s="16"/>
      <c r="O194" s="16"/>
      <c r="P194" s="16"/>
      <c r="Q194" s="17"/>
      <c r="R194" s="17"/>
      <c r="S194" s="17"/>
      <c r="T194" s="17"/>
    </row>
    <row r="195" spans="1:34" x14ac:dyDescent="0.25">
      <c r="A195" s="16"/>
      <c r="B195" s="16"/>
      <c r="C195" s="17"/>
      <c r="D195" s="17"/>
      <c r="E195" s="17"/>
      <c r="F195" s="17"/>
      <c r="G195" s="16"/>
      <c r="H195" s="16"/>
      <c r="I195" s="16"/>
      <c r="J195" s="17"/>
      <c r="K195" s="17"/>
      <c r="L195" s="17"/>
      <c r="M195" s="17"/>
      <c r="N195" s="16"/>
      <c r="O195" s="16"/>
      <c r="P195" s="16"/>
      <c r="Q195" s="17"/>
      <c r="R195" s="17"/>
      <c r="S195" s="17"/>
      <c r="T195" s="17"/>
    </row>
    <row r="196" spans="1:34" x14ac:dyDescent="0.25">
      <c r="A196" s="16"/>
      <c r="B196" s="16"/>
      <c r="C196" s="17"/>
      <c r="D196" s="17"/>
      <c r="E196" s="17"/>
      <c r="F196" s="17"/>
      <c r="G196" s="16"/>
      <c r="H196" s="16"/>
      <c r="I196" s="16"/>
      <c r="J196" s="17"/>
      <c r="K196" s="17"/>
      <c r="L196" s="17"/>
      <c r="M196" s="17"/>
      <c r="N196" s="16"/>
      <c r="O196" s="16"/>
      <c r="P196" s="16"/>
      <c r="Q196" s="17"/>
      <c r="R196" s="17"/>
      <c r="S196" s="17"/>
      <c r="T196" s="17"/>
    </row>
    <row r="208" spans="1:34" x14ac:dyDescent="0.25">
      <c r="AH208" s="3"/>
    </row>
    <row r="209" spans="34:34" x14ac:dyDescent="0.25">
      <c r="AH209" s="3"/>
    </row>
    <row r="210" spans="34:34" x14ac:dyDescent="0.25">
      <c r="AH210" s="3"/>
    </row>
    <row r="211" spans="34:34" x14ac:dyDescent="0.25">
      <c r="AH211" s="3"/>
    </row>
    <row r="212" spans="34:34" x14ac:dyDescent="0.25">
      <c r="AH212" s="3"/>
    </row>
    <row r="213" spans="34:34" x14ac:dyDescent="0.25">
      <c r="AH213" s="3"/>
    </row>
    <row r="214" spans="34:34" x14ac:dyDescent="0.25">
      <c r="AH214" s="3"/>
    </row>
    <row r="233" spans="34:34" x14ac:dyDescent="0.25">
      <c r="AH233" s="3"/>
    </row>
    <row r="234" spans="34:34" x14ac:dyDescent="0.25">
      <c r="AH234" s="3"/>
    </row>
    <row r="235" spans="34:34" x14ac:dyDescent="0.25">
      <c r="AH235" s="3"/>
    </row>
    <row r="236" spans="34:34" x14ac:dyDescent="0.25">
      <c r="AH236" s="3"/>
    </row>
    <row r="237" spans="34:34" x14ac:dyDescent="0.25">
      <c r="AH237" s="3"/>
    </row>
    <row r="238" spans="34:34" x14ac:dyDescent="0.25">
      <c r="AH238" s="3"/>
    </row>
    <row r="239" spans="34:34" x14ac:dyDescent="0.25">
      <c r="AH239" s="3"/>
    </row>
  </sheetData>
  <phoneticPr fontId="1" type="noConversion"/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09F1-AF8A-4E77-B227-6159E5611994}">
  <dimension ref="A1:T259"/>
  <sheetViews>
    <sheetView zoomScale="87" zoomScaleNormal="87" workbookViewId="0">
      <selection activeCell="I4" sqref="I4"/>
    </sheetView>
  </sheetViews>
  <sheetFormatPr defaultRowHeight="15" x14ac:dyDescent="0.25"/>
  <cols>
    <col min="1" max="1" width="16.28515625" customWidth="1"/>
    <col min="2" max="2" width="24.7109375" customWidth="1"/>
    <col min="3" max="3" width="12.85546875" customWidth="1"/>
    <col min="4" max="4" width="13.28515625" customWidth="1"/>
    <col min="5" max="6" width="12.85546875" customWidth="1"/>
    <col min="7" max="7" width="11.140625" customWidth="1"/>
    <col min="8" max="8" width="14.140625" customWidth="1"/>
    <col min="9" max="9" width="24.42578125" customWidth="1"/>
    <col min="10" max="10" width="13" customWidth="1"/>
    <col min="11" max="11" width="13.140625" customWidth="1"/>
    <col min="12" max="12" width="14" customWidth="1"/>
    <col min="13" max="13" width="12.42578125" customWidth="1"/>
    <col min="14" max="14" width="10.140625" customWidth="1"/>
    <col min="15" max="15" width="15.140625" customWidth="1"/>
    <col min="16" max="16" width="24.85546875" customWidth="1"/>
    <col min="17" max="17" width="13" customWidth="1"/>
    <col min="18" max="18" width="12.7109375" customWidth="1"/>
    <col min="19" max="19" width="13.7109375" customWidth="1"/>
    <col min="20" max="20" width="13.28515625" customWidth="1"/>
    <col min="21" max="21" width="10.42578125" customWidth="1"/>
    <col min="22" max="23" width="10.28515625" customWidth="1"/>
    <col min="24" max="24" width="11.28515625" customWidth="1"/>
    <col min="25" max="25" width="10.7109375" customWidth="1"/>
    <col min="26" max="26" width="11" customWidth="1"/>
    <col min="27" max="27" width="10.7109375" customWidth="1"/>
    <col min="28" max="29" width="12.28515625" customWidth="1"/>
    <col min="30" max="30" width="12" customWidth="1"/>
    <col min="31" max="31" width="11.5703125" customWidth="1"/>
    <col min="32" max="32" width="15.85546875" customWidth="1"/>
    <col min="33" max="33" width="14.28515625" customWidth="1"/>
    <col min="34" max="34" width="27.7109375" customWidth="1"/>
    <col min="35" max="35" width="10.42578125" customWidth="1"/>
    <col min="36" max="36" width="10.7109375" customWidth="1"/>
    <col min="37" max="37" width="12" customWidth="1"/>
    <col min="38" max="38" width="12.5703125" customWidth="1"/>
    <col min="39" max="39" width="11.42578125" customWidth="1"/>
    <col min="40" max="42" width="10.5703125" customWidth="1"/>
    <col min="43" max="43" width="10.7109375" customWidth="1"/>
    <col min="44" max="44" width="11.7109375" customWidth="1"/>
    <col min="45" max="45" width="10.5703125" customWidth="1"/>
    <col min="46" max="46" width="11.7109375" customWidth="1"/>
    <col min="47" max="47" width="10.7109375" customWidth="1"/>
  </cols>
  <sheetData>
    <row r="1" spans="1:20" ht="18.75" x14ac:dyDescent="0.3">
      <c r="H1" s="1" t="s">
        <v>69</v>
      </c>
    </row>
    <row r="2" spans="1:20" ht="18.75" x14ac:dyDescent="0.3">
      <c r="H2" s="1" t="s">
        <v>70</v>
      </c>
    </row>
    <row r="4" spans="1:20" ht="15.75" x14ac:dyDescent="0.25">
      <c r="A4" s="2" t="s">
        <v>62</v>
      </c>
      <c r="H4" s="2" t="s">
        <v>62</v>
      </c>
      <c r="O4" s="2" t="s">
        <v>62</v>
      </c>
    </row>
    <row r="5" spans="1:20" ht="15.75" x14ac:dyDescent="0.25">
      <c r="A5" s="2" t="s">
        <v>65</v>
      </c>
      <c r="H5" s="2" t="s">
        <v>65</v>
      </c>
      <c r="O5" s="2" t="s">
        <v>65</v>
      </c>
    </row>
    <row r="6" spans="1:20" ht="15.75" x14ac:dyDescent="0.25">
      <c r="A6" s="16" t="s">
        <v>59</v>
      </c>
      <c r="B6" s="21" t="s">
        <v>62</v>
      </c>
      <c r="C6" s="16" t="s">
        <v>82</v>
      </c>
      <c r="D6" s="16" t="s">
        <v>64</v>
      </c>
      <c r="E6" s="16" t="s">
        <v>63</v>
      </c>
      <c r="F6" s="16" t="s">
        <v>18</v>
      </c>
      <c r="G6" s="16"/>
      <c r="H6" s="16" t="s">
        <v>12</v>
      </c>
      <c r="I6" s="21" t="s">
        <v>62</v>
      </c>
      <c r="J6" s="16" t="s">
        <v>82</v>
      </c>
      <c r="K6" s="16" t="s">
        <v>64</v>
      </c>
      <c r="L6" s="16" t="s">
        <v>63</v>
      </c>
      <c r="M6" s="16" t="s">
        <v>18</v>
      </c>
      <c r="N6" s="16"/>
      <c r="O6" s="16" t="s">
        <v>13</v>
      </c>
      <c r="P6" s="21" t="s">
        <v>62</v>
      </c>
      <c r="Q6" s="16" t="s">
        <v>82</v>
      </c>
      <c r="R6" s="16" t="s">
        <v>64</v>
      </c>
      <c r="S6" s="16" t="s">
        <v>63</v>
      </c>
      <c r="T6" s="16" t="s">
        <v>18</v>
      </c>
    </row>
    <row r="7" spans="1:20" x14ac:dyDescent="0.25">
      <c r="A7" s="16" t="s">
        <v>0</v>
      </c>
      <c r="B7" s="16" t="s">
        <v>1</v>
      </c>
      <c r="C7" s="17">
        <v>47415</v>
      </c>
      <c r="D7" s="17">
        <v>49142</v>
      </c>
      <c r="E7" s="17">
        <v>44623</v>
      </c>
      <c r="F7" s="17">
        <f>AVERAGE(Table143690117144[[#This Row],[Teste 1]:[Teste 3]])</f>
        <v>47060</v>
      </c>
      <c r="G7" s="16"/>
      <c r="H7" s="16" t="s">
        <v>0</v>
      </c>
      <c r="I7" s="16" t="s">
        <v>1</v>
      </c>
      <c r="J7" s="17">
        <v>50190</v>
      </c>
      <c r="K7" s="17">
        <v>52606</v>
      </c>
      <c r="L7" s="17">
        <v>48286</v>
      </c>
      <c r="M7" s="17">
        <f>AVERAGE(Table14369011714456[[#This Row],[Teste 1]:[Teste 3]])</f>
        <v>50360.666666666664</v>
      </c>
      <c r="N7" s="16"/>
      <c r="O7" s="16" t="s">
        <v>0</v>
      </c>
      <c r="P7" s="16" t="s">
        <v>1</v>
      </c>
      <c r="Q7" s="17">
        <v>17925</v>
      </c>
      <c r="R7" s="17">
        <v>18788</v>
      </c>
      <c r="S7" s="17">
        <v>17245</v>
      </c>
      <c r="T7" s="17">
        <f>AVERAGE(Table14369011714493[[#This Row],[Teste 1]:[Teste 3]])</f>
        <v>17986</v>
      </c>
    </row>
    <row r="8" spans="1:20" x14ac:dyDescent="0.25">
      <c r="A8" s="16" t="s">
        <v>0</v>
      </c>
      <c r="B8" s="16" t="s">
        <v>2</v>
      </c>
      <c r="C8" s="17">
        <v>2109.0372245070098</v>
      </c>
      <c r="D8" s="17">
        <v>2034.91921370721</v>
      </c>
      <c r="E8" s="17">
        <v>2261.2435527758598</v>
      </c>
      <c r="F8" s="17">
        <f>AVERAGE(Table143690117144[[#This Row],[Teste 1]:[Teste 3]])</f>
        <v>2135.06666366336</v>
      </c>
      <c r="G8" s="16"/>
      <c r="H8" s="16" t="s">
        <v>0</v>
      </c>
      <c r="I8" s="16" t="s">
        <v>2</v>
      </c>
      <c r="J8" s="17">
        <v>1992.43</v>
      </c>
      <c r="K8" s="17">
        <v>1900.91</v>
      </c>
      <c r="L8" s="17">
        <v>2070.9899999999998</v>
      </c>
      <c r="M8" s="17">
        <f>AVERAGE(Table14369011714456[[#This Row],[Teste 1]:[Teste 3]])</f>
        <v>1988.11</v>
      </c>
      <c r="N8" s="16"/>
      <c r="O8" s="16" t="s">
        <v>0</v>
      </c>
      <c r="P8" s="16" t="s">
        <v>2</v>
      </c>
      <c r="Q8" s="17">
        <v>5578.8005578800503</v>
      </c>
      <c r="R8" s="17">
        <v>5322.5463061528599</v>
      </c>
      <c r="S8" s="17">
        <v>5798.7822557262898</v>
      </c>
      <c r="T8" s="17">
        <f>AVERAGE(Table14369011714493[[#This Row],[Teste 1]:[Teste 3]])</f>
        <v>5566.7097065864</v>
      </c>
    </row>
    <row r="9" spans="1:20" x14ac:dyDescent="0.25">
      <c r="A9" s="16" t="s">
        <v>16</v>
      </c>
      <c r="B9" s="16" t="s">
        <v>4</v>
      </c>
      <c r="C9" s="17">
        <v>95033</v>
      </c>
      <c r="D9" s="17">
        <v>94894</v>
      </c>
      <c r="E9" s="17">
        <v>95000</v>
      </c>
      <c r="F9" s="17">
        <f>AVERAGE(Table143690117144[[#This Row],[Teste 1]:[Teste 3]])</f>
        <v>94975.666666666672</v>
      </c>
      <c r="G9" s="16"/>
      <c r="H9" s="16" t="s">
        <v>16</v>
      </c>
      <c r="I9" s="16" t="s">
        <v>4</v>
      </c>
      <c r="J9" s="17">
        <v>94990</v>
      </c>
      <c r="K9" s="17">
        <v>94960</v>
      </c>
      <c r="L9" s="17">
        <v>94931</v>
      </c>
      <c r="M9" s="17">
        <f>AVERAGE(Table14369011714456[[#This Row],[Teste 1]:[Teste 3]])</f>
        <v>94960.333333333328</v>
      </c>
      <c r="N9" s="16"/>
      <c r="O9" s="16" t="s">
        <v>16</v>
      </c>
      <c r="P9" s="16" t="s">
        <v>4</v>
      </c>
      <c r="Q9" s="17">
        <v>94994</v>
      </c>
      <c r="R9" s="17">
        <v>95088</v>
      </c>
      <c r="S9" s="17">
        <v>95062</v>
      </c>
      <c r="T9" s="17">
        <f>AVERAGE(Table14369011714493[[#This Row],[Teste 1]:[Teste 3]])</f>
        <v>95048</v>
      </c>
    </row>
    <row r="10" spans="1:20" x14ac:dyDescent="0.25">
      <c r="A10" s="16" t="s">
        <v>16</v>
      </c>
      <c r="B10" s="16" t="s">
        <v>5</v>
      </c>
      <c r="C10" s="17">
        <v>423.07013353256201</v>
      </c>
      <c r="D10" s="17">
        <v>438.55109912112403</v>
      </c>
      <c r="E10" s="17">
        <v>218.302642105263</v>
      </c>
      <c r="F10" s="17">
        <f>AVERAGE(Table143690117144[[#This Row],[Teste 1]:[Teste 3]])</f>
        <v>359.97462491964967</v>
      </c>
      <c r="G10" s="16"/>
      <c r="H10" s="16" t="s">
        <v>16</v>
      </c>
      <c r="I10" s="16" t="s">
        <v>5</v>
      </c>
      <c r="J10" s="17">
        <v>444.37</v>
      </c>
      <c r="K10" s="17">
        <v>468.99</v>
      </c>
      <c r="L10" s="17">
        <v>427.38</v>
      </c>
      <c r="M10" s="17">
        <f>AVERAGE(Table14369011714456[[#This Row],[Teste 1]:[Teste 3]])</f>
        <v>446.91333333333336</v>
      </c>
      <c r="N10" s="16"/>
      <c r="O10" s="16" t="s">
        <v>16</v>
      </c>
      <c r="P10" s="16" t="s">
        <v>5</v>
      </c>
      <c r="Q10" s="17">
        <v>158.704202370676</v>
      </c>
      <c r="R10" s="17">
        <v>167.496866060912</v>
      </c>
      <c r="S10" s="17">
        <v>152.63601649449799</v>
      </c>
      <c r="T10" s="17">
        <f>AVERAGE(Table14369011714493[[#This Row],[Teste 1]:[Teste 3]])</f>
        <v>159.61236164202867</v>
      </c>
    </row>
    <row r="11" spans="1:20" x14ac:dyDescent="0.25">
      <c r="A11" s="16" t="s">
        <v>16</v>
      </c>
      <c r="B11" s="16" t="s">
        <v>6</v>
      </c>
      <c r="C11" s="17">
        <v>183</v>
      </c>
      <c r="D11" s="17">
        <v>174</v>
      </c>
      <c r="E11" s="17">
        <v>82</v>
      </c>
      <c r="F11" s="17">
        <f>AVERAGE(Table143690117144[[#This Row],[Teste 1]:[Teste 3]])</f>
        <v>146.33333333333334</v>
      </c>
      <c r="G11" s="16"/>
      <c r="H11" s="16" t="s">
        <v>16</v>
      </c>
      <c r="I11" s="16" t="s">
        <v>6</v>
      </c>
      <c r="J11" s="17">
        <v>286</v>
      </c>
      <c r="K11" s="17">
        <v>311</v>
      </c>
      <c r="L11" s="17">
        <v>286</v>
      </c>
      <c r="M11" s="17">
        <f>AVERAGE(Table14369011714456[[#This Row],[Teste 1]:[Teste 3]])</f>
        <v>294.33333333333331</v>
      </c>
      <c r="N11" s="16"/>
      <c r="O11" s="16" t="s">
        <v>16</v>
      </c>
      <c r="P11" s="16" t="s">
        <v>6</v>
      </c>
      <c r="Q11" s="17">
        <v>102</v>
      </c>
      <c r="R11" s="17">
        <v>111</v>
      </c>
      <c r="S11" s="17">
        <v>102</v>
      </c>
      <c r="T11" s="17">
        <f>AVERAGE(Table14369011714493[[#This Row],[Teste 1]:[Teste 3]])</f>
        <v>105</v>
      </c>
    </row>
    <row r="12" spans="1:20" x14ac:dyDescent="0.25">
      <c r="A12" s="16" t="s">
        <v>16</v>
      </c>
      <c r="B12" s="16" t="s">
        <v>7</v>
      </c>
      <c r="C12" s="17">
        <v>16671</v>
      </c>
      <c r="D12" s="17">
        <v>15431</v>
      </c>
      <c r="E12" s="17">
        <v>8959</v>
      </c>
      <c r="F12" s="17">
        <f>AVERAGE(Table143690117144[[#This Row],[Teste 1]:[Teste 3]])</f>
        <v>13687</v>
      </c>
      <c r="G12" s="16"/>
      <c r="H12" s="16" t="s">
        <v>16</v>
      </c>
      <c r="I12" s="16" t="s">
        <v>7</v>
      </c>
      <c r="J12" s="17">
        <v>78890</v>
      </c>
      <c r="K12" s="17">
        <v>87716</v>
      </c>
      <c r="L12" s="17">
        <v>87268</v>
      </c>
      <c r="M12" s="17">
        <f>AVERAGE(Table14369011714456[[#This Row],[Teste 1]:[Teste 3]])</f>
        <v>84624.666666666672</v>
      </c>
      <c r="N12" s="16"/>
      <c r="O12" s="16" t="s">
        <v>16</v>
      </c>
      <c r="P12" s="16" t="s">
        <v>7</v>
      </c>
      <c r="Q12" s="17">
        <v>28175</v>
      </c>
      <c r="R12" s="17">
        <v>31327</v>
      </c>
      <c r="S12" s="17">
        <v>31167</v>
      </c>
      <c r="T12" s="17">
        <f>AVERAGE(Table14369011714493[[#This Row],[Teste 1]:[Teste 3]])</f>
        <v>30223</v>
      </c>
    </row>
    <row r="13" spans="1:20" x14ac:dyDescent="0.25">
      <c r="A13" s="16" t="s">
        <v>16</v>
      </c>
      <c r="B13" s="16" t="s">
        <v>8</v>
      </c>
      <c r="C13" s="17">
        <v>601</v>
      </c>
      <c r="D13" s="17">
        <v>612</v>
      </c>
      <c r="E13" s="17">
        <v>352</v>
      </c>
      <c r="F13" s="17">
        <f>AVERAGE(Table143690117144[[#This Row],[Teste 1]:[Teste 3]])</f>
        <v>521.66666666666663</v>
      </c>
      <c r="G13" s="16"/>
      <c r="H13" s="16" t="s">
        <v>16</v>
      </c>
      <c r="I13" s="16" t="s">
        <v>8</v>
      </c>
      <c r="J13" s="17">
        <v>644</v>
      </c>
      <c r="K13" s="17">
        <v>678</v>
      </c>
      <c r="L13" s="17">
        <v>582</v>
      </c>
      <c r="M13" s="17">
        <f>AVERAGE(Table14369011714456[[#This Row],[Teste 1]:[Teste 3]])</f>
        <v>634.66666666666663</v>
      </c>
      <c r="N13" s="16"/>
      <c r="O13" s="16" t="s">
        <v>16</v>
      </c>
      <c r="P13" s="16" t="s">
        <v>8</v>
      </c>
      <c r="Q13" s="17">
        <v>230</v>
      </c>
      <c r="R13" s="17">
        <v>242</v>
      </c>
      <c r="S13" s="17">
        <v>208</v>
      </c>
      <c r="T13" s="17">
        <f>AVERAGE(Table14369011714493[[#This Row],[Teste 1]:[Teste 3]])</f>
        <v>226.66666666666666</v>
      </c>
    </row>
    <row r="14" spans="1:20" x14ac:dyDescent="0.25">
      <c r="A14" s="16" t="s">
        <v>16</v>
      </c>
      <c r="B14" s="16" t="s">
        <v>9</v>
      </c>
      <c r="C14" s="17">
        <v>975</v>
      </c>
      <c r="D14" s="17">
        <v>1073</v>
      </c>
      <c r="E14" s="17">
        <v>681</v>
      </c>
      <c r="F14" s="17">
        <f>AVERAGE(Table143690117144[[#This Row],[Teste 1]:[Teste 3]])</f>
        <v>909.66666666666663</v>
      </c>
      <c r="G14" s="16"/>
      <c r="H14" s="16" t="s">
        <v>16</v>
      </c>
      <c r="I14" s="16" t="s">
        <v>9</v>
      </c>
      <c r="J14" s="17">
        <v>1084</v>
      </c>
      <c r="K14" s="17">
        <v>1070</v>
      </c>
      <c r="L14" s="17">
        <v>994</v>
      </c>
      <c r="M14" s="17">
        <f>AVERAGE(Table14369011714456[[#This Row],[Teste 1]:[Teste 3]])</f>
        <v>1049.3333333333333</v>
      </c>
      <c r="N14" s="16"/>
      <c r="O14" s="16" t="s">
        <v>16</v>
      </c>
      <c r="P14" s="16" t="s">
        <v>9</v>
      </c>
      <c r="Q14" s="17">
        <v>387</v>
      </c>
      <c r="R14" s="17">
        <v>382</v>
      </c>
      <c r="S14" s="17">
        <v>355</v>
      </c>
      <c r="T14" s="17">
        <f>AVERAGE(Table14369011714493[[#This Row],[Teste 1]:[Teste 3]])</f>
        <v>374.66666666666669</v>
      </c>
    </row>
    <row r="15" spans="1:20" x14ac:dyDescent="0.25">
      <c r="A15" s="16" t="s">
        <v>16</v>
      </c>
      <c r="B15" s="16" t="s">
        <v>11</v>
      </c>
      <c r="C15" s="17">
        <v>95033</v>
      </c>
      <c r="D15" s="17">
        <v>94894</v>
      </c>
      <c r="E15" s="17">
        <v>95000</v>
      </c>
      <c r="F15" s="17">
        <f>AVERAGE(Table143690117144[[#This Row],[Teste 1]:[Teste 3]])</f>
        <v>94975.666666666672</v>
      </c>
      <c r="G15" s="16"/>
      <c r="H15" s="16" t="s">
        <v>16</v>
      </c>
      <c r="I15" s="16" t="s">
        <v>11</v>
      </c>
      <c r="J15" s="17">
        <v>94990</v>
      </c>
      <c r="K15" s="17">
        <v>94960</v>
      </c>
      <c r="L15" s="17">
        <v>94931</v>
      </c>
      <c r="M15" s="17">
        <f>AVERAGE(Table14369011714456[[#This Row],[Teste 1]:[Teste 3]])</f>
        <v>94960.333333333328</v>
      </c>
      <c r="N15" s="16"/>
      <c r="O15" s="16" t="s">
        <v>16</v>
      </c>
      <c r="P15" s="16" t="s">
        <v>11</v>
      </c>
      <c r="Q15" s="17">
        <v>94994</v>
      </c>
      <c r="R15" s="17">
        <v>95088</v>
      </c>
      <c r="S15" s="17">
        <v>95062</v>
      </c>
      <c r="T15" s="17">
        <f>AVERAGE(Table14369011714493[[#This Row],[Teste 1]:[Teste 3]])</f>
        <v>95048</v>
      </c>
    </row>
    <row r="16" spans="1:20" x14ac:dyDescent="0.25">
      <c r="A16" s="16" t="s">
        <v>3</v>
      </c>
      <c r="B16" s="16" t="s">
        <v>4</v>
      </c>
      <c r="C16" s="17">
        <v>1</v>
      </c>
      <c r="D16" s="17">
        <v>1</v>
      </c>
      <c r="E16" s="17">
        <v>1</v>
      </c>
      <c r="F16" s="17">
        <f>AVERAGE(Table143690117144[[#This Row],[Teste 1]:[Teste 3]])</f>
        <v>1</v>
      </c>
      <c r="G16" s="16"/>
      <c r="H16" s="16" t="s">
        <v>3</v>
      </c>
      <c r="I16" s="16" t="s">
        <v>4</v>
      </c>
      <c r="J16" s="17">
        <v>1</v>
      </c>
      <c r="K16" s="17">
        <v>1</v>
      </c>
      <c r="L16" s="17">
        <v>1</v>
      </c>
      <c r="M16" s="17">
        <f>AVERAGE(Table14369011714456[[#This Row],[Teste 1]:[Teste 3]])</f>
        <v>1</v>
      </c>
      <c r="N16" s="16"/>
      <c r="O16" s="16" t="s">
        <v>3</v>
      </c>
      <c r="P16" s="16" t="s">
        <v>4</v>
      </c>
      <c r="Q16" s="17">
        <v>1</v>
      </c>
      <c r="R16" s="17">
        <v>1</v>
      </c>
      <c r="S16" s="17">
        <v>1</v>
      </c>
      <c r="T16" s="17">
        <f>AVERAGE(Table14369011714493[[#This Row],[Teste 1]:[Teste 3]])</f>
        <v>1</v>
      </c>
    </row>
    <row r="17" spans="1:20" x14ac:dyDescent="0.25">
      <c r="A17" s="16" t="s">
        <v>3</v>
      </c>
      <c r="B17" s="16" t="s">
        <v>5</v>
      </c>
      <c r="C17" s="17">
        <v>8</v>
      </c>
      <c r="D17" s="17">
        <v>9</v>
      </c>
      <c r="E17" s="17">
        <v>7</v>
      </c>
      <c r="F17" s="17">
        <f>AVERAGE(Table143690117144[[#This Row],[Teste 1]:[Teste 3]])</f>
        <v>8</v>
      </c>
      <c r="G17" s="16"/>
      <c r="H17" s="16" t="s">
        <v>3</v>
      </c>
      <c r="I17" s="16" t="s">
        <v>5</v>
      </c>
      <c r="J17" s="17">
        <v>11</v>
      </c>
      <c r="K17" s="17">
        <v>13</v>
      </c>
      <c r="L17" s="17">
        <v>11</v>
      </c>
      <c r="M17" s="17">
        <f>AVERAGE(Table14369011714456[[#This Row],[Teste 1]:[Teste 3]])</f>
        <v>11.666666666666666</v>
      </c>
      <c r="N17" s="16"/>
      <c r="O17" s="16" t="s">
        <v>3</v>
      </c>
      <c r="P17" s="16" t="s">
        <v>5</v>
      </c>
      <c r="Q17" s="17">
        <v>1176</v>
      </c>
      <c r="R17" s="17">
        <v>1021</v>
      </c>
      <c r="S17" s="17">
        <v>1019</v>
      </c>
      <c r="T17" s="17">
        <f>AVERAGE(Table14369011714493[[#This Row],[Teste 1]:[Teste 3]])</f>
        <v>1072</v>
      </c>
    </row>
    <row r="18" spans="1:20" x14ac:dyDescent="0.25">
      <c r="A18" s="16" t="s">
        <v>3</v>
      </c>
      <c r="B18" s="16" t="s">
        <v>6</v>
      </c>
      <c r="C18" s="17">
        <v>8</v>
      </c>
      <c r="D18" s="17">
        <v>9</v>
      </c>
      <c r="E18" s="17">
        <v>7</v>
      </c>
      <c r="F18" s="17">
        <f>AVERAGE(Table143690117144[[#This Row],[Teste 1]:[Teste 3]])</f>
        <v>8</v>
      </c>
      <c r="G18" s="16"/>
      <c r="H18" s="16" t="s">
        <v>3</v>
      </c>
      <c r="I18" s="16" t="s">
        <v>6</v>
      </c>
      <c r="J18" s="17">
        <v>11</v>
      </c>
      <c r="K18" s="17">
        <v>13</v>
      </c>
      <c r="L18" s="17">
        <v>11</v>
      </c>
      <c r="M18" s="17">
        <f>AVERAGE(Table14369011714456[[#This Row],[Teste 1]:[Teste 3]])</f>
        <v>11.666666666666666</v>
      </c>
      <c r="N18" s="16"/>
      <c r="O18" s="16" t="s">
        <v>3</v>
      </c>
      <c r="P18" s="16" t="s">
        <v>6</v>
      </c>
      <c r="Q18" s="17">
        <v>1176</v>
      </c>
      <c r="R18" s="17">
        <v>1021</v>
      </c>
      <c r="S18" s="17">
        <v>1019</v>
      </c>
      <c r="T18" s="17">
        <f>AVERAGE(Table14369011714493[[#This Row],[Teste 1]:[Teste 3]])</f>
        <v>1072</v>
      </c>
    </row>
    <row r="19" spans="1:20" x14ac:dyDescent="0.25">
      <c r="A19" s="16" t="s">
        <v>3</v>
      </c>
      <c r="B19" s="16" t="s">
        <v>7</v>
      </c>
      <c r="C19" s="17">
        <v>8</v>
      </c>
      <c r="D19" s="17">
        <v>9</v>
      </c>
      <c r="E19" s="17">
        <v>7</v>
      </c>
      <c r="F19" s="17">
        <f>AVERAGE(Table143690117144[[#This Row],[Teste 1]:[Teste 3]])</f>
        <v>8</v>
      </c>
      <c r="G19" s="16"/>
      <c r="H19" s="16" t="s">
        <v>3</v>
      </c>
      <c r="I19" s="16" t="s">
        <v>7</v>
      </c>
      <c r="J19" s="17">
        <v>11</v>
      </c>
      <c r="K19" s="17">
        <v>13</v>
      </c>
      <c r="L19" s="17">
        <v>11</v>
      </c>
      <c r="M19" s="17">
        <f>AVERAGE(Table14369011714456[[#This Row],[Teste 1]:[Teste 3]])</f>
        <v>11.666666666666666</v>
      </c>
      <c r="N19" s="16"/>
      <c r="O19" s="16" t="s">
        <v>3</v>
      </c>
      <c r="P19" s="16" t="s">
        <v>7</v>
      </c>
      <c r="Q19" s="17">
        <v>1176</v>
      </c>
      <c r="R19" s="17">
        <v>1021</v>
      </c>
      <c r="S19" s="17">
        <v>1019</v>
      </c>
      <c r="T19" s="17">
        <f>AVERAGE(Table14369011714493[[#This Row],[Teste 1]:[Teste 3]])</f>
        <v>1072</v>
      </c>
    </row>
    <row r="20" spans="1:20" x14ac:dyDescent="0.25">
      <c r="A20" s="16" t="s">
        <v>3</v>
      </c>
      <c r="B20" s="16" t="s">
        <v>8</v>
      </c>
      <c r="C20" s="17">
        <v>8</v>
      </c>
      <c r="D20" s="17">
        <v>9</v>
      </c>
      <c r="E20" s="17">
        <v>7</v>
      </c>
      <c r="F20" s="17">
        <f>AVERAGE(Table143690117144[[#This Row],[Teste 1]:[Teste 3]])</f>
        <v>8</v>
      </c>
      <c r="G20" s="16"/>
      <c r="H20" s="16" t="s">
        <v>3</v>
      </c>
      <c r="I20" s="16" t="s">
        <v>8</v>
      </c>
      <c r="J20" s="17">
        <v>11</v>
      </c>
      <c r="K20" s="17">
        <v>13</v>
      </c>
      <c r="L20" s="17">
        <v>11</v>
      </c>
      <c r="M20" s="17">
        <f>AVERAGE(Table14369011714456[[#This Row],[Teste 1]:[Teste 3]])</f>
        <v>11.666666666666666</v>
      </c>
      <c r="N20" s="16"/>
      <c r="O20" s="16" t="s">
        <v>3</v>
      </c>
      <c r="P20" s="16" t="s">
        <v>8</v>
      </c>
      <c r="Q20" s="17">
        <v>1176</v>
      </c>
      <c r="R20" s="17">
        <v>1021</v>
      </c>
      <c r="S20" s="17">
        <v>1019</v>
      </c>
      <c r="T20" s="17">
        <f>AVERAGE(Table14369011714493[[#This Row],[Teste 1]:[Teste 3]])</f>
        <v>1072</v>
      </c>
    </row>
    <row r="21" spans="1:20" x14ac:dyDescent="0.25">
      <c r="A21" s="16" t="s">
        <v>3</v>
      </c>
      <c r="B21" s="16" t="s">
        <v>9</v>
      </c>
      <c r="C21" s="17">
        <v>8</v>
      </c>
      <c r="D21" s="17">
        <v>9</v>
      </c>
      <c r="E21" s="17">
        <v>7</v>
      </c>
      <c r="F21" s="17">
        <f>AVERAGE(Table143690117144[[#This Row],[Teste 1]:[Teste 3]])</f>
        <v>8</v>
      </c>
      <c r="G21" s="16"/>
      <c r="H21" s="16" t="s">
        <v>3</v>
      </c>
      <c r="I21" s="16" t="s">
        <v>9</v>
      </c>
      <c r="J21" s="17">
        <v>11</v>
      </c>
      <c r="K21" s="17">
        <v>13</v>
      </c>
      <c r="L21" s="17">
        <v>11</v>
      </c>
      <c r="M21" s="17">
        <f>AVERAGE(Table14369011714456[[#This Row],[Teste 1]:[Teste 3]])</f>
        <v>11.666666666666666</v>
      </c>
      <c r="N21" s="16"/>
      <c r="O21" s="16" t="s">
        <v>3</v>
      </c>
      <c r="P21" s="16" t="s">
        <v>9</v>
      </c>
      <c r="Q21" s="17">
        <v>1176</v>
      </c>
      <c r="R21" s="17">
        <v>1021</v>
      </c>
      <c r="S21" s="17">
        <v>1019</v>
      </c>
      <c r="T21" s="17">
        <f>AVERAGE(Table14369011714493[[#This Row],[Teste 1]:[Teste 3]])</f>
        <v>1072</v>
      </c>
    </row>
    <row r="22" spans="1:20" x14ac:dyDescent="0.25">
      <c r="A22" s="16" t="s">
        <v>10</v>
      </c>
      <c r="B22" s="16" t="s">
        <v>4</v>
      </c>
      <c r="C22" s="17">
        <v>4967</v>
      </c>
      <c r="D22" s="17">
        <v>5106</v>
      </c>
      <c r="E22" s="17">
        <v>5000</v>
      </c>
      <c r="F22" s="17">
        <f>AVERAGE(Table143690117144[[#This Row],[Teste 1]:[Teste 3]])</f>
        <v>5024.333333333333</v>
      </c>
      <c r="G22" s="16"/>
      <c r="H22" s="16" t="s">
        <v>10</v>
      </c>
      <c r="I22" s="16" t="s">
        <v>4</v>
      </c>
      <c r="J22" s="17">
        <v>5010</v>
      </c>
      <c r="K22" s="17">
        <v>5069</v>
      </c>
      <c r="L22" s="17">
        <v>5069</v>
      </c>
      <c r="M22" s="17">
        <f>AVERAGE(Table14369011714456[[#This Row],[Teste 1]:[Teste 3]])</f>
        <v>5049.333333333333</v>
      </c>
      <c r="N22" s="16"/>
      <c r="O22" s="16" t="s">
        <v>10</v>
      </c>
      <c r="P22" s="16" t="s">
        <v>4</v>
      </c>
      <c r="Q22" s="17">
        <v>5006</v>
      </c>
      <c r="R22" s="17">
        <v>4912</v>
      </c>
      <c r="S22" s="17">
        <v>4938</v>
      </c>
      <c r="T22" s="17">
        <f>AVERAGE(Table14369011714493[[#This Row],[Teste 1]:[Teste 3]])</f>
        <v>4952</v>
      </c>
    </row>
    <row r="23" spans="1:20" x14ac:dyDescent="0.25">
      <c r="A23" s="16" t="s">
        <v>10</v>
      </c>
      <c r="B23" s="16" t="s">
        <v>5</v>
      </c>
      <c r="C23" s="17">
        <v>915.96174753372202</v>
      </c>
      <c r="D23" s="17">
        <v>937.09792401096695</v>
      </c>
      <c r="E23" s="17">
        <v>519.42359999999996</v>
      </c>
      <c r="F23" s="17">
        <f>AVERAGE(Table143690117144[[#This Row],[Teste 1]:[Teste 3]])</f>
        <v>790.82775718156302</v>
      </c>
      <c r="G23" s="16"/>
      <c r="H23" s="16" t="s">
        <v>10</v>
      </c>
      <c r="I23" s="16" t="s">
        <v>5</v>
      </c>
      <c r="J23" s="17">
        <v>994.09</v>
      </c>
      <c r="K23" s="17">
        <v>1026.22</v>
      </c>
      <c r="L23" s="17">
        <v>951.51</v>
      </c>
      <c r="M23" s="17">
        <f>AVERAGE(Table14369011714456[[#This Row],[Teste 1]:[Teste 3]])</f>
        <v>990.60666666666657</v>
      </c>
      <c r="N23" s="16"/>
      <c r="O23" s="16" t="s">
        <v>10</v>
      </c>
      <c r="P23" s="16" t="s">
        <v>5</v>
      </c>
      <c r="Q23" s="17">
        <v>355.03375948861299</v>
      </c>
      <c r="R23" s="17">
        <v>366.50692182410398</v>
      </c>
      <c r="S23" s="17">
        <v>339.82320777642701</v>
      </c>
      <c r="T23" s="17">
        <f>AVERAGE(Table14369011714493[[#This Row],[Teste 1]:[Teste 3]])</f>
        <v>353.7879630297146</v>
      </c>
    </row>
    <row r="24" spans="1:20" x14ac:dyDescent="0.25">
      <c r="A24" s="16" t="s">
        <v>10</v>
      </c>
      <c r="B24" s="16" t="s">
        <v>6</v>
      </c>
      <c r="C24" s="17">
        <v>576</v>
      </c>
      <c r="D24" s="17">
        <v>609</v>
      </c>
      <c r="E24" s="17">
        <v>266</v>
      </c>
      <c r="F24" s="17">
        <f>AVERAGE(Table143690117144[[#This Row],[Teste 1]:[Teste 3]])</f>
        <v>483.66666666666669</v>
      </c>
      <c r="G24" s="16"/>
      <c r="H24" s="16" t="s">
        <v>10</v>
      </c>
      <c r="I24" s="16" t="s">
        <v>6</v>
      </c>
      <c r="J24" s="17">
        <v>588</v>
      </c>
      <c r="K24" s="17">
        <v>610</v>
      </c>
      <c r="L24" s="17">
        <v>599</v>
      </c>
      <c r="M24" s="17">
        <f>AVERAGE(Table14369011714456[[#This Row],[Teste 1]:[Teste 3]])</f>
        <v>599</v>
      </c>
      <c r="N24" s="16"/>
      <c r="O24" s="16" t="s">
        <v>10</v>
      </c>
      <c r="P24" s="16" t="s">
        <v>6</v>
      </c>
      <c r="Q24" s="17">
        <v>210</v>
      </c>
      <c r="R24" s="17">
        <v>218</v>
      </c>
      <c r="S24" s="17">
        <v>214</v>
      </c>
      <c r="T24" s="17">
        <f>AVERAGE(Table14369011714493[[#This Row],[Teste 1]:[Teste 3]])</f>
        <v>214</v>
      </c>
    </row>
    <row r="25" spans="1:20" x14ac:dyDescent="0.25">
      <c r="A25" s="16" t="s">
        <v>10</v>
      </c>
      <c r="B25" s="16" t="s">
        <v>7</v>
      </c>
      <c r="C25" s="17">
        <v>17375</v>
      </c>
      <c r="D25" s="17">
        <v>16943</v>
      </c>
      <c r="E25" s="17">
        <v>8647</v>
      </c>
      <c r="F25" s="17">
        <f>AVERAGE(Table143690117144[[#This Row],[Teste 1]:[Teste 3]])</f>
        <v>14321.666666666666</v>
      </c>
      <c r="G25" s="16"/>
      <c r="H25" s="16" t="s">
        <v>10</v>
      </c>
      <c r="I25" s="16" t="s">
        <v>7</v>
      </c>
      <c r="J25" s="17">
        <v>26989</v>
      </c>
      <c r="K25" s="17">
        <v>36711</v>
      </c>
      <c r="L25" s="17">
        <v>24794</v>
      </c>
      <c r="M25" s="17">
        <f>AVERAGE(Table14369011714456[[#This Row],[Teste 1]:[Teste 3]])</f>
        <v>29498</v>
      </c>
      <c r="N25" s="16"/>
      <c r="O25" s="16" t="s">
        <v>10</v>
      </c>
      <c r="P25" s="16" t="s">
        <v>7</v>
      </c>
      <c r="Q25" s="17">
        <v>9639</v>
      </c>
      <c r="R25" s="17">
        <v>13111</v>
      </c>
      <c r="S25" s="17">
        <v>8855</v>
      </c>
      <c r="T25" s="17">
        <f>AVERAGE(Table14369011714493[[#This Row],[Teste 1]:[Teste 3]])</f>
        <v>10535</v>
      </c>
    </row>
    <row r="26" spans="1:20" x14ac:dyDescent="0.25">
      <c r="A26" s="16" t="s">
        <v>10</v>
      </c>
      <c r="B26" s="16" t="s">
        <v>8</v>
      </c>
      <c r="C26" s="17">
        <v>1323</v>
      </c>
      <c r="D26" s="17">
        <v>1387</v>
      </c>
      <c r="E26" s="17">
        <v>790</v>
      </c>
      <c r="F26" s="17">
        <f>AVERAGE(Table143690117144[[#This Row],[Teste 1]:[Teste 3]])</f>
        <v>1166.6666666666667</v>
      </c>
      <c r="G26" s="16"/>
      <c r="H26" s="16" t="s">
        <v>10</v>
      </c>
      <c r="I26" s="16" t="s">
        <v>8</v>
      </c>
      <c r="J26" s="17">
        <v>1504</v>
      </c>
      <c r="K26" s="17">
        <v>1490</v>
      </c>
      <c r="L26" s="17">
        <v>1406</v>
      </c>
      <c r="M26" s="17">
        <f>AVERAGE(Table14369011714456[[#This Row],[Teste 1]:[Teste 3]])</f>
        <v>1466.6666666666667</v>
      </c>
      <c r="N26" s="16"/>
      <c r="O26" s="16" t="s">
        <v>10</v>
      </c>
      <c r="P26" s="16" t="s">
        <v>8</v>
      </c>
      <c r="Q26" s="17">
        <v>537</v>
      </c>
      <c r="R26" s="17">
        <v>532</v>
      </c>
      <c r="S26" s="17">
        <v>502</v>
      </c>
      <c r="T26" s="17">
        <f>AVERAGE(Table14369011714493[[#This Row],[Teste 1]:[Teste 3]])</f>
        <v>523.66666666666663</v>
      </c>
    </row>
    <row r="27" spans="1:20" x14ac:dyDescent="0.25">
      <c r="A27" s="16" t="s">
        <v>10</v>
      </c>
      <c r="B27" s="16" t="s">
        <v>9</v>
      </c>
      <c r="C27" s="17">
        <v>2285</v>
      </c>
      <c r="D27" s="17">
        <v>2361</v>
      </c>
      <c r="E27" s="17">
        <v>1326</v>
      </c>
      <c r="F27" s="17">
        <f>AVERAGE(Table143690117144[[#This Row],[Teste 1]:[Teste 3]])</f>
        <v>1990.6666666666667</v>
      </c>
      <c r="G27" s="16"/>
      <c r="H27" s="16" t="s">
        <v>10</v>
      </c>
      <c r="I27" s="16" t="s">
        <v>9</v>
      </c>
      <c r="J27" s="17">
        <v>2036</v>
      </c>
      <c r="K27" s="17">
        <v>2019</v>
      </c>
      <c r="L27" s="17">
        <v>1912</v>
      </c>
      <c r="M27" s="17">
        <f>AVERAGE(Table14369011714456[[#This Row],[Teste 1]:[Teste 3]])</f>
        <v>1989</v>
      </c>
      <c r="N27" s="16"/>
      <c r="O27" s="16" t="s">
        <v>10</v>
      </c>
      <c r="P27" s="16" t="s">
        <v>9</v>
      </c>
      <c r="Q27" s="17">
        <v>727</v>
      </c>
      <c r="R27" s="17">
        <v>721</v>
      </c>
      <c r="S27" s="17">
        <v>683</v>
      </c>
      <c r="T27" s="17">
        <f>AVERAGE(Table14369011714493[[#This Row],[Teste 1]:[Teste 3]])</f>
        <v>710.33333333333337</v>
      </c>
    </row>
    <row r="28" spans="1:20" x14ac:dyDescent="0.25">
      <c r="A28" s="16" t="s">
        <v>10</v>
      </c>
      <c r="B28" s="16" t="s">
        <v>11</v>
      </c>
      <c r="C28" s="17">
        <v>4967</v>
      </c>
      <c r="D28" s="17">
        <v>5106</v>
      </c>
      <c r="E28" s="17">
        <v>5000</v>
      </c>
      <c r="F28" s="17">
        <f>AVERAGE(Table143690117144[[#This Row],[Teste 1]:[Teste 3]])</f>
        <v>5024.333333333333</v>
      </c>
      <c r="G28" s="16"/>
      <c r="H28" s="16" t="s">
        <v>10</v>
      </c>
      <c r="I28" s="16" t="s">
        <v>11</v>
      </c>
      <c r="J28" s="17">
        <v>5010</v>
      </c>
      <c r="K28" s="17">
        <v>5069</v>
      </c>
      <c r="L28" s="17">
        <v>5069</v>
      </c>
      <c r="M28" s="17">
        <f>AVERAGE(Table14369011714456[[#This Row],[Teste 1]:[Teste 3]])</f>
        <v>5049.333333333333</v>
      </c>
      <c r="N28" s="16"/>
      <c r="O28" s="16" t="s">
        <v>10</v>
      </c>
      <c r="P28" s="16" t="s">
        <v>11</v>
      </c>
      <c r="Q28" s="17">
        <v>5006</v>
      </c>
      <c r="R28" s="17">
        <v>4912</v>
      </c>
      <c r="S28" s="17">
        <v>4938</v>
      </c>
      <c r="T28" s="17">
        <f>AVERAGE(Table14369011714493[[#This Row],[Teste 1]:[Teste 3]])</f>
        <v>4952</v>
      </c>
    </row>
    <row r="29" spans="1:20" x14ac:dyDescent="0.25">
      <c r="A29" s="16"/>
      <c r="B29" s="16"/>
      <c r="C29" s="17"/>
      <c r="D29" s="17"/>
      <c r="E29" s="17"/>
      <c r="F29" s="17"/>
      <c r="G29" s="16"/>
      <c r="H29" s="16"/>
      <c r="I29" s="16"/>
      <c r="J29" s="17"/>
      <c r="K29" s="17"/>
      <c r="L29" s="17"/>
      <c r="M29" s="17"/>
      <c r="N29" s="16"/>
      <c r="O29" s="16"/>
      <c r="P29" s="16"/>
      <c r="Q29" s="17"/>
      <c r="R29" s="17"/>
      <c r="S29" s="17"/>
      <c r="T29" s="17"/>
    </row>
    <row r="30" spans="1:20" x14ac:dyDescent="0.25">
      <c r="A30" s="16"/>
      <c r="B30" s="16"/>
      <c r="C30" s="17"/>
      <c r="D30" s="17"/>
      <c r="E30" s="17"/>
      <c r="F30" s="17"/>
      <c r="G30" s="16"/>
      <c r="H30" s="16"/>
      <c r="I30" s="16"/>
      <c r="J30" s="17"/>
      <c r="K30" s="17"/>
      <c r="L30" s="17"/>
      <c r="M30" s="17"/>
      <c r="N30" s="16"/>
      <c r="O30" s="16"/>
      <c r="P30" s="16"/>
      <c r="Q30" s="17"/>
      <c r="R30" s="17"/>
      <c r="S30" s="17"/>
      <c r="T30" s="17"/>
    </row>
    <row r="31" spans="1:20" x14ac:dyDescent="0.25">
      <c r="A31" s="16"/>
      <c r="B31" s="16"/>
      <c r="C31" s="17"/>
      <c r="D31" s="17"/>
      <c r="E31" s="17"/>
      <c r="F31" s="17"/>
      <c r="G31" s="16"/>
      <c r="H31" s="16"/>
      <c r="I31" s="16"/>
      <c r="J31" s="17"/>
      <c r="K31" s="17"/>
      <c r="L31" s="17"/>
      <c r="M31" s="17"/>
      <c r="N31" s="16"/>
      <c r="O31" s="16"/>
      <c r="P31" s="16"/>
      <c r="Q31" s="17"/>
      <c r="R31" s="17"/>
      <c r="S31" s="17"/>
      <c r="T31" s="17"/>
    </row>
    <row r="33" spans="1:20" ht="15.75" x14ac:dyDescent="0.25">
      <c r="A33" s="2" t="s">
        <v>74</v>
      </c>
      <c r="H33" s="2" t="s">
        <v>74</v>
      </c>
      <c r="O33" s="2" t="s">
        <v>74</v>
      </c>
    </row>
    <row r="34" spans="1:20" ht="15.75" x14ac:dyDescent="0.25">
      <c r="A34" s="16" t="s">
        <v>59</v>
      </c>
      <c r="B34" s="21" t="s">
        <v>62</v>
      </c>
      <c r="C34" s="16" t="s">
        <v>82</v>
      </c>
      <c r="D34" s="16" t="s">
        <v>64</v>
      </c>
      <c r="E34" s="16" t="s">
        <v>63</v>
      </c>
      <c r="F34" s="16" t="s">
        <v>18</v>
      </c>
      <c r="G34" s="16"/>
      <c r="H34" s="16" t="s">
        <v>12</v>
      </c>
      <c r="I34" s="21" t="s">
        <v>62</v>
      </c>
      <c r="J34" s="16" t="s">
        <v>82</v>
      </c>
      <c r="K34" s="16" t="s">
        <v>64</v>
      </c>
      <c r="L34" s="16" t="s">
        <v>63</v>
      </c>
      <c r="M34" s="16" t="s">
        <v>18</v>
      </c>
      <c r="N34" s="16"/>
      <c r="O34" s="16" t="s">
        <v>13</v>
      </c>
      <c r="P34" s="21" t="s">
        <v>62</v>
      </c>
      <c r="Q34" s="16" t="s">
        <v>82</v>
      </c>
      <c r="R34" s="16" t="s">
        <v>64</v>
      </c>
      <c r="S34" s="16" t="s">
        <v>63</v>
      </c>
      <c r="T34" s="16" t="s">
        <v>18</v>
      </c>
    </row>
    <row r="35" spans="1:20" x14ac:dyDescent="0.25">
      <c r="A35" s="16" t="s">
        <v>0</v>
      </c>
      <c r="B35" s="16" t="s">
        <v>1</v>
      </c>
      <c r="C35" s="17">
        <v>12087</v>
      </c>
      <c r="D35" s="17">
        <v>11712</v>
      </c>
      <c r="E35" s="17">
        <v>12236</v>
      </c>
      <c r="F35" s="17">
        <f>AVERAGE(Table14369011714445[[#This Row],[Teste 1]:[Teste 3]])</f>
        <v>12011.666666666666</v>
      </c>
      <c r="G35" s="16"/>
      <c r="H35" s="16" t="s">
        <v>0</v>
      </c>
      <c r="I35" s="16" t="s">
        <v>1</v>
      </c>
      <c r="J35" s="17">
        <v>19591</v>
      </c>
      <c r="K35" s="17">
        <v>18447</v>
      </c>
      <c r="L35" s="17">
        <v>18972</v>
      </c>
      <c r="M35" s="17">
        <f>AVERAGE(Table1436901171444557[[#This Row],[Teste 1]:[Teste 3]])</f>
        <v>19003.333333333332</v>
      </c>
      <c r="N35" s="16"/>
      <c r="O35" s="16" t="s">
        <v>0</v>
      </c>
      <c r="P35" s="16" t="s">
        <v>1</v>
      </c>
      <c r="Q35" s="17">
        <v>7535</v>
      </c>
      <c r="R35" s="17">
        <v>7095</v>
      </c>
      <c r="S35" s="17">
        <v>7297</v>
      </c>
      <c r="T35" s="17">
        <f>AVERAGE(Table1436901171444594[[#This Row],[Teste 1]:[Teste 3]])</f>
        <v>7309</v>
      </c>
    </row>
    <row r="36" spans="1:20" x14ac:dyDescent="0.25">
      <c r="A36" s="16" t="s">
        <v>0</v>
      </c>
      <c r="B36" s="16" t="s">
        <v>2</v>
      </c>
      <c r="C36" s="17">
        <v>8527.5501426178307</v>
      </c>
      <c r="D36" s="17">
        <v>8538.2513661202192</v>
      </c>
      <c r="E36" s="17">
        <v>8172.60542661</v>
      </c>
      <c r="F36" s="17">
        <f>AVERAGE(Table14369011714445[[#This Row],[Teste 1]:[Teste 3]])</f>
        <v>8412.8023117826833</v>
      </c>
      <c r="G36" s="16"/>
      <c r="H36" s="16" t="s">
        <v>0</v>
      </c>
      <c r="I36" s="16" t="s">
        <v>2</v>
      </c>
      <c r="J36" s="17">
        <v>5104.3900000000003</v>
      </c>
      <c r="K36" s="17">
        <v>5420.94</v>
      </c>
      <c r="L36" s="17">
        <v>5270.87</v>
      </c>
      <c r="M36" s="17">
        <f>AVERAGE(Table1436901171444557[[#This Row],[Teste 1]:[Teste 3]])</f>
        <v>5265.4000000000005</v>
      </c>
      <c r="N36" s="16"/>
      <c r="O36" s="16" t="s">
        <v>0</v>
      </c>
      <c r="P36" s="16" t="s">
        <v>2</v>
      </c>
      <c r="Q36" s="17">
        <v>13271.400132713999</v>
      </c>
      <c r="R36" s="17">
        <v>14094.4326990838</v>
      </c>
      <c r="S36" s="17">
        <v>13704.262025489899</v>
      </c>
      <c r="T36" s="17">
        <f>AVERAGE(Table1436901171444594[[#This Row],[Teste 1]:[Teste 3]])</f>
        <v>13690.0316190959</v>
      </c>
    </row>
    <row r="37" spans="1:20" x14ac:dyDescent="0.25">
      <c r="A37" s="16" t="s">
        <v>16</v>
      </c>
      <c r="B37" s="16" t="s">
        <v>4</v>
      </c>
      <c r="C37" s="17">
        <v>94990</v>
      </c>
      <c r="D37" s="17">
        <v>95075</v>
      </c>
      <c r="E37" s="17">
        <v>95057</v>
      </c>
      <c r="F37" s="17">
        <f>AVERAGE(Table14369011714445[[#This Row],[Teste 1]:[Teste 3]])</f>
        <v>95040.666666666672</v>
      </c>
      <c r="G37" s="16"/>
      <c r="H37" s="16" t="s">
        <v>16</v>
      </c>
      <c r="I37" s="16" t="s">
        <v>4</v>
      </c>
      <c r="J37" s="17">
        <v>95033</v>
      </c>
      <c r="K37" s="17">
        <v>95088</v>
      </c>
      <c r="L37" s="17">
        <v>94960</v>
      </c>
      <c r="M37" s="17">
        <f>AVERAGE(Table1436901171444557[[#This Row],[Teste 1]:[Teste 3]])</f>
        <v>95027</v>
      </c>
      <c r="N37" s="16"/>
      <c r="O37" s="16" t="s">
        <v>16</v>
      </c>
      <c r="P37" s="16" t="s">
        <v>4</v>
      </c>
      <c r="Q37" s="17">
        <v>95056</v>
      </c>
      <c r="R37" s="17">
        <v>94938</v>
      </c>
      <c r="S37" s="17">
        <v>94931</v>
      </c>
      <c r="T37" s="17">
        <f>AVERAGE(Table1436901171444594[[#This Row],[Teste 1]:[Teste 3]])</f>
        <v>94975</v>
      </c>
    </row>
    <row r="38" spans="1:20" x14ac:dyDescent="0.25">
      <c r="A38" s="16" t="s">
        <v>16</v>
      </c>
      <c r="B38" s="16" t="s">
        <v>5</v>
      </c>
      <c r="C38" s="17">
        <v>561.66503842509701</v>
      </c>
      <c r="D38" s="17">
        <v>306.423118590586</v>
      </c>
      <c r="E38" s="17">
        <v>321.83211125956001</v>
      </c>
      <c r="F38" s="17">
        <f>AVERAGE(Table14369011714445[[#This Row],[Teste 1]:[Teste 3]])</f>
        <v>396.64008942508099</v>
      </c>
      <c r="G38" s="16"/>
      <c r="H38" s="16" t="s">
        <v>16</v>
      </c>
      <c r="I38" s="16" t="s">
        <v>5</v>
      </c>
      <c r="J38" s="17">
        <v>486.44</v>
      </c>
      <c r="K38" s="17">
        <v>455.98</v>
      </c>
      <c r="L38" s="17">
        <v>469.16</v>
      </c>
      <c r="M38" s="17">
        <f>AVERAGE(Table1436901171444557[[#This Row],[Teste 1]:[Teste 3]])</f>
        <v>470.5266666666667</v>
      </c>
      <c r="N38" s="16"/>
      <c r="O38" s="16" t="s">
        <v>16</v>
      </c>
      <c r="P38" s="16" t="s">
        <v>5</v>
      </c>
      <c r="Q38" s="17">
        <v>187.091051590641</v>
      </c>
      <c r="R38" s="17">
        <v>175.37578208936301</v>
      </c>
      <c r="S38" s="17">
        <v>180.444101505303</v>
      </c>
      <c r="T38" s="17">
        <f>AVERAGE(Table1436901171444594[[#This Row],[Teste 1]:[Teste 3]])</f>
        <v>180.97031172843569</v>
      </c>
    </row>
    <row r="39" spans="1:20" x14ac:dyDescent="0.25">
      <c r="A39" s="16" t="s">
        <v>16</v>
      </c>
      <c r="B39" s="16" t="s">
        <v>6</v>
      </c>
      <c r="C39" s="17">
        <v>157</v>
      </c>
      <c r="D39" s="17">
        <v>76</v>
      </c>
      <c r="E39" s="17">
        <v>76</v>
      </c>
      <c r="F39" s="17">
        <f>AVERAGE(Table14369011714445[[#This Row],[Teste 1]:[Teste 3]])</f>
        <v>103</v>
      </c>
      <c r="G39" s="16"/>
      <c r="H39" s="16" t="s">
        <v>16</v>
      </c>
      <c r="I39" s="16" t="s">
        <v>6</v>
      </c>
      <c r="J39" s="17">
        <v>255</v>
      </c>
      <c r="K39" s="17">
        <v>257</v>
      </c>
      <c r="L39" s="17">
        <v>265</v>
      </c>
      <c r="M39" s="17">
        <f>AVERAGE(Table1436901171444557[[#This Row],[Teste 1]:[Teste 3]])</f>
        <v>259</v>
      </c>
      <c r="N39" s="16"/>
      <c r="O39" s="16" t="s">
        <v>16</v>
      </c>
      <c r="P39" s="16" t="s">
        <v>6</v>
      </c>
      <c r="Q39" s="17">
        <v>98</v>
      </c>
      <c r="R39" s="17">
        <v>99</v>
      </c>
      <c r="S39" s="17">
        <v>102</v>
      </c>
      <c r="T39" s="17">
        <f>AVERAGE(Table1436901171444594[[#This Row],[Teste 1]:[Teste 3]])</f>
        <v>99.666666666666671</v>
      </c>
    </row>
    <row r="40" spans="1:20" x14ac:dyDescent="0.25">
      <c r="A40" s="16" t="s">
        <v>16</v>
      </c>
      <c r="B40" s="16" t="s">
        <v>7</v>
      </c>
      <c r="C40" s="17">
        <v>153599</v>
      </c>
      <c r="D40" s="17">
        <v>222207</v>
      </c>
      <c r="E40" s="17">
        <v>56447</v>
      </c>
      <c r="F40" s="17">
        <f>AVERAGE(Table14369011714445[[#This Row],[Teste 1]:[Teste 3]])</f>
        <v>144084.33333333334</v>
      </c>
      <c r="G40" s="16"/>
      <c r="H40" s="16" t="s">
        <v>16</v>
      </c>
      <c r="I40" s="16" t="s">
        <v>7</v>
      </c>
      <c r="J40" s="17">
        <v>81575</v>
      </c>
      <c r="K40" s="17">
        <v>78372</v>
      </c>
      <c r="L40" s="17">
        <v>79453</v>
      </c>
      <c r="M40" s="17">
        <f>AVERAGE(Table1436901171444557[[#This Row],[Teste 1]:[Teste 3]])</f>
        <v>79800</v>
      </c>
      <c r="N40" s="16"/>
      <c r="O40" s="16" t="s">
        <v>16</v>
      </c>
      <c r="P40" s="16" t="s">
        <v>7</v>
      </c>
      <c r="Q40" s="17">
        <v>31375</v>
      </c>
      <c r="R40" s="17">
        <v>30143</v>
      </c>
      <c r="S40" s="17">
        <v>30559</v>
      </c>
      <c r="T40" s="17">
        <f>AVERAGE(Table1436901171444594[[#This Row],[Teste 1]:[Teste 3]])</f>
        <v>30692.333333333332</v>
      </c>
    </row>
    <row r="41" spans="1:20" x14ac:dyDescent="0.25">
      <c r="A41" s="16" t="s">
        <v>16</v>
      </c>
      <c r="B41" s="16" t="s">
        <v>8</v>
      </c>
      <c r="C41" s="17">
        <v>1012</v>
      </c>
      <c r="D41" s="17">
        <v>584</v>
      </c>
      <c r="E41" s="17">
        <v>627</v>
      </c>
      <c r="F41" s="17">
        <f>AVERAGE(Table14369011714445[[#This Row],[Teste 1]:[Teste 3]])</f>
        <v>741</v>
      </c>
      <c r="G41" s="16"/>
      <c r="H41" s="16" t="s">
        <v>16</v>
      </c>
      <c r="I41" s="16" t="s">
        <v>8</v>
      </c>
      <c r="J41" s="17">
        <v>726</v>
      </c>
      <c r="K41" s="17">
        <v>686</v>
      </c>
      <c r="L41" s="17">
        <v>673</v>
      </c>
      <c r="M41" s="17">
        <f>AVERAGE(Table1436901171444557[[#This Row],[Teste 1]:[Teste 3]])</f>
        <v>695</v>
      </c>
      <c r="N41" s="16"/>
      <c r="O41" s="16" t="s">
        <v>16</v>
      </c>
      <c r="P41" s="16" t="s">
        <v>8</v>
      </c>
      <c r="Q41" s="17">
        <v>279</v>
      </c>
      <c r="R41" s="17">
        <v>264</v>
      </c>
      <c r="S41" s="17">
        <v>259</v>
      </c>
      <c r="T41" s="17">
        <f>AVERAGE(Table1436901171444594[[#This Row],[Teste 1]:[Teste 3]])</f>
        <v>267.33333333333331</v>
      </c>
    </row>
    <row r="42" spans="1:20" x14ac:dyDescent="0.25">
      <c r="A42" s="16" t="s">
        <v>16</v>
      </c>
      <c r="B42" s="16" t="s">
        <v>9</v>
      </c>
      <c r="C42" s="17">
        <v>1994</v>
      </c>
      <c r="D42" s="17">
        <v>1351</v>
      </c>
      <c r="E42" s="17">
        <v>1573</v>
      </c>
      <c r="F42" s="17">
        <f>AVERAGE(Table14369011714445[[#This Row],[Teste 1]:[Teste 3]])</f>
        <v>1639.3333333333333</v>
      </c>
      <c r="G42" s="16"/>
      <c r="H42" s="16" t="s">
        <v>16</v>
      </c>
      <c r="I42" s="16" t="s">
        <v>9</v>
      </c>
      <c r="J42" s="17">
        <v>1485</v>
      </c>
      <c r="K42" s="17">
        <v>1048</v>
      </c>
      <c r="L42" s="17">
        <v>1165</v>
      </c>
      <c r="M42" s="17">
        <f>AVERAGE(Table1436901171444557[[#This Row],[Teste 1]:[Teste 3]])</f>
        <v>1232.6666666666667</v>
      </c>
      <c r="N42" s="16"/>
      <c r="O42" s="16" t="s">
        <v>16</v>
      </c>
      <c r="P42" s="16" t="s">
        <v>9</v>
      </c>
      <c r="Q42" s="17">
        <v>571</v>
      </c>
      <c r="R42" s="17">
        <v>403</v>
      </c>
      <c r="S42" s="17">
        <v>448</v>
      </c>
      <c r="T42" s="17">
        <f>AVERAGE(Table1436901171444594[[#This Row],[Teste 1]:[Teste 3]])</f>
        <v>474</v>
      </c>
    </row>
    <row r="43" spans="1:20" x14ac:dyDescent="0.25">
      <c r="A43" s="16" t="s">
        <v>16</v>
      </c>
      <c r="B43" s="16" t="s">
        <v>11</v>
      </c>
      <c r="C43" s="17">
        <v>94990</v>
      </c>
      <c r="D43" s="17">
        <v>95075</v>
      </c>
      <c r="E43" s="17">
        <v>95057</v>
      </c>
      <c r="F43" s="17">
        <f>AVERAGE(Table14369011714445[[#This Row],[Teste 1]:[Teste 3]])</f>
        <v>95040.666666666672</v>
      </c>
      <c r="G43" s="16"/>
      <c r="H43" s="16" t="s">
        <v>16</v>
      </c>
      <c r="I43" s="16" t="s">
        <v>11</v>
      </c>
      <c r="J43" s="17">
        <v>95033</v>
      </c>
      <c r="K43" s="17">
        <v>95088</v>
      </c>
      <c r="L43" s="17">
        <v>94960</v>
      </c>
      <c r="M43" s="17">
        <f>AVERAGE(Table1436901171444557[[#This Row],[Teste 1]:[Teste 3]])</f>
        <v>95027</v>
      </c>
      <c r="N43" s="16"/>
      <c r="O43" s="16" t="s">
        <v>16</v>
      </c>
      <c r="P43" s="16" t="s">
        <v>11</v>
      </c>
      <c r="Q43" s="17">
        <v>95056</v>
      </c>
      <c r="R43" s="17">
        <v>94938</v>
      </c>
      <c r="S43" s="17">
        <v>94931</v>
      </c>
      <c r="T43" s="17">
        <f>AVERAGE(Table1436901171444594[[#This Row],[Teste 1]:[Teste 3]])</f>
        <v>94975</v>
      </c>
    </row>
    <row r="44" spans="1:20" x14ac:dyDescent="0.25">
      <c r="A44" s="16" t="s">
        <v>3</v>
      </c>
      <c r="B44" s="16" t="s">
        <v>4</v>
      </c>
      <c r="C44" s="17">
        <v>3</v>
      </c>
      <c r="D44" s="17">
        <v>3</v>
      </c>
      <c r="E44" s="17">
        <v>3</v>
      </c>
      <c r="F44" s="17">
        <f>AVERAGE(Table14369011714445[[#This Row],[Teste 1]:[Teste 3]])</f>
        <v>3</v>
      </c>
      <c r="G44" s="16"/>
      <c r="H44" s="16" t="s">
        <v>3</v>
      </c>
      <c r="I44" s="16" t="s">
        <v>4</v>
      </c>
      <c r="J44" s="17">
        <v>3</v>
      </c>
      <c r="K44" s="17">
        <v>3</v>
      </c>
      <c r="L44" s="17">
        <v>3</v>
      </c>
      <c r="M44" s="17">
        <f>AVERAGE(Table1436901171444557[[#This Row],[Teste 1]:[Teste 3]])</f>
        <v>3</v>
      </c>
      <c r="N44" s="16"/>
      <c r="O44" s="16" t="s">
        <v>3</v>
      </c>
      <c r="P44" s="16" t="s">
        <v>4</v>
      </c>
      <c r="Q44" s="17">
        <v>3</v>
      </c>
      <c r="R44" s="17">
        <v>3</v>
      </c>
      <c r="S44" s="17">
        <v>3</v>
      </c>
      <c r="T44" s="17">
        <f>AVERAGE(Table1436901171444594[[#This Row],[Teste 1]:[Teste 3]])</f>
        <v>3</v>
      </c>
    </row>
    <row r="45" spans="1:20" x14ac:dyDescent="0.25">
      <c r="A45" s="16" t="s">
        <v>3</v>
      </c>
      <c r="B45" s="16" t="s">
        <v>5</v>
      </c>
      <c r="C45" s="17">
        <v>4</v>
      </c>
      <c r="D45" s="17">
        <v>2.3333333333333299</v>
      </c>
      <c r="E45" s="17">
        <v>2.3333333333333299</v>
      </c>
      <c r="F45" s="17">
        <f>AVERAGE(Table14369011714445[[#This Row],[Teste 1]:[Teste 3]])</f>
        <v>2.8888888888888871</v>
      </c>
      <c r="G45" s="16"/>
      <c r="H45" s="16" t="s">
        <v>3</v>
      </c>
      <c r="I45" s="16" t="s">
        <v>5</v>
      </c>
      <c r="J45" s="17">
        <v>2.33</v>
      </c>
      <c r="K45" s="17">
        <v>2.33</v>
      </c>
      <c r="L45" s="17">
        <v>2.33</v>
      </c>
      <c r="M45" s="17">
        <f>AVERAGE(Table1436901171444557[[#This Row],[Teste 1]:[Teste 3]])</f>
        <v>2.33</v>
      </c>
      <c r="N45" s="16"/>
      <c r="O45" s="16" t="s">
        <v>3</v>
      </c>
      <c r="P45" s="16" t="s">
        <v>5</v>
      </c>
      <c r="Q45" s="17">
        <v>405</v>
      </c>
      <c r="R45" s="17">
        <v>385.666666666666</v>
      </c>
      <c r="S45" s="17">
        <v>398.666666666666</v>
      </c>
      <c r="T45" s="17">
        <f>AVERAGE(Table1436901171444594[[#This Row],[Teste 1]:[Teste 3]])</f>
        <v>396.44444444444406</v>
      </c>
    </row>
    <row r="46" spans="1:20" x14ac:dyDescent="0.25">
      <c r="A46" s="16" t="s">
        <v>3</v>
      </c>
      <c r="B46" s="16" t="s">
        <v>6</v>
      </c>
      <c r="C46" s="17">
        <v>1</v>
      </c>
      <c r="D46" s="17">
        <v>1</v>
      </c>
      <c r="E46" s="17">
        <v>0</v>
      </c>
      <c r="F46" s="17">
        <f>AVERAGE(Table14369011714445[[#This Row],[Teste 1]:[Teste 3]])</f>
        <v>0.66666666666666663</v>
      </c>
      <c r="G46" s="16"/>
      <c r="H46" s="16" t="s">
        <v>3</v>
      </c>
      <c r="I46" s="16" t="s">
        <v>6</v>
      </c>
      <c r="J46" s="17">
        <v>2</v>
      </c>
      <c r="K46" s="17">
        <v>2</v>
      </c>
      <c r="L46" s="17">
        <v>2</v>
      </c>
      <c r="M46" s="17">
        <f>AVERAGE(Table1436901171444557[[#This Row],[Teste 1]:[Teste 3]])</f>
        <v>2</v>
      </c>
      <c r="N46" s="16"/>
      <c r="O46" s="16" t="s">
        <v>3</v>
      </c>
      <c r="P46" s="16" t="s">
        <v>6</v>
      </c>
      <c r="Q46" s="17">
        <v>1</v>
      </c>
      <c r="R46" s="17">
        <v>2</v>
      </c>
      <c r="S46" s="17">
        <v>2</v>
      </c>
      <c r="T46" s="17">
        <f>AVERAGE(Table1436901171444594[[#This Row],[Teste 1]:[Teste 3]])</f>
        <v>1.6666666666666667</v>
      </c>
    </row>
    <row r="47" spans="1:20" x14ac:dyDescent="0.25">
      <c r="A47" s="16" t="s">
        <v>3</v>
      </c>
      <c r="B47" s="16" t="s">
        <v>7</v>
      </c>
      <c r="C47" s="17">
        <v>9</v>
      </c>
      <c r="D47" s="17">
        <v>5</v>
      </c>
      <c r="E47" s="17">
        <v>6</v>
      </c>
      <c r="F47" s="17">
        <f>AVERAGE(Table14369011714445[[#This Row],[Teste 1]:[Teste 3]])</f>
        <v>6.666666666666667</v>
      </c>
      <c r="G47" s="16"/>
      <c r="H47" s="16" t="s">
        <v>3</v>
      </c>
      <c r="I47" s="16" t="s">
        <v>7</v>
      </c>
      <c r="J47" s="17">
        <v>9</v>
      </c>
      <c r="K47" s="17">
        <v>9</v>
      </c>
      <c r="L47" s="17">
        <v>9</v>
      </c>
      <c r="M47" s="17">
        <f>AVERAGE(Table1436901171444557[[#This Row],[Teste 1]:[Teste 3]])</f>
        <v>9</v>
      </c>
      <c r="N47" s="16"/>
      <c r="O47" s="16" t="s">
        <v>3</v>
      </c>
      <c r="P47" s="16" t="s">
        <v>7</v>
      </c>
      <c r="Q47" s="17">
        <v>1200</v>
      </c>
      <c r="R47" s="17">
        <v>1145</v>
      </c>
      <c r="S47" s="17">
        <v>1184</v>
      </c>
      <c r="T47" s="17">
        <f>AVERAGE(Table1436901171444594[[#This Row],[Teste 1]:[Teste 3]])</f>
        <v>1176.3333333333333</v>
      </c>
    </row>
    <row r="48" spans="1:20" x14ac:dyDescent="0.25">
      <c r="A48" s="16" t="s">
        <v>3</v>
      </c>
      <c r="B48" s="16" t="s">
        <v>8</v>
      </c>
      <c r="C48" s="17">
        <v>9</v>
      </c>
      <c r="D48" s="17">
        <v>5</v>
      </c>
      <c r="E48" s="17">
        <v>6</v>
      </c>
      <c r="F48" s="17">
        <f>AVERAGE(Table14369011714445[[#This Row],[Teste 1]:[Teste 3]])</f>
        <v>6.666666666666667</v>
      </c>
      <c r="G48" s="16"/>
      <c r="H48" s="16" t="s">
        <v>3</v>
      </c>
      <c r="I48" s="16" t="s">
        <v>8</v>
      </c>
      <c r="J48" s="17">
        <v>9</v>
      </c>
      <c r="K48" s="17">
        <v>9</v>
      </c>
      <c r="L48" s="17">
        <v>9</v>
      </c>
      <c r="M48" s="17">
        <f>AVERAGE(Table1436901171444557[[#This Row],[Teste 1]:[Teste 3]])</f>
        <v>9</v>
      </c>
      <c r="N48" s="16"/>
      <c r="O48" s="16" t="s">
        <v>3</v>
      </c>
      <c r="P48" s="16" t="s">
        <v>8</v>
      </c>
      <c r="Q48" s="17">
        <v>1200</v>
      </c>
      <c r="R48" s="17">
        <v>1145</v>
      </c>
      <c r="S48" s="17">
        <v>1184</v>
      </c>
      <c r="T48" s="17">
        <f>AVERAGE(Table1436901171444594[[#This Row],[Teste 1]:[Teste 3]])</f>
        <v>1176.3333333333333</v>
      </c>
    </row>
    <row r="49" spans="1:20" x14ac:dyDescent="0.25">
      <c r="A49" s="16" t="s">
        <v>3</v>
      </c>
      <c r="B49" s="16" t="s">
        <v>9</v>
      </c>
      <c r="C49" s="17">
        <v>9</v>
      </c>
      <c r="D49" s="17">
        <v>5</v>
      </c>
      <c r="E49" s="17">
        <v>6</v>
      </c>
      <c r="F49" s="17">
        <f>AVERAGE(Table14369011714445[[#This Row],[Teste 1]:[Teste 3]])</f>
        <v>6.666666666666667</v>
      </c>
      <c r="G49" s="16"/>
      <c r="H49" s="16" t="s">
        <v>3</v>
      </c>
      <c r="I49" s="16" t="s">
        <v>9</v>
      </c>
      <c r="J49" s="17">
        <v>9</v>
      </c>
      <c r="K49" s="17">
        <v>9</v>
      </c>
      <c r="L49" s="17">
        <v>9</v>
      </c>
      <c r="M49" s="17">
        <f>AVERAGE(Table1436901171444557[[#This Row],[Teste 1]:[Teste 3]])</f>
        <v>9</v>
      </c>
      <c r="N49" s="16"/>
      <c r="O49" s="16" t="s">
        <v>3</v>
      </c>
      <c r="P49" s="16" t="s">
        <v>9</v>
      </c>
      <c r="Q49" s="17">
        <v>1200</v>
      </c>
      <c r="R49" s="17">
        <v>1145</v>
      </c>
      <c r="S49" s="17">
        <v>1184</v>
      </c>
      <c r="T49" s="17">
        <f>AVERAGE(Table1436901171444594[[#This Row],[Teste 1]:[Teste 3]])</f>
        <v>1176.3333333333333</v>
      </c>
    </row>
    <row r="50" spans="1:20" x14ac:dyDescent="0.25">
      <c r="A50" s="16" t="s">
        <v>10</v>
      </c>
      <c r="B50" s="16" t="s">
        <v>4</v>
      </c>
      <c r="C50" s="17">
        <v>5010</v>
      </c>
      <c r="D50" s="17">
        <v>4925</v>
      </c>
      <c r="E50" s="17">
        <v>4943</v>
      </c>
      <c r="F50" s="17">
        <f>AVERAGE(Table14369011714445[[#This Row],[Teste 1]:[Teste 3]])</f>
        <v>4959.333333333333</v>
      </c>
      <c r="G50" s="16"/>
      <c r="H50" s="16" t="s">
        <v>10</v>
      </c>
      <c r="I50" s="16" t="s">
        <v>4</v>
      </c>
      <c r="J50" s="17">
        <v>4967</v>
      </c>
      <c r="K50" s="17">
        <v>4912</v>
      </c>
      <c r="L50" s="17">
        <v>5040</v>
      </c>
      <c r="M50" s="17">
        <f>AVERAGE(Table1436901171444557[[#This Row],[Teste 1]:[Teste 3]])</f>
        <v>4973</v>
      </c>
      <c r="N50" s="16"/>
      <c r="O50" s="16" t="s">
        <v>10</v>
      </c>
      <c r="P50" s="16" t="s">
        <v>4</v>
      </c>
      <c r="Q50" s="17">
        <v>4944</v>
      </c>
      <c r="R50" s="17">
        <v>5062</v>
      </c>
      <c r="S50" s="17">
        <v>5069</v>
      </c>
      <c r="T50" s="17">
        <f>AVERAGE(Table1436901171444594[[#This Row],[Teste 1]:[Teste 3]])</f>
        <v>5025</v>
      </c>
    </row>
    <row r="51" spans="1:20" x14ac:dyDescent="0.25">
      <c r="A51" s="16" t="s">
        <v>10</v>
      </c>
      <c r="B51" s="16" t="s">
        <v>5</v>
      </c>
      <c r="C51" s="17">
        <v>1183.0485029940101</v>
      </c>
      <c r="D51" s="17">
        <v>619.443045685279</v>
      </c>
      <c r="E51" s="17">
        <v>653.95448108436096</v>
      </c>
      <c r="F51" s="17">
        <f>AVERAGE(Table14369011714445[[#This Row],[Teste 1]:[Teste 3]])</f>
        <v>818.81534325455004</v>
      </c>
      <c r="G51" s="16"/>
      <c r="H51" s="16" t="s">
        <v>10</v>
      </c>
      <c r="I51" s="16" t="s">
        <v>5</v>
      </c>
      <c r="J51" s="17">
        <v>1124.27</v>
      </c>
      <c r="K51" s="17">
        <v>1045.49</v>
      </c>
      <c r="L51" s="17">
        <v>1073.67</v>
      </c>
      <c r="M51" s="17">
        <f>AVERAGE(Table1436901171444557[[#This Row],[Teste 1]:[Teste 3]])</f>
        <v>1081.1433333333334</v>
      </c>
      <c r="N51" s="16"/>
      <c r="O51" s="16" t="s">
        <v>10</v>
      </c>
      <c r="P51" s="16" t="s">
        <v>5</v>
      </c>
      <c r="Q51" s="17">
        <v>432.41262135922301</v>
      </c>
      <c r="R51" s="17">
        <v>402.11102331094401</v>
      </c>
      <c r="S51" s="17">
        <v>412.94831327678003</v>
      </c>
      <c r="T51" s="17">
        <f>AVERAGE(Table1436901171444594[[#This Row],[Teste 1]:[Teste 3]])</f>
        <v>415.82398598231566</v>
      </c>
    </row>
    <row r="52" spans="1:20" x14ac:dyDescent="0.25">
      <c r="A52" s="16" t="s">
        <v>10</v>
      </c>
      <c r="B52" s="16" t="s">
        <v>6</v>
      </c>
      <c r="C52" s="17">
        <v>547</v>
      </c>
      <c r="D52" s="17">
        <v>272</v>
      </c>
      <c r="E52" s="17">
        <v>267</v>
      </c>
      <c r="F52" s="17">
        <f>AVERAGE(Table14369011714445[[#This Row],[Teste 1]:[Teste 3]])</f>
        <v>362</v>
      </c>
      <c r="G52" s="16"/>
      <c r="H52" s="16" t="s">
        <v>10</v>
      </c>
      <c r="I52" s="16" t="s">
        <v>6</v>
      </c>
      <c r="J52" s="17">
        <v>595</v>
      </c>
      <c r="K52" s="17">
        <v>554</v>
      </c>
      <c r="L52" s="17">
        <v>598</v>
      </c>
      <c r="M52" s="17">
        <f>AVERAGE(Table1436901171444557[[#This Row],[Teste 1]:[Teste 3]])</f>
        <v>582.33333333333337</v>
      </c>
      <c r="N52" s="16"/>
      <c r="O52" s="16" t="s">
        <v>10</v>
      </c>
      <c r="P52" s="16" t="s">
        <v>6</v>
      </c>
      <c r="Q52" s="17">
        <v>229</v>
      </c>
      <c r="R52" s="17">
        <v>213</v>
      </c>
      <c r="S52" s="17">
        <v>228</v>
      </c>
      <c r="T52" s="17">
        <f>AVERAGE(Table1436901171444594[[#This Row],[Teste 1]:[Teste 3]])</f>
        <v>223.33333333333334</v>
      </c>
    </row>
    <row r="53" spans="1:20" x14ac:dyDescent="0.25">
      <c r="A53" s="16" t="s">
        <v>10</v>
      </c>
      <c r="B53" s="16" t="s">
        <v>7</v>
      </c>
      <c r="C53" s="17">
        <v>106175</v>
      </c>
      <c r="D53" s="17">
        <v>34111</v>
      </c>
      <c r="E53" s="17">
        <v>18367</v>
      </c>
      <c r="F53" s="17">
        <f>AVERAGE(Table14369011714445[[#This Row],[Teste 1]:[Teste 3]])</f>
        <v>52884.333333333336</v>
      </c>
      <c r="G53" s="16"/>
      <c r="H53" s="16" t="s">
        <v>10</v>
      </c>
      <c r="I53" s="16" t="s">
        <v>7</v>
      </c>
      <c r="J53" s="17">
        <v>27973</v>
      </c>
      <c r="K53" s="17">
        <v>37791</v>
      </c>
      <c r="L53" s="17">
        <v>32487</v>
      </c>
      <c r="M53" s="17">
        <f>AVERAGE(Table1436901171444557[[#This Row],[Teste 1]:[Teste 3]])</f>
        <v>32750.333333333332</v>
      </c>
      <c r="N53" s="16"/>
      <c r="O53" s="16" t="s">
        <v>10</v>
      </c>
      <c r="P53" s="16" t="s">
        <v>7</v>
      </c>
      <c r="Q53" s="17">
        <v>10759</v>
      </c>
      <c r="R53" s="17">
        <v>14535</v>
      </c>
      <c r="S53" s="17">
        <v>12495</v>
      </c>
      <c r="T53" s="17">
        <f>AVERAGE(Table1436901171444594[[#This Row],[Teste 1]:[Teste 3]])</f>
        <v>12596.333333333334</v>
      </c>
    </row>
    <row r="54" spans="1:20" x14ac:dyDescent="0.25">
      <c r="A54" s="16" t="s">
        <v>10</v>
      </c>
      <c r="B54" s="16" t="s">
        <v>8</v>
      </c>
      <c r="C54" s="17">
        <v>1888</v>
      </c>
      <c r="D54" s="17">
        <v>1095</v>
      </c>
      <c r="E54" s="17">
        <v>1220</v>
      </c>
      <c r="F54" s="17">
        <f>AVERAGE(Table14369011714445[[#This Row],[Teste 1]:[Teste 3]])</f>
        <v>1401</v>
      </c>
      <c r="G54" s="16"/>
      <c r="H54" s="16" t="s">
        <v>10</v>
      </c>
      <c r="I54" s="16" t="s">
        <v>8</v>
      </c>
      <c r="J54" s="17">
        <v>1698</v>
      </c>
      <c r="K54" s="17">
        <v>1669</v>
      </c>
      <c r="L54" s="17">
        <v>1677</v>
      </c>
      <c r="M54" s="17">
        <f>AVERAGE(Table1436901171444557[[#This Row],[Teste 1]:[Teste 3]])</f>
        <v>1681.3333333333333</v>
      </c>
      <c r="N54" s="16"/>
      <c r="O54" s="16" t="s">
        <v>10</v>
      </c>
      <c r="P54" s="16" t="s">
        <v>8</v>
      </c>
      <c r="Q54" s="17">
        <v>653</v>
      </c>
      <c r="R54" s="17">
        <v>642</v>
      </c>
      <c r="S54" s="17">
        <v>645</v>
      </c>
      <c r="T54" s="17">
        <f>AVERAGE(Table1436901171444594[[#This Row],[Teste 1]:[Teste 3]])</f>
        <v>646.66666666666663</v>
      </c>
    </row>
    <row r="55" spans="1:20" x14ac:dyDescent="0.25">
      <c r="A55" s="16" t="s">
        <v>10</v>
      </c>
      <c r="B55" s="16" t="s">
        <v>9</v>
      </c>
      <c r="C55" s="17">
        <v>4599</v>
      </c>
      <c r="D55" s="17">
        <v>2379</v>
      </c>
      <c r="E55" s="17">
        <v>3091</v>
      </c>
      <c r="F55" s="17">
        <f>AVERAGE(Table14369011714445[[#This Row],[Teste 1]:[Teste 3]])</f>
        <v>3356.3333333333335</v>
      </c>
      <c r="G55" s="16"/>
      <c r="H55" s="16" t="s">
        <v>10</v>
      </c>
      <c r="I55" s="16" t="s">
        <v>9</v>
      </c>
      <c r="J55" s="17">
        <v>2374</v>
      </c>
      <c r="K55" s="17">
        <v>2187</v>
      </c>
      <c r="L55" s="17">
        <v>2241</v>
      </c>
      <c r="M55" s="17">
        <f>AVERAGE(Table1436901171444557[[#This Row],[Teste 1]:[Teste 3]])</f>
        <v>2267.3333333333335</v>
      </c>
      <c r="N55" s="16"/>
      <c r="O55" s="16" t="s">
        <v>10</v>
      </c>
      <c r="P55" s="16" t="s">
        <v>9</v>
      </c>
      <c r="Q55" s="17">
        <v>913</v>
      </c>
      <c r="R55" s="17">
        <v>841</v>
      </c>
      <c r="S55" s="17">
        <v>862</v>
      </c>
      <c r="T55" s="17">
        <f>AVERAGE(Table1436901171444594[[#This Row],[Teste 1]:[Teste 3]])</f>
        <v>872</v>
      </c>
    </row>
    <row r="56" spans="1:20" x14ac:dyDescent="0.25">
      <c r="A56" s="16" t="s">
        <v>10</v>
      </c>
      <c r="B56" s="16" t="s">
        <v>11</v>
      </c>
      <c r="C56" s="17">
        <v>5010</v>
      </c>
      <c r="D56" s="17">
        <v>4925</v>
      </c>
      <c r="E56" s="17">
        <v>4943</v>
      </c>
      <c r="F56" s="17">
        <f>AVERAGE(Table14369011714445[[#This Row],[Teste 1]:[Teste 3]])</f>
        <v>4959.333333333333</v>
      </c>
      <c r="G56" s="16"/>
      <c r="H56" s="16" t="s">
        <v>10</v>
      </c>
      <c r="I56" s="16" t="s">
        <v>11</v>
      </c>
      <c r="J56" s="17">
        <v>4967</v>
      </c>
      <c r="K56" s="17">
        <v>4912</v>
      </c>
      <c r="L56" s="17">
        <v>5040</v>
      </c>
      <c r="M56" s="17">
        <f>AVERAGE(Table1436901171444557[[#This Row],[Teste 1]:[Teste 3]])</f>
        <v>4973</v>
      </c>
      <c r="N56" s="16"/>
      <c r="O56" s="16" t="s">
        <v>10</v>
      </c>
      <c r="P56" s="16" t="s">
        <v>11</v>
      </c>
      <c r="Q56" s="17">
        <v>4944</v>
      </c>
      <c r="R56" s="17">
        <v>5062</v>
      </c>
      <c r="S56" s="17">
        <v>5069</v>
      </c>
      <c r="T56" s="17">
        <f>AVERAGE(Table1436901171444594[[#This Row],[Teste 1]:[Teste 3]])</f>
        <v>5025</v>
      </c>
    </row>
    <row r="57" spans="1:20" x14ac:dyDescent="0.25">
      <c r="A57" s="16"/>
      <c r="B57" s="16"/>
      <c r="C57" s="17"/>
      <c r="D57" s="17"/>
      <c r="E57" s="17"/>
      <c r="F57" s="17"/>
      <c r="G57" s="16"/>
      <c r="H57" s="16"/>
      <c r="I57" s="16"/>
      <c r="J57" s="17"/>
      <c r="K57" s="17"/>
      <c r="L57" s="17"/>
      <c r="M57" s="17"/>
      <c r="N57" s="16"/>
      <c r="O57" s="16"/>
      <c r="P57" s="16"/>
      <c r="Q57" s="17"/>
      <c r="R57" s="17"/>
      <c r="S57" s="17"/>
      <c r="T57" s="17"/>
    </row>
    <row r="58" spans="1:20" x14ac:dyDescent="0.25">
      <c r="A58" s="16"/>
      <c r="B58" s="16"/>
      <c r="C58" s="17"/>
      <c r="D58" s="17"/>
      <c r="E58" s="17"/>
      <c r="F58" s="17"/>
      <c r="G58" s="16"/>
      <c r="H58" s="16"/>
      <c r="I58" s="16"/>
      <c r="J58" s="17"/>
      <c r="K58" s="17"/>
      <c r="L58" s="17"/>
      <c r="M58" s="17"/>
      <c r="N58" s="16"/>
      <c r="O58" s="16"/>
      <c r="P58" s="16"/>
      <c r="Q58" s="17"/>
      <c r="R58" s="17"/>
      <c r="S58" s="17"/>
      <c r="T58" s="17"/>
    </row>
    <row r="59" spans="1:20" x14ac:dyDescent="0.25">
      <c r="A59" s="16"/>
      <c r="B59" s="16"/>
      <c r="C59" s="17"/>
      <c r="D59" s="17"/>
      <c r="E59" s="17"/>
      <c r="F59" s="17"/>
      <c r="G59" s="16"/>
      <c r="H59" s="16"/>
      <c r="I59" s="16"/>
      <c r="J59" s="17"/>
      <c r="K59" s="17"/>
      <c r="L59" s="17"/>
      <c r="M59" s="17"/>
      <c r="N59" s="16"/>
      <c r="O59" s="16"/>
      <c r="P59" s="16"/>
      <c r="Q59" s="17"/>
      <c r="R59" s="17"/>
      <c r="S59" s="17"/>
      <c r="T59" s="17"/>
    </row>
    <row r="61" spans="1:20" ht="15.75" x14ac:dyDescent="0.25">
      <c r="A61" s="2" t="s">
        <v>73</v>
      </c>
      <c r="H61" s="2" t="s">
        <v>73</v>
      </c>
      <c r="O61" s="2" t="s">
        <v>73</v>
      </c>
    </row>
    <row r="62" spans="1:20" ht="15.75" x14ac:dyDescent="0.25">
      <c r="A62" s="16" t="s">
        <v>59</v>
      </c>
      <c r="B62" s="21" t="s">
        <v>62</v>
      </c>
      <c r="C62" s="16" t="s">
        <v>82</v>
      </c>
      <c r="D62" s="16" t="s">
        <v>64</v>
      </c>
      <c r="E62" s="16" t="s">
        <v>63</v>
      </c>
      <c r="F62" s="16" t="s">
        <v>18</v>
      </c>
      <c r="G62" s="16"/>
      <c r="H62" s="16" t="s">
        <v>12</v>
      </c>
      <c r="I62" s="21" t="s">
        <v>62</v>
      </c>
      <c r="J62" s="16" t="s">
        <v>82</v>
      </c>
      <c r="K62" s="16" t="s">
        <v>64</v>
      </c>
      <c r="L62" s="16" t="s">
        <v>63</v>
      </c>
      <c r="M62" s="16" t="s">
        <v>18</v>
      </c>
      <c r="N62" s="16"/>
      <c r="O62" s="16" t="s">
        <v>13</v>
      </c>
      <c r="P62" s="21" t="s">
        <v>62</v>
      </c>
      <c r="Q62" s="16" t="s">
        <v>82</v>
      </c>
      <c r="R62" s="16" t="s">
        <v>64</v>
      </c>
      <c r="S62" s="16" t="s">
        <v>63</v>
      </c>
      <c r="T62" s="16" t="s">
        <v>18</v>
      </c>
    </row>
    <row r="63" spans="1:20" x14ac:dyDescent="0.25">
      <c r="A63" s="16" t="s">
        <v>0</v>
      </c>
      <c r="B63" s="16" t="s">
        <v>1</v>
      </c>
      <c r="C63" s="17">
        <v>8539</v>
      </c>
      <c r="D63" s="17">
        <v>9253</v>
      </c>
      <c r="E63" s="17">
        <v>9185</v>
      </c>
      <c r="F63" s="17">
        <f>AVERAGE(Table14369011714446[[#This Row],[Teste 1]:[Teste 3]])</f>
        <v>8992.3333333333339</v>
      </c>
      <c r="G63" s="16"/>
      <c r="H63" s="16" t="s">
        <v>0</v>
      </c>
      <c r="I63" s="16" t="s">
        <v>1</v>
      </c>
      <c r="J63" s="17">
        <v>13008</v>
      </c>
      <c r="K63" s="17">
        <v>12951</v>
      </c>
      <c r="L63" s="17">
        <v>12662</v>
      </c>
      <c r="M63" s="17">
        <f>AVERAGE(Table1436901171444658[[#This Row],[Teste 1]:[Teste 3]])</f>
        <v>12873.666666666666</v>
      </c>
      <c r="N63" s="16"/>
      <c r="O63" s="16" t="s">
        <v>0</v>
      </c>
      <c r="P63" s="16" t="s">
        <v>1</v>
      </c>
      <c r="Q63" s="17">
        <v>5003</v>
      </c>
      <c r="R63" s="17">
        <v>4981</v>
      </c>
      <c r="S63" s="17">
        <v>4870</v>
      </c>
      <c r="T63" s="17">
        <f>AVERAGE(Table1436901171444695[[#This Row],[Teste 1]:[Teste 3]])</f>
        <v>4951.333333333333</v>
      </c>
    </row>
    <row r="64" spans="1:20" x14ac:dyDescent="0.25">
      <c r="A64" s="16" t="s">
        <v>0</v>
      </c>
      <c r="B64" s="16" t="s">
        <v>2</v>
      </c>
      <c r="C64" s="17">
        <v>11710.973181871401</v>
      </c>
      <c r="D64" s="17">
        <v>10807.305738679301</v>
      </c>
      <c r="E64" s="17">
        <v>10887.3162765378</v>
      </c>
      <c r="F64" s="17">
        <f>AVERAGE(Table14369011714446[[#This Row],[Teste 1]:[Teste 3]])</f>
        <v>11135.198399029499</v>
      </c>
      <c r="G64" s="16"/>
      <c r="H64" s="16" t="s">
        <v>0</v>
      </c>
      <c r="I64" s="16" t="s">
        <v>2</v>
      </c>
      <c r="J64" s="17">
        <v>7633.69</v>
      </c>
      <c r="K64" s="17">
        <v>7721.65</v>
      </c>
      <c r="L64" s="17">
        <v>7897.65</v>
      </c>
      <c r="M64" s="17">
        <f>AVERAGE(Table1436901171444658[[#This Row],[Teste 1]:[Teste 3]])</f>
        <v>7750.996666666666</v>
      </c>
      <c r="N64" s="16"/>
      <c r="O64" s="16" t="s">
        <v>0</v>
      </c>
      <c r="P64" s="16" t="s">
        <v>2</v>
      </c>
      <c r="Q64" s="17">
        <v>19847.581652685902</v>
      </c>
      <c r="R64" s="17">
        <v>20076.2899016261</v>
      </c>
      <c r="S64" s="17">
        <v>20533.880903490699</v>
      </c>
      <c r="T64" s="17">
        <f>AVERAGE(Table1436901171444695[[#This Row],[Teste 1]:[Teste 3]])</f>
        <v>20152.584152600903</v>
      </c>
    </row>
    <row r="65" spans="1:20" x14ac:dyDescent="0.25">
      <c r="A65" s="16" t="s">
        <v>16</v>
      </c>
      <c r="B65" s="16" t="s">
        <v>4</v>
      </c>
      <c r="C65" s="17">
        <v>94965</v>
      </c>
      <c r="D65" s="17">
        <v>94953</v>
      </c>
      <c r="E65" s="17">
        <v>95053</v>
      </c>
      <c r="F65" s="17">
        <f>AVERAGE(Table14369011714446[[#This Row],[Teste 1]:[Teste 3]])</f>
        <v>94990.333333333328</v>
      </c>
      <c r="G65" s="16"/>
      <c r="H65" s="16" t="s">
        <v>16</v>
      </c>
      <c r="I65" s="16" t="s">
        <v>4</v>
      </c>
      <c r="J65" s="17">
        <v>94994</v>
      </c>
      <c r="K65" s="17">
        <v>95000</v>
      </c>
      <c r="L65" s="17">
        <v>95075</v>
      </c>
      <c r="M65" s="17">
        <f>AVERAGE(Table1436901171444658[[#This Row],[Teste 1]:[Teste 3]])</f>
        <v>95023</v>
      </c>
      <c r="N65" s="16"/>
      <c r="O65" s="16" t="s">
        <v>16</v>
      </c>
      <c r="P65" s="16" t="s">
        <v>4</v>
      </c>
      <c r="Q65" s="17">
        <v>95101</v>
      </c>
      <c r="R65" s="17">
        <v>94969</v>
      </c>
      <c r="S65" s="17">
        <v>94960</v>
      </c>
      <c r="T65" s="17">
        <f>AVERAGE(Table1436901171444695[[#This Row],[Teste 1]:[Teste 3]])</f>
        <v>95010</v>
      </c>
    </row>
    <row r="66" spans="1:20" x14ac:dyDescent="0.25">
      <c r="A66" s="16" t="s">
        <v>16</v>
      </c>
      <c r="B66" s="16" t="s">
        <v>5</v>
      </c>
      <c r="C66" s="17">
        <v>429.13528141947</v>
      </c>
      <c r="D66" s="17">
        <v>472.01742967573398</v>
      </c>
      <c r="E66" s="17">
        <v>457.93388951426999</v>
      </c>
      <c r="F66" s="17">
        <f>AVERAGE(Table14369011714446[[#This Row],[Teste 1]:[Teste 3]])</f>
        <v>453.0288668698247</v>
      </c>
      <c r="G66" s="16"/>
      <c r="H66" s="16" t="s">
        <v>16</v>
      </c>
      <c r="I66" s="16" t="s">
        <v>5</v>
      </c>
      <c r="J66" s="17">
        <v>714.34</v>
      </c>
      <c r="K66" s="17">
        <v>616.71</v>
      </c>
      <c r="L66" s="17">
        <v>600.83000000000004</v>
      </c>
      <c r="M66" s="17">
        <f>AVERAGE(Table1436901171444658[[#This Row],[Teste 1]:[Teste 3]])</f>
        <v>643.96</v>
      </c>
      <c r="N66" s="16"/>
      <c r="O66" s="16" t="s">
        <v>16</v>
      </c>
      <c r="P66" s="16" t="s">
        <v>5</v>
      </c>
      <c r="Q66" s="17">
        <v>274.74474506051399</v>
      </c>
      <c r="R66" s="17">
        <v>237.19581126472801</v>
      </c>
      <c r="S66" s="17">
        <v>231.089764111204</v>
      </c>
      <c r="T66" s="17">
        <f>AVERAGE(Table1436901171444695[[#This Row],[Teste 1]:[Teste 3]])</f>
        <v>247.67677347881533</v>
      </c>
    </row>
    <row r="67" spans="1:20" x14ac:dyDescent="0.25">
      <c r="A67" s="16" t="s">
        <v>16</v>
      </c>
      <c r="B67" s="16" t="s">
        <v>6</v>
      </c>
      <c r="C67" s="17">
        <v>79</v>
      </c>
      <c r="D67" s="17">
        <v>83</v>
      </c>
      <c r="E67" s="17">
        <v>76</v>
      </c>
      <c r="F67" s="17">
        <f>AVERAGE(Table14369011714446[[#This Row],[Teste 1]:[Teste 3]])</f>
        <v>79.333333333333329</v>
      </c>
      <c r="G67" s="16"/>
      <c r="H67" s="16" t="s">
        <v>16</v>
      </c>
      <c r="I67" s="16" t="s">
        <v>6</v>
      </c>
      <c r="J67" s="17">
        <v>260</v>
      </c>
      <c r="K67" s="17">
        <v>229</v>
      </c>
      <c r="L67" s="17">
        <v>234</v>
      </c>
      <c r="M67" s="17">
        <f>AVERAGE(Table1436901171444658[[#This Row],[Teste 1]:[Teste 3]])</f>
        <v>241</v>
      </c>
      <c r="N67" s="16"/>
      <c r="O67" s="16" t="s">
        <v>16</v>
      </c>
      <c r="P67" s="16" t="s">
        <v>6</v>
      </c>
      <c r="Q67" s="17">
        <v>100</v>
      </c>
      <c r="R67" s="17">
        <v>88</v>
      </c>
      <c r="S67" s="17">
        <v>90</v>
      </c>
      <c r="T67" s="17">
        <f>AVERAGE(Table1436901171444695[[#This Row],[Teste 1]:[Teste 3]])</f>
        <v>92.666666666666671</v>
      </c>
    </row>
    <row r="68" spans="1:20" x14ac:dyDescent="0.25">
      <c r="A68" s="16" t="s">
        <v>16</v>
      </c>
      <c r="B68" s="16" t="s">
        <v>7</v>
      </c>
      <c r="C68" s="17">
        <v>186751</v>
      </c>
      <c r="D68" s="17">
        <v>142719</v>
      </c>
      <c r="E68" s="17">
        <v>379391</v>
      </c>
      <c r="F68" s="17">
        <f>AVERAGE(Table14369011714446[[#This Row],[Teste 1]:[Teste 3]])</f>
        <v>236287</v>
      </c>
      <c r="G68" s="16"/>
      <c r="H68" s="16" t="s">
        <v>16</v>
      </c>
      <c r="I68" s="16" t="s">
        <v>7</v>
      </c>
      <c r="J68" s="17">
        <v>89437</v>
      </c>
      <c r="K68" s="17">
        <v>90519</v>
      </c>
      <c r="L68" s="17">
        <v>104996</v>
      </c>
      <c r="M68" s="17">
        <f>AVERAGE(Table1436901171444658[[#This Row],[Teste 1]:[Teste 3]])</f>
        <v>94984</v>
      </c>
      <c r="N68" s="16"/>
      <c r="O68" s="16" t="s">
        <v>16</v>
      </c>
      <c r="P68" s="16" t="s">
        <v>7</v>
      </c>
      <c r="Q68" s="17">
        <v>34399</v>
      </c>
      <c r="R68" s="17">
        <v>34815</v>
      </c>
      <c r="S68" s="17">
        <v>40383</v>
      </c>
      <c r="T68" s="17">
        <f>AVERAGE(Table1436901171444695[[#This Row],[Teste 1]:[Teste 3]])</f>
        <v>36532.333333333336</v>
      </c>
    </row>
    <row r="69" spans="1:20" x14ac:dyDescent="0.25">
      <c r="A69" s="16" t="s">
        <v>16</v>
      </c>
      <c r="B69" s="16" t="s">
        <v>8</v>
      </c>
      <c r="C69" s="17">
        <v>845</v>
      </c>
      <c r="D69" s="17">
        <v>812</v>
      </c>
      <c r="E69" s="17">
        <v>880</v>
      </c>
      <c r="F69" s="17">
        <f>AVERAGE(Table14369011714446[[#This Row],[Teste 1]:[Teste 3]])</f>
        <v>845.66666666666663</v>
      </c>
      <c r="G69" s="16"/>
      <c r="H69" s="16" t="s">
        <v>16</v>
      </c>
      <c r="I69" s="16" t="s">
        <v>8</v>
      </c>
      <c r="J69" s="17">
        <v>1646</v>
      </c>
      <c r="K69" s="17">
        <v>1157</v>
      </c>
      <c r="L69" s="17">
        <v>1121</v>
      </c>
      <c r="M69" s="17">
        <f>AVERAGE(Table1436901171444658[[#This Row],[Teste 1]:[Teste 3]])</f>
        <v>1308</v>
      </c>
      <c r="N69" s="16"/>
      <c r="O69" s="16" t="s">
        <v>16</v>
      </c>
      <c r="P69" s="16" t="s">
        <v>8</v>
      </c>
      <c r="Q69" s="17">
        <v>633</v>
      </c>
      <c r="R69" s="17">
        <v>445</v>
      </c>
      <c r="S69" s="17">
        <v>431</v>
      </c>
      <c r="T69" s="17">
        <f>AVERAGE(Table1436901171444695[[#This Row],[Teste 1]:[Teste 3]])</f>
        <v>503</v>
      </c>
    </row>
    <row r="70" spans="1:20" x14ac:dyDescent="0.25">
      <c r="A70" s="16" t="s">
        <v>16</v>
      </c>
      <c r="B70" s="16" t="s">
        <v>9</v>
      </c>
      <c r="C70" s="17">
        <v>2019</v>
      </c>
      <c r="D70" s="17">
        <v>1916</v>
      </c>
      <c r="E70" s="17">
        <v>2213</v>
      </c>
      <c r="F70" s="17">
        <f>AVERAGE(Table14369011714446[[#This Row],[Teste 1]:[Teste 3]])</f>
        <v>2049.3333333333335</v>
      </c>
      <c r="G70" s="16"/>
      <c r="H70" s="16" t="s">
        <v>16</v>
      </c>
      <c r="I70" s="16" t="s">
        <v>9</v>
      </c>
      <c r="J70" s="17">
        <v>3367</v>
      </c>
      <c r="K70" s="17">
        <v>2350</v>
      </c>
      <c r="L70" s="17">
        <v>2410</v>
      </c>
      <c r="M70" s="17">
        <f>AVERAGE(Table1436901171444658[[#This Row],[Teste 1]:[Teste 3]])</f>
        <v>2709</v>
      </c>
      <c r="N70" s="16"/>
      <c r="O70" s="16" t="s">
        <v>16</v>
      </c>
      <c r="P70" s="16" t="s">
        <v>9</v>
      </c>
      <c r="Q70" s="17">
        <v>1295</v>
      </c>
      <c r="R70" s="17">
        <v>904</v>
      </c>
      <c r="S70" s="17">
        <v>927</v>
      </c>
      <c r="T70" s="17">
        <f>AVERAGE(Table1436901171444695[[#This Row],[Teste 1]:[Teste 3]])</f>
        <v>1042</v>
      </c>
    </row>
    <row r="71" spans="1:20" x14ac:dyDescent="0.25">
      <c r="A71" s="16" t="s">
        <v>16</v>
      </c>
      <c r="B71" s="16" t="s">
        <v>11</v>
      </c>
      <c r="C71" s="17">
        <v>94965</v>
      </c>
      <c r="D71" s="17">
        <v>94953</v>
      </c>
      <c r="E71" s="17">
        <v>95053</v>
      </c>
      <c r="F71" s="17">
        <f>AVERAGE(Table14369011714446[[#This Row],[Teste 1]:[Teste 3]])</f>
        <v>94990.333333333328</v>
      </c>
      <c r="G71" s="16"/>
      <c r="H71" s="16" t="s">
        <v>16</v>
      </c>
      <c r="I71" s="16" t="s">
        <v>11</v>
      </c>
      <c r="J71" s="17">
        <v>94994</v>
      </c>
      <c r="K71" s="17">
        <v>95000</v>
      </c>
      <c r="L71" s="17">
        <v>95075</v>
      </c>
      <c r="M71" s="17">
        <f>AVERAGE(Table1436901171444658[[#This Row],[Teste 1]:[Teste 3]])</f>
        <v>95023</v>
      </c>
      <c r="N71" s="16"/>
      <c r="O71" s="16" t="s">
        <v>16</v>
      </c>
      <c r="P71" s="16" t="s">
        <v>11</v>
      </c>
      <c r="Q71" s="17">
        <v>95101</v>
      </c>
      <c r="R71" s="17">
        <v>94969</v>
      </c>
      <c r="S71" s="17">
        <v>94960</v>
      </c>
      <c r="T71" s="17">
        <f>AVERAGE(Table1436901171444695[[#This Row],[Teste 1]:[Teste 3]])</f>
        <v>95010</v>
      </c>
    </row>
    <row r="72" spans="1:20" x14ac:dyDescent="0.25">
      <c r="A72" s="16" t="s">
        <v>3</v>
      </c>
      <c r="B72" s="16" t="s">
        <v>4</v>
      </c>
      <c r="C72" s="17">
        <v>6</v>
      </c>
      <c r="D72" s="17">
        <v>6</v>
      </c>
      <c r="E72" s="17">
        <v>6</v>
      </c>
      <c r="F72" s="17">
        <f>AVERAGE(Table14369011714446[[#This Row],[Teste 1]:[Teste 3]])</f>
        <v>6</v>
      </c>
      <c r="G72" s="16"/>
      <c r="H72" s="16" t="s">
        <v>3</v>
      </c>
      <c r="I72" s="16" t="s">
        <v>4</v>
      </c>
      <c r="J72" s="17">
        <v>6</v>
      </c>
      <c r="K72" s="17">
        <v>6</v>
      </c>
      <c r="L72" s="17">
        <v>6</v>
      </c>
      <c r="M72" s="17">
        <f>AVERAGE(Table1436901171444658[[#This Row],[Teste 1]:[Teste 3]])</f>
        <v>6</v>
      </c>
      <c r="N72" s="16"/>
      <c r="O72" s="16" t="s">
        <v>3</v>
      </c>
      <c r="P72" s="16" t="s">
        <v>4</v>
      </c>
      <c r="Q72" s="17">
        <v>6</v>
      </c>
      <c r="R72" s="17">
        <v>6</v>
      </c>
      <c r="S72" s="17">
        <v>6</v>
      </c>
      <c r="T72" s="17">
        <f>AVERAGE(Table1436901171444695[[#This Row],[Teste 1]:[Teste 3]])</f>
        <v>6</v>
      </c>
    </row>
    <row r="73" spans="1:20" x14ac:dyDescent="0.25">
      <c r="A73" s="16" t="s">
        <v>3</v>
      </c>
      <c r="B73" s="16" t="s">
        <v>5</v>
      </c>
      <c r="C73" s="17">
        <v>2.5</v>
      </c>
      <c r="D73" s="17">
        <v>2.3333333333333299</v>
      </c>
      <c r="E73" s="17">
        <v>2</v>
      </c>
      <c r="F73" s="17">
        <f>AVERAGE(Table14369011714446[[#This Row],[Teste 1]:[Teste 3]])</f>
        <v>2.2777777777777768</v>
      </c>
      <c r="G73" s="16"/>
      <c r="H73" s="16" t="s">
        <v>3</v>
      </c>
      <c r="I73" s="16" t="s">
        <v>5</v>
      </c>
      <c r="J73" s="17">
        <v>1.33</v>
      </c>
      <c r="K73" s="17">
        <v>1.33</v>
      </c>
      <c r="L73" s="17">
        <v>1.33</v>
      </c>
      <c r="M73" s="17">
        <f>AVERAGE(Table1436901171444658[[#This Row],[Teste 1]:[Teste 3]])</f>
        <v>1.33</v>
      </c>
      <c r="N73" s="16"/>
      <c r="O73" s="16" t="s">
        <v>3</v>
      </c>
      <c r="P73" s="16" t="s">
        <v>5</v>
      </c>
      <c r="Q73" s="17">
        <v>404.666666666666</v>
      </c>
      <c r="R73" s="17">
        <v>225.833333333333</v>
      </c>
      <c r="S73" s="17">
        <v>209.166666666666</v>
      </c>
      <c r="T73" s="17">
        <f>AVERAGE(Table1436901171444695[[#This Row],[Teste 1]:[Teste 3]])</f>
        <v>279.88888888888829</v>
      </c>
    </row>
    <row r="74" spans="1:20" x14ac:dyDescent="0.25">
      <c r="A74" s="16" t="s">
        <v>3</v>
      </c>
      <c r="B74" s="16" t="s">
        <v>6</v>
      </c>
      <c r="C74" s="17">
        <v>1</v>
      </c>
      <c r="D74" s="17">
        <v>0</v>
      </c>
      <c r="E74" s="17">
        <v>1</v>
      </c>
      <c r="F74" s="17">
        <f>AVERAGE(Table14369011714446[[#This Row],[Teste 1]:[Teste 3]])</f>
        <v>0.66666666666666663</v>
      </c>
      <c r="G74" s="16"/>
      <c r="H74" s="16" t="s">
        <v>3</v>
      </c>
      <c r="I74" s="16" t="s">
        <v>6</v>
      </c>
      <c r="J74" s="17">
        <v>0</v>
      </c>
      <c r="K74" s="17">
        <v>0</v>
      </c>
      <c r="L74" s="17">
        <v>0</v>
      </c>
      <c r="M74" s="17">
        <f>AVERAGE(Table1436901171444658[[#This Row],[Teste 1]:[Teste 3]])</f>
        <v>0</v>
      </c>
      <c r="N74" s="16"/>
      <c r="O74" s="16" t="s">
        <v>3</v>
      </c>
      <c r="P74" s="16" t="s">
        <v>6</v>
      </c>
      <c r="Q74" s="17">
        <v>2</v>
      </c>
      <c r="R74" s="17">
        <v>1</v>
      </c>
      <c r="S74" s="17">
        <v>1</v>
      </c>
      <c r="T74" s="17">
        <f>AVERAGE(Table1436901171444695[[#This Row],[Teste 1]:[Teste 3]])</f>
        <v>1.3333333333333333</v>
      </c>
    </row>
    <row r="75" spans="1:20" x14ac:dyDescent="0.25">
      <c r="A75" s="16" t="s">
        <v>3</v>
      </c>
      <c r="B75" s="16" t="s">
        <v>7</v>
      </c>
      <c r="C75" s="17">
        <v>9</v>
      </c>
      <c r="D75" s="17">
        <v>10</v>
      </c>
      <c r="E75" s="17">
        <v>7</v>
      </c>
      <c r="F75" s="17">
        <f>AVERAGE(Table14369011714446[[#This Row],[Teste 1]:[Teste 3]])</f>
        <v>8.6666666666666661</v>
      </c>
      <c r="G75" s="16"/>
      <c r="H75" s="16" t="s">
        <v>3</v>
      </c>
      <c r="I75" s="16" t="s">
        <v>7</v>
      </c>
      <c r="J75" s="17">
        <v>4</v>
      </c>
      <c r="K75" s="17">
        <v>4</v>
      </c>
      <c r="L75" s="17">
        <v>4</v>
      </c>
      <c r="M75" s="17">
        <f>AVERAGE(Table1436901171444658[[#This Row],[Teste 1]:[Teste 3]])</f>
        <v>4</v>
      </c>
      <c r="N75" s="16"/>
      <c r="O75" s="16" t="s">
        <v>3</v>
      </c>
      <c r="P75" s="16" t="s">
        <v>7</v>
      </c>
      <c r="Q75" s="17">
        <v>2405</v>
      </c>
      <c r="R75" s="17">
        <v>1339</v>
      </c>
      <c r="S75" s="17">
        <v>1236</v>
      </c>
      <c r="T75" s="17">
        <f>AVERAGE(Table1436901171444695[[#This Row],[Teste 1]:[Teste 3]])</f>
        <v>1660</v>
      </c>
    </row>
    <row r="76" spans="1:20" x14ac:dyDescent="0.25">
      <c r="A76" s="16" t="s">
        <v>3</v>
      </c>
      <c r="B76" s="16" t="s">
        <v>8</v>
      </c>
      <c r="C76" s="17">
        <v>9</v>
      </c>
      <c r="D76" s="17">
        <v>10</v>
      </c>
      <c r="E76" s="17">
        <v>7</v>
      </c>
      <c r="F76" s="17">
        <f>AVERAGE(Table14369011714446[[#This Row],[Teste 1]:[Teste 3]])</f>
        <v>8.6666666666666661</v>
      </c>
      <c r="G76" s="16"/>
      <c r="H76" s="16" t="s">
        <v>3</v>
      </c>
      <c r="I76" s="16" t="s">
        <v>8</v>
      </c>
      <c r="J76" s="17">
        <v>4</v>
      </c>
      <c r="K76" s="17">
        <v>4</v>
      </c>
      <c r="L76" s="17">
        <v>4</v>
      </c>
      <c r="M76" s="17">
        <f>AVERAGE(Table1436901171444658[[#This Row],[Teste 1]:[Teste 3]])</f>
        <v>4</v>
      </c>
      <c r="N76" s="16"/>
      <c r="O76" s="16" t="s">
        <v>3</v>
      </c>
      <c r="P76" s="16" t="s">
        <v>8</v>
      </c>
      <c r="Q76" s="17">
        <v>2405</v>
      </c>
      <c r="R76" s="17">
        <v>1339</v>
      </c>
      <c r="S76" s="17">
        <v>1236</v>
      </c>
      <c r="T76" s="17">
        <f>AVERAGE(Table1436901171444695[[#This Row],[Teste 1]:[Teste 3]])</f>
        <v>1660</v>
      </c>
    </row>
    <row r="77" spans="1:20" x14ac:dyDescent="0.25">
      <c r="A77" s="16" t="s">
        <v>3</v>
      </c>
      <c r="B77" s="16" t="s">
        <v>9</v>
      </c>
      <c r="C77" s="17">
        <v>9</v>
      </c>
      <c r="D77" s="17">
        <v>10</v>
      </c>
      <c r="E77" s="17">
        <v>7</v>
      </c>
      <c r="F77" s="17">
        <f>AVERAGE(Table14369011714446[[#This Row],[Teste 1]:[Teste 3]])</f>
        <v>8.6666666666666661</v>
      </c>
      <c r="G77" s="16"/>
      <c r="H77" s="16" t="s">
        <v>3</v>
      </c>
      <c r="I77" s="16" t="s">
        <v>9</v>
      </c>
      <c r="J77" s="17">
        <v>4</v>
      </c>
      <c r="K77" s="17">
        <v>4</v>
      </c>
      <c r="L77" s="17">
        <v>4</v>
      </c>
      <c r="M77" s="17">
        <f>AVERAGE(Table1436901171444658[[#This Row],[Teste 1]:[Teste 3]])</f>
        <v>4</v>
      </c>
      <c r="N77" s="16"/>
      <c r="O77" s="16" t="s">
        <v>3</v>
      </c>
      <c r="P77" s="16" t="s">
        <v>9</v>
      </c>
      <c r="Q77" s="17">
        <v>2405</v>
      </c>
      <c r="R77" s="17">
        <v>1339</v>
      </c>
      <c r="S77" s="17">
        <v>1236</v>
      </c>
      <c r="T77" s="17">
        <f>AVERAGE(Table1436901171444695[[#This Row],[Teste 1]:[Teste 3]])</f>
        <v>1660</v>
      </c>
    </row>
    <row r="78" spans="1:20" x14ac:dyDescent="0.25">
      <c r="A78" s="16" t="s">
        <v>10</v>
      </c>
      <c r="B78" s="16" t="s">
        <v>4</v>
      </c>
      <c r="C78" s="17">
        <v>5035</v>
      </c>
      <c r="D78" s="17">
        <v>5047</v>
      </c>
      <c r="E78" s="17">
        <v>4947</v>
      </c>
      <c r="F78" s="17">
        <f>AVERAGE(Table14369011714446[[#This Row],[Teste 1]:[Teste 3]])</f>
        <v>5009.666666666667</v>
      </c>
      <c r="G78" s="16"/>
      <c r="H78" s="16" t="s">
        <v>10</v>
      </c>
      <c r="I78" s="16" t="s">
        <v>4</v>
      </c>
      <c r="J78" s="17">
        <v>5006</v>
      </c>
      <c r="K78" s="17">
        <v>5000</v>
      </c>
      <c r="L78" s="17">
        <v>4925</v>
      </c>
      <c r="M78" s="17">
        <f>AVERAGE(Table1436901171444658[[#This Row],[Teste 1]:[Teste 3]])</f>
        <v>4977</v>
      </c>
      <c r="N78" s="16"/>
      <c r="O78" s="16" t="s">
        <v>10</v>
      </c>
      <c r="P78" s="16" t="s">
        <v>4</v>
      </c>
      <c r="Q78" s="17">
        <v>4899</v>
      </c>
      <c r="R78" s="17">
        <v>5031</v>
      </c>
      <c r="S78" s="17">
        <v>5040</v>
      </c>
      <c r="T78" s="17">
        <f>AVERAGE(Table1436901171444695[[#This Row],[Teste 1]:[Teste 3]])</f>
        <v>4990</v>
      </c>
    </row>
    <row r="79" spans="1:20" x14ac:dyDescent="0.25">
      <c r="A79" s="16" t="s">
        <v>10</v>
      </c>
      <c r="B79" s="16" t="s">
        <v>5</v>
      </c>
      <c r="C79" s="17">
        <v>878.73108242303795</v>
      </c>
      <c r="D79" s="17">
        <v>936.652664949474</v>
      </c>
      <c r="E79" s="17">
        <v>1014.02910855063</v>
      </c>
      <c r="F79" s="17">
        <f>AVERAGE(Table14369011714446[[#This Row],[Teste 1]:[Teste 3]])</f>
        <v>943.13761864104742</v>
      </c>
      <c r="G79" s="16"/>
      <c r="H79" s="16" t="s">
        <v>10</v>
      </c>
      <c r="I79" s="16" t="s">
        <v>5</v>
      </c>
      <c r="J79" s="17">
        <v>1399.5</v>
      </c>
      <c r="K79" s="17">
        <v>1305.24</v>
      </c>
      <c r="L79" s="17">
        <v>1230.07</v>
      </c>
      <c r="M79" s="17">
        <f>AVERAGE(Table1436901171444658[[#This Row],[Teste 1]:[Teste 3]])</f>
        <v>1311.6033333333332</v>
      </c>
      <c r="N79" s="16"/>
      <c r="O79" s="16" t="s">
        <v>10</v>
      </c>
      <c r="P79" s="16" t="s">
        <v>5</v>
      </c>
      <c r="Q79" s="17">
        <v>538.27066748315895</v>
      </c>
      <c r="R79" s="17">
        <v>502.01590141125001</v>
      </c>
      <c r="S79" s="17">
        <v>473.10535714285697</v>
      </c>
      <c r="T79" s="17">
        <f>AVERAGE(Table1436901171444695[[#This Row],[Teste 1]:[Teste 3]])</f>
        <v>504.46397534575527</v>
      </c>
    </row>
    <row r="80" spans="1:20" x14ac:dyDescent="0.25">
      <c r="A80" s="16" t="s">
        <v>10</v>
      </c>
      <c r="B80" s="16" t="s">
        <v>6</v>
      </c>
      <c r="C80" s="17">
        <v>262</v>
      </c>
      <c r="D80" s="17">
        <v>304</v>
      </c>
      <c r="E80" s="17">
        <v>270</v>
      </c>
      <c r="F80" s="17">
        <f>AVERAGE(Table14369011714446[[#This Row],[Teste 1]:[Teste 3]])</f>
        <v>278.66666666666669</v>
      </c>
      <c r="G80" s="16"/>
      <c r="H80" s="16" t="s">
        <v>10</v>
      </c>
      <c r="I80" s="16" t="s">
        <v>6</v>
      </c>
      <c r="J80" s="17">
        <v>660</v>
      </c>
      <c r="K80" s="17">
        <v>577</v>
      </c>
      <c r="L80" s="17">
        <v>543</v>
      </c>
      <c r="M80" s="17">
        <f>AVERAGE(Table1436901171444658[[#This Row],[Teste 1]:[Teste 3]])</f>
        <v>593.33333333333337</v>
      </c>
      <c r="N80" s="16"/>
      <c r="O80" s="16" t="s">
        <v>10</v>
      </c>
      <c r="P80" s="16" t="s">
        <v>6</v>
      </c>
      <c r="Q80" s="17">
        <v>254</v>
      </c>
      <c r="R80" s="17">
        <v>222</v>
      </c>
      <c r="S80" s="17">
        <v>209</v>
      </c>
      <c r="T80" s="17">
        <f>AVERAGE(Table1436901171444695[[#This Row],[Teste 1]:[Teste 3]])</f>
        <v>228.33333333333334</v>
      </c>
    </row>
    <row r="81" spans="1:20" x14ac:dyDescent="0.25">
      <c r="A81" s="16" t="s">
        <v>10</v>
      </c>
      <c r="B81" s="16" t="s">
        <v>7</v>
      </c>
      <c r="C81" s="17">
        <v>132223</v>
      </c>
      <c r="D81" s="17">
        <v>172031</v>
      </c>
      <c r="E81" s="17">
        <v>427007</v>
      </c>
      <c r="F81" s="17">
        <f>AVERAGE(Table14369011714446[[#This Row],[Teste 1]:[Teste 3]])</f>
        <v>243753.66666666666</v>
      </c>
      <c r="G81" s="16"/>
      <c r="H81" s="16" t="s">
        <v>10</v>
      </c>
      <c r="I81" s="16" t="s">
        <v>7</v>
      </c>
      <c r="J81" s="17">
        <v>30469</v>
      </c>
      <c r="K81" s="17">
        <v>40162</v>
      </c>
      <c r="L81" s="17">
        <v>91268</v>
      </c>
      <c r="M81" s="17">
        <f>AVERAGE(Table1436901171444658[[#This Row],[Teste 1]:[Teste 3]])</f>
        <v>53966.333333333336</v>
      </c>
      <c r="N81" s="16"/>
      <c r="O81" s="16" t="s">
        <v>10</v>
      </c>
      <c r="P81" s="16" t="s">
        <v>7</v>
      </c>
      <c r="Q81" s="17">
        <v>11719</v>
      </c>
      <c r="R81" s="17">
        <v>15447</v>
      </c>
      <c r="S81" s="17">
        <v>35103</v>
      </c>
      <c r="T81" s="17">
        <f>AVERAGE(Table1436901171444695[[#This Row],[Teste 1]:[Teste 3]])</f>
        <v>20756.333333333332</v>
      </c>
    </row>
    <row r="82" spans="1:20" x14ac:dyDescent="0.25">
      <c r="A82" s="16" t="s">
        <v>10</v>
      </c>
      <c r="B82" s="16" t="s">
        <v>8</v>
      </c>
      <c r="C82" s="17">
        <v>1395</v>
      </c>
      <c r="D82" s="17">
        <v>1412</v>
      </c>
      <c r="E82" s="17">
        <v>1508</v>
      </c>
      <c r="F82" s="17">
        <f>AVERAGE(Table14369011714446[[#This Row],[Teste 1]:[Teste 3]])</f>
        <v>1438.3333333333333</v>
      </c>
      <c r="G82" s="16"/>
      <c r="H82" s="16" t="s">
        <v>10</v>
      </c>
      <c r="I82" s="16" t="s">
        <v>8</v>
      </c>
      <c r="J82" s="17">
        <v>2467</v>
      </c>
      <c r="K82" s="17">
        <v>2088</v>
      </c>
      <c r="L82" s="17">
        <v>1999</v>
      </c>
      <c r="M82" s="17">
        <f>AVERAGE(Table1436901171444658[[#This Row],[Teste 1]:[Teste 3]])</f>
        <v>2184.6666666666665</v>
      </c>
      <c r="N82" s="16"/>
      <c r="O82" s="16" t="s">
        <v>10</v>
      </c>
      <c r="P82" s="16" t="s">
        <v>8</v>
      </c>
      <c r="Q82" s="17">
        <v>949</v>
      </c>
      <c r="R82" s="17">
        <v>803</v>
      </c>
      <c r="S82" s="17">
        <v>769</v>
      </c>
      <c r="T82" s="17">
        <f>AVERAGE(Table1436901171444695[[#This Row],[Teste 1]:[Teste 3]])</f>
        <v>840.33333333333337</v>
      </c>
    </row>
    <row r="83" spans="1:20" x14ac:dyDescent="0.25">
      <c r="A83" s="16" t="s">
        <v>10</v>
      </c>
      <c r="B83" s="16" t="s">
        <v>9</v>
      </c>
      <c r="C83" s="17">
        <v>3923</v>
      </c>
      <c r="D83" s="17">
        <v>3443</v>
      </c>
      <c r="E83" s="17">
        <v>5551</v>
      </c>
      <c r="F83" s="17">
        <f>AVERAGE(Table14369011714446[[#This Row],[Teste 1]:[Teste 3]])</f>
        <v>4305.666666666667</v>
      </c>
      <c r="G83" s="16"/>
      <c r="H83" s="16" t="s">
        <v>10</v>
      </c>
      <c r="I83" s="16" t="s">
        <v>9</v>
      </c>
      <c r="J83" s="17">
        <v>4433</v>
      </c>
      <c r="K83" s="17">
        <v>4004</v>
      </c>
      <c r="L83" s="17">
        <v>3411</v>
      </c>
      <c r="M83" s="17">
        <f>AVERAGE(Table1436901171444658[[#This Row],[Teste 1]:[Teste 3]])</f>
        <v>3949.3333333333335</v>
      </c>
      <c r="N83" s="16"/>
      <c r="O83" s="16" t="s">
        <v>10</v>
      </c>
      <c r="P83" s="16" t="s">
        <v>9</v>
      </c>
      <c r="Q83" s="17">
        <v>1705</v>
      </c>
      <c r="R83" s="17">
        <v>1540</v>
      </c>
      <c r="S83" s="17">
        <v>1312</v>
      </c>
      <c r="T83" s="17">
        <f>AVERAGE(Table1436901171444695[[#This Row],[Teste 1]:[Teste 3]])</f>
        <v>1519</v>
      </c>
    </row>
    <row r="84" spans="1:20" x14ac:dyDescent="0.25">
      <c r="A84" s="16" t="s">
        <v>10</v>
      </c>
      <c r="B84" s="16" t="s">
        <v>11</v>
      </c>
      <c r="C84" s="17">
        <v>5035</v>
      </c>
      <c r="D84" s="17">
        <v>5047</v>
      </c>
      <c r="E84" s="17">
        <v>4947</v>
      </c>
      <c r="F84" s="17">
        <f>AVERAGE(Table14369011714446[[#This Row],[Teste 1]:[Teste 3]])</f>
        <v>5009.666666666667</v>
      </c>
      <c r="G84" s="16"/>
      <c r="H84" s="16" t="s">
        <v>10</v>
      </c>
      <c r="I84" s="16" t="s">
        <v>11</v>
      </c>
      <c r="J84" s="17">
        <v>5006</v>
      </c>
      <c r="K84" s="17">
        <v>5000</v>
      </c>
      <c r="L84" s="17">
        <v>4925</v>
      </c>
      <c r="M84" s="17">
        <f>AVERAGE(Table1436901171444658[[#This Row],[Teste 1]:[Teste 3]])</f>
        <v>4977</v>
      </c>
      <c r="N84" s="16"/>
      <c r="O84" s="16" t="s">
        <v>10</v>
      </c>
      <c r="P84" s="16" t="s">
        <v>11</v>
      </c>
      <c r="Q84" s="17">
        <v>4899</v>
      </c>
      <c r="R84" s="17">
        <v>5031</v>
      </c>
      <c r="S84" s="17">
        <v>5040</v>
      </c>
      <c r="T84" s="17">
        <f>AVERAGE(Table1436901171444695[[#This Row],[Teste 1]:[Teste 3]])</f>
        <v>4990</v>
      </c>
    </row>
    <row r="85" spans="1:20" x14ac:dyDescent="0.25">
      <c r="A85" s="16"/>
      <c r="B85" s="16"/>
      <c r="C85" s="17"/>
      <c r="D85" s="17"/>
      <c r="E85" s="17"/>
      <c r="F85" s="17"/>
      <c r="G85" s="16"/>
      <c r="H85" s="16"/>
      <c r="I85" s="16"/>
      <c r="J85" s="17"/>
      <c r="K85" s="17"/>
      <c r="L85" s="17"/>
      <c r="M85" s="17"/>
      <c r="N85" s="16"/>
      <c r="O85" s="16"/>
      <c r="P85" s="16"/>
      <c r="Q85" s="17"/>
      <c r="R85" s="17"/>
      <c r="S85" s="17"/>
      <c r="T85" s="17"/>
    </row>
    <row r="86" spans="1:20" x14ac:dyDescent="0.25">
      <c r="A86" s="16"/>
      <c r="B86" s="16"/>
      <c r="C86" s="17"/>
      <c r="D86" s="17"/>
      <c r="E86" s="17"/>
      <c r="F86" s="17"/>
      <c r="G86" s="16"/>
      <c r="H86" s="16"/>
      <c r="I86" s="16"/>
      <c r="J86" s="17"/>
      <c r="K86" s="17"/>
      <c r="L86" s="17"/>
      <c r="M86" s="17"/>
      <c r="N86" s="16"/>
      <c r="O86" s="16"/>
      <c r="P86" s="16"/>
      <c r="Q86" s="17"/>
      <c r="R86" s="17"/>
      <c r="S86" s="17"/>
      <c r="T86" s="17"/>
    </row>
    <row r="87" spans="1:20" x14ac:dyDescent="0.25">
      <c r="A87" s="16"/>
      <c r="B87" s="16"/>
      <c r="C87" s="17"/>
      <c r="D87" s="17"/>
      <c r="E87" s="17"/>
      <c r="F87" s="17"/>
      <c r="G87" s="16"/>
      <c r="H87" s="16"/>
      <c r="I87" s="16"/>
      <c r="J87" s="17"/>
      <c r="K87" s="17"/>
      <c r="L87" s="17"/>
      <c r="M87" s="17"/>
      <c r="N87" s="16"/>
      <c r="O87" s="16"/>
      <c r="P87" s="16"/>
      <c r="Q87" s="17"/>
      <c r="R87" s="17"/>
      <c r="S87" s="17"/>
      <c r="T87" s="17"/>
    </row>
    <row r="90" spans="1:20" ht="15.75" x14ac:dyDescent="0.25">
      <c r="A90" s="2" t="s">
        <v>66</v>
      </c>
      <c r="H90" s="2" t="s">
        <v>66</v>
      </c>
      <c r="O90" s="2" t="s">
        <v>66</v>
      </c>
    </row>
    <row r="91" spans="1:20" ht="15.75" x14ac:dyDescent="0.25">
      <c r="A91" s="2" t="s">
        <v>65</v>
      </c>
      <c r="H91" s="2" t="s">
        <v>65</v>
      </c>
      <c r="O91" s="2" t="s">
        <v>65</v>
      </c>
    </row>
    <row r="92" spans="1:20" ht="15.75" x14ac:dyDescent="0.25">
      <c r="A92" s="16" t="s">
        <v>59</v>
      </c>
      <c r="B92" s="21" t="s">
        <v>66</v>
      </c>
      <c r="C92" s="16" t="s">
        <v>82</v>
      </c>
      <c r="D92" s="16" t="s">
        <v>64</v>
      </c>
      <c r="E92" s="16" t="s">
        <v>63</v>
      </c>
      <c r="F92" s="16" t="s">
        <v>18</v>
      </c>
      <c r="G92" s="16"/>
      <c r="H92" s="16" t="s">
        <v>12</v>
      </c>
      <c r="I92" s="21" t="s">
        <v>66</v>
      </c>
      <c r="J92" s="16" t="s">
        <v>82</v>
      </c>
      <c r="K92" s="16" t="s">
        <v>64</v>
      </c>
      <c r="L92" s="16" t="s">
        <v>63</v>
      </c>
      <c r="M92" s="16" t="s">
        <v>18</v>
      </c>
      <c r="N92" s="16"/>
      <c r="O92" s="16" t="s">
        <v>13</v>
      </c>
      <c r="P92" s="21" t="s">
        <v>66</v>
      </c>
      <c r="Q92" s="16" t="s">
        <v>82</v>
      </c>
      <c r="R92" s="16" t="s">
        <v>64</v>
      </c>
      <c r="S92" s="16" t="s">
        <v>63</v>
      </c>
      <c r="T92" s="16" t="s">
        <v>18</v>
      </c>
    </row>
    <row r="93" spans="1:20" x14ac:dyDescent="0.25">
      <c r="A93" s="16" t="s">
        <v>0</v>
      </c>
      <c r="B93" s="16" t="s">
        <v>1</v>
      </c>
      <c r="C93" s="17">
        <v>418281</v>
      </c>
      <c r="D93" s="17">
        <v>411074</v>
      </c>
      <c r="E93" s="17">
        <v>387275</v>
      </c>
      <c r="F93" s="17">
        <f>AVERAGE(Table14369011714447[[#This Row],[Teste 1]:[Teste 3]])</f>
        <v>405543.33333333331</v>
      </c>
      <c r="G93" s="16"/>
      <c r="H93" s="16" t="s">
        <v>0</v>
      </c>
      <c r="I93" s="16" t="s">
        <v>1</v>
      </c>
      <c r="J93" s="17">
        <v>500052</v>
      </c>
      <c r="K93" s="17">
        <v>474559</v>
      </c>
      <c r="L93" s="17">
        <v>548345</v>
      </c>
      <c r="M93" s="17">
        <f>AVERAGE(Table1436901171444759[[#This Row],[Teste 1]:[Teste 3]])</f>
        <v>507652</v>
      </c>
      <c r="N93" s="16"/>
      <c r="O93" s="16" t="s">
        <v>0</v>
      </c>
      <c r="P93" s="16" t="s">
        <v>1</v>
      </c>
      <c r="Q93" s="17">
        <v>208355</v>
      </c>
      <c r="R93" s="17">
        <v>197733</v>
      </c>
      <c r="S93" s="17">
        <v>228477</v>
      </c>
      <c r="T93" s="17">
        <f>AVERAGE(Table1436901171444796[[#This Row],[Teste 1]:[Teste 3]])</f>
        <v>211521.66666666666</v>
      </c>
    </row>
    <row r="94" spans="1:20" x14ac:dyDescent="0.25">
      <c r="A94" s="16" t="s">
        <v>0</v>
      </c>
      <c r="B94" s="16" t="s">
        <v>2</v>
      </c>
      <c r="C94" s="17">
        <v>2390.7373272991099</v>
      </c>
      <c r="D94" s="17">
        <v>2432.6520285885199</v>
      </c>
      <c r="E94" s="17">
        <v>2582.1444709831499</v>
      </c>
      <c r="F94" s="17">
        <f>AVERAGE(Table14369011714447[[#This Row],[Teste 1]:[Teste 3]])</f>
        <v>2468.5112756235935</v>
      </c>
      <c r="G94" s="16"/>
      <c r="H94" s="16" t="s">
        <v>0</v>
      </c>
      <c r="I94" s="16" t="s">
        <v>2</v>
      </c>
      <c r="J94" s="17">
        <v>1999.79</v>
      </c>
      <c r="K94" s="17">
        <v>2107.2199999999998</v>
      </c>
      <c r="L94" s="17">
        <v>1823.67</v>
      </c>
      <c r="M94" s="17">
        <f>AVERAGE(Table1436901171444759[[#This Row],[Teste 1]:[Teste 3]])</f>
        <v>1976.8933333333334</v>
      </c>
      <c r="N94" s="16"/>
      <c r="O94" s="16" t="s">
        <v>0</v>
      </c>
      <c r="P94" s="16" t="s">
        <v>2</v>
      </c>
      <c r="Q94" s="17">
        <v>4799.5008519113999</v>
      </c>
      <c r="R94" s="17">
        <v>5057.3247763398103</v>
      </c>
      <c r="S94" s="17">
        <v>4376.8081688747598</v>
      </c>
      <c r="T94" s="17">
        <f>AVERAGE(Table1436901171444796[[#This Row],[Teste 1]:[Teste 3]])</f>
        <v>4744.5445990419903</v>
      </c>
    </row>
    <row r="95" spans="1:20" x14ac:dyDescent="0.25">
      <c r="A95" s="16" t="s">
        <v>16</v>
      </c>
      <c r="B95" s="16" t="s">
        <v>4</v>
      </c>
      <c r="C95" s="17">
        <v>950506</v>
      </c>
      <c r="D95" s="17">
        <v>949807</v>
      </c>
      <c r="E95" s="17">
        <v>949800</v>
      </c>
      <c r="F95" s="17">
        <f>AVERAGE(Table14369011714447[[#This Row],[Teste 1]:[Teste 3]])</f>
        <v>950037.66666666663</v>
      </c>
      <c r="G95" s="16"/>
      <c r="H95" s="16" t="s">
        <v>16</v>
      </c>
      <c r="I95" s="16" t="s">
        <v>4</v>
      </c>
      <c r="J95" s="17">
        <v>949929</v>
      </c>
      <c r="K95" s="17">
        <v>949776</v>
      </c>
      <c r="L95" s="17">
        <v>949988</v>
      </c>
      <c r="M95" s="17">
        <f>AVERAGE(Table1436901171444759[[#This Row],[Teste 1]:[Teste 3]])</f>
        <v>949897.66666666663</v>
      </c>
      <c r="N95" s="16"/>
      <c r="O95" s="16" t="s">
        <v>16</v>
      </c>
      <c r="P95" s="16" t="s">
        <v>4</v>
      </c>
      <c r="Q95" s="17">
        <v>950083</v>
      </c>
      <c r="R95" s="17">
        <v>949841</v>
      </c>
      <c r="S95" s="17">
        <v>949772</v>
      </c>
      <c r="T95" s="17">
        <f>AVERAGE(Table1436901171444796[[#This Row],[Teste 1]:[Teste 3]])</f>
        <v>949898.66666666663</v>
      </c>
    </row>
    <row r="96" spans="1:20" x14ac:dyDescent="0.25">
      <c r="A96" s="16" t="s">
        <v>16</v>
      </c>
      <c r="B96" s="16" t="s">
        <v>5</v>
      </c>
      <c r="C96" s="17">
        <v>411.26326714402597</v>
      </c>
      <c r="D96" s="17">
        <v>401.46786136551901</v>
      </c>
      <c r="E96" s="17">
        <v>377.766899347231</v>
      </c>
      <c r="F96" s="17">
        <f>AVERAGE(Table14369011714447[[#This Row],[Teste 1]:[Teste 3]])</f>
        <v>396.83267595225863</v>
      </c>
      <c r="G96" s="16"/>
      <c r="H96" s="16" t="s">
        <v>16</v>
      </c>
      <c r="I96" s="16" t="s">
        <v>5</v>
      </c>
      <c r="J96" s="17">
        <v>477.95</v>
      </c>
      <c r="K96" s="17">
        <v>453.32</v>
      </c>
      <c r="L96" s="17">
        <v>526.74</v>
      </c>
      <c r="M96" s="17">
        <f>AVERAGE(Table1436901171444759[[#This Row],[Teste 1]:[Teste 3]])</f>
        <v>486.00333333333333</v>
      </c>
      <c r="N96" s="16"/>
      <c r="O96" s="16" t="s">
        <v>16</v>
      </c>
      <c r="P96" s="16" t="s">
        <v>5</v>
      </c>
      <c r="Q96" s="17">
        <v>199.14378217481999</v>
      </c>
      <c r="R96" s="17">
        <v>188.884796508047</v>
      </c>
      <c r="S96" s="17">
        <v>219.473215677025</v>
      </c>
      <c r="T96" s="17">
        <f>AVERAGE(Table1436901171444796[[#This Row],[Teste 1]:[Teste 3]])</f>
        <v>202.500598119964</v>
      </c>
    </row>
    <row r="97" spans="1:20" x14ac:dyDescent="0.25">
      <c r="A97" s="16" t="s">
        <v>16</v>
      </c>
      <c r="B97" s="16" t="s">
        <v>6</v>
      </c>
      <c r="C97" s="17">
        <v>78</v>
      </c>
      <c r="D97" s="17">
        <v>82</v>
      </c>
      <c r="E97" s="17">
        <v>92</v>
      </c>
      <c r="F97" s="17">
        <f>AVERAGE(Table14369011714447[[#This Row],[Teste 1]:[Teste 3]])</f>
        <v>84</v>
      </c>
      <c r="G97" s="16"/>
      <c r="H97" s="16" t="s">
        <v>16</v>
      </c>
      <c r="I97" s="16" t="s">
        <v>6</v>
      </c>
      <c r="J97" s="17">
        <v>228</v>
      </c>
      <c r="K97" s="17">
        <v>247</v>
      </c>
      <c r="L97" s="17">
        <v>240</v>
      </c>
      <c r="M97" s="17">
        <f>AVERAGE(Table1436901171444759[[#This Row],[Teste 1]:[Teste 3]])</f>
        <v>238.33333333333334</v>
      </c>
      <c r="N97" s="16"/>
      <c r="O97" s="16" t="s">
        <v>16</v>
      </c>
      <c r="P97" s="16" t="s">
        <v>6</v>
      </c>
      <c r="Q97" s="17">
        <v>95</v>
      </c>
      <c r="R97" s="17">
        <v>103</v>
      </c>
      <c r="S97" s="17">
        <v>100</v>
      </c>
      <c r="T97" s="17">
        <f>AVERAGE(Table1436901171444796[[#This Row],[Teste 1]:[Teste 3]])</f>
        <v>99.333333333333329</v>
      </c>
    </row>
    <row r="98" spans="1:20" x14ac:dyDescent="0.25">
      <c r="A98" s="16" t="s">
        <v>16</v>
      </c>
      <c r="B98" s="16" t="s">
        <v>7</v>
      </c>
      <c r="C98" s="17">
        <v>2232319</v>
      </c>
      <c r="D98" s="17">
        <v>2297855</v>
      </c>
      <c r="E98" s="17">
        <v>2392063</v>
      </c>
      <c r="F98" s="17">
        <f>AVERAGE(Table14369011714447[[#This Row],[Teste 1]:[Teste 3]])</f>
        <v>2307412.3333333335</v>
      </c>
      <c r="G98" s="16"/>
      <c r="H98" s="16" t="s">
        <v>16</v>
      </c>
      <c r="I98" s="16" t="s">
        <v>7</v>
      </c>
      <c r="J98" s="17">
        <v>381847</v>
      </c>
      <c r="K98" s="17">
        <v>234238</v>
      </c>
      <c r="L98" s="17">
        <v>363722</v>
      </c>
      <c r="M98" s="17">
        <f>AVERAGE(Table1436901171444759[[#This Row],[Teste 1]:[Teste 3]])</f>
        <v>326602.33333333331</v>
      </c>
      <c r="N98" s="16"/>
      <c r="O98" s="16" t="s">
        <v>16</v>
      </c>
      <c r="P98" s="16" t="s">
        <v>7</v>
      </c>
      <c r="Q98" s="17">
        <v>159103</v>
      </c>
      <c r="R98" s="17">
        <v>97599</v>
      </c>
      <c r="S98" s="17">
        <v>151551</v>
      </c>
      <c r="T98" s="17">
        <f>AVERAGE(Table1436901171444796[[#This Row],[Teste 1]:[Teste 3]])</f>
        <v>136084.33333333334</v>
      </c>
    </row>
    <row r="99" spans="1:20" x14ac:dyDescent="0.25">
      <c r="A99" s="16" t="s">
        <v>16</v>
      </c>
      <c r="B99" s="16" t="s">
        <v>8</v>
      </c>
      <c r="C99" s="17">
        <v>321</v>
      </c>
      <c r="D99" s="17">
        <v>350</v>
      </c>
      <c r="E99" s="17">
        <v>314</v>
      </c>
      <c r="F99" s="17">
        <f>AVERAGE(Table14369011714447[[#This Row],[Teste 1]:[Teste 3]])</f>
        <v>328.33333333333331</v>
      </c>
      <c r="G99" s="16"/>
      <c r="H99" s="16" t="s">
        <v>16</v>
      </c>
      <c r="I99" s="16" t="s">
        <v>8</v>
      </c>
      <c r="J99" s="17">
        <v>1301</v>
      </c>
      <c r="K99" s="17">
        <v>1274</v>
      </c>
      <c r="L99" s="17">
        <v>1346</v>
      </c>
      <c r="M99" s="17">
        <f>AVERAGE(Table1436901171444759[[#This Row],[Teste 1]:[Teste 3]])</f>
        <v>1307</v>
      </c>
      <c r="N99" s="16"/>
      <c r="O99" s="16" t="s">
        <v>16</v>
      </c>
      <c r="P99" s="16" t="s">
        <v>8</v>
      </c>
      <c r="Q99" s="17">
        <v>542</v>
      </c>
      <c r="R99" s="17">
        <v>531</v>
      </c>
      <c r="S99" s="17">
        <v>561</v>
      </c>
      <c r="T99" s="17">
        <f>AVERAGE(Table1436901171444796[[#This Row],[Teste 1]:[Teste 3]])</f>
        <v>544.66666666666663</v>
      </c>
    </row>
    <row r="100" spans="1:20" x14ac:dyDescent="0.25">
      <c r="A100" s="16" t="s">
        <v>16</v>
      </c>
      <c r="B100" s="16" t="s">
        <v>9</v>
      </c>
      <c r="C100" s="17">
        <v>480</v>
      </c>
      <c r="D100" s="17">
        <v>741</v>
      </c>
      <c r="E100" s="17">
        <v>494</v>
      </c>
      <c r="F100" s="17">
        <f>AVERAGE(Table14369011714447[[#This Row],[Teste 1]:[Teste 3]])</f>
        <v>571.66666666666663</v>
      </c>
      <c r="G100" s="16"/>
      <c r="H100" s="16" t="s">
        <v>16</v>
      </c>
      <c r="I100" s="16" t="s">
        <v>9</v>
      </c>
      <c r="J100" s="17">
        <v>1817</v>
      </c>
      <c r="K100" s="17">
        <v>1704</v>
      </c>
      <c r="L100" s="17">
        <v>1846</v>
      </c>
      <c r="M100" s="17">
        <f>AVERAGE(Table1436901171444759[[#This Row],[Teste 1]:[Teste 3]])</f>
        <v>1789</v>
      </c>
      <c r="N100" s="16"/>
      <c r="O100" s="16" t="s">
        <v>16</v>
      </c>
      <c r="P100" s="16" t="s">
        <v>9</v>
      </c>
      <c r="Q100" s="17">
        <v>757</v>
      </c>
      <c r="R100" s="17">
        <v>710</v>
      </c>
      <c r="S100" s="17">
        <v>769</v>
      </c>
      <c r="T100" s="17">
        <f>AVERAGE(Table1436901171444796[[#This Row],[Teste 1]:[Teste 3]])</f>
        <v>745.33333333333337</v>
      </c>
    </row>
    <row r="101" spans="1:20" x14ac:dyDescent="0.25">
      <c r="A101" s="16" t="s">
        <v>16</v>
      </c>
      <c r="B101" s="16" t="s">
        <v>11</v>
      </c>
      <c r="C101" s="17">
        <v>950506</v>
      </c>
      <c r="D101" s="17">
        <v>949807</v>
      </c>
      <c r="E101" s="17">
        <v>949800</v>
      </c>
      <c r="F101" s="17">
        <f>AVERAGE(Table14369011714447[[#This Row],[Teste 1]:[Teste 3]])</f>
        <v>950037.66666666663</v>
      </c>
      <c r="G101" s="16"/>
      <c r="H101" s="16" t="s">
        <v>16</v>
      </c>
      <c r="I101" s="16" t="s">
        <v>11</v>
      </c>
      <c r="J101" s="17">
        <v>949929</v>
      </c>
      <c r="K101" s="17">
        <v>949776</v>
      </c>
      <c r="L101" s="17">
        <v>949988</v>
      </c>
      <c r="M101" s="17">
        <f>AVERAGE(Table1436901171444759[[#This Row],[Teste 1]:[Teste 3]])</f>
        <v>949897.66666666663</v>
      </c>
      <c r="N101" s="16"/>
      <c r="O101" s="16" t="s">
        <v>16</v>
      </c>
      <c r="P101" s="16" t="s">
        <v>11</v>
      </c>
      <c r="Q101" s="17">
        <v>950083</v>
      </c>
      <c r="R101" s="17">
        <v>949841</v>
      </c>
      <c r="S101" s="17">
        <v>949772</v>
      </c>
      <c r="T101" s="17">
        <f>AVERAGE(Table1436901171444796[[#This Row],[Teste 1]:[Teste 3]])</f>
        <v>949898.66666666663</v>
      </c>
    </row>
    <row r="102" spans="1:20" x14ac:dyDescent="0.25">
      <c r="A102" s="16" t="s">
        <v>3</v>
      </c>
      <c r="B102" s="16" t="s">
        <v>4</v>
      </c>
      <c r="C102" s="17">
        <v>1</v>
      </c>
      <c r="D102" s="17">
        <v>1</v>
      </c>
      <c r="E102" s="17">
        <v>1</v>
      </c>
      <c r="F102" s="17">
        <f>AVERAGE(Table14369011714447[[#This Row],[Teste 1]:[Teste 3]])</f>
        <v>1</v>
      </c>
      <c r="G102" s="16"/>
      <c r="H102" s="16" t="s">
        <v>3</v>
      </c>
      <c r="I102" s="16" t="s">
        <v>4</v>
      </c>
      <c r="J102" s="17">
        <v>1</v>
      </c>
      <c r="K102" s="17">
        <v>1</v>
      </c>
      <c r="L102" s="17">
        <v>1</v>
      </c>
      <c r="M102" s="17">
        <f>AVERAGE(Table1436901171444759[[#This Row],[Teste 1]:[Teste 3]])</f>
        <v>1</v>
      </c>
      <c r="N102" s="16"/>
      <c r="O102" s="16" t="s">
        <v>3</v>
      </c>
      <c r="P102" s="16" t="s">
        <v>4</v>
      </c>
      <c r="Q102" s="17">
        <v>1</v>
      </c>
      <c r="R102" s="17">
        <v>1</v>
      </c>
      <c r="S102" s="17">
        <v>1</v>
      </c>
      <c r="T102" s="17">
        <f>AVERAGE(Table1436901171444796[[#This Row],[Teste 1]:[Teste 3]])</f>
        <v>1</v>
      </c>
    </row>
    <row r="103" spans="1:20" x14ac:dyDescent="0.25">
      <c r="A103" s="16" t="s">
        <v>3</v>
      </c>
      <c r="B103" s="16" t="s">
        <v>5</v>
      </c>
      <c r="C103" s="17">
        <v>2</v>
      </c>
      <c r="D103" s="17">
        <v>2</v>
      </c>
      <c r="E103" s="17">
        <v>2</v>
      </c>
      <c r="F103" s="17">
        <f>AVERAGE(Table14369011714447[[#This Row],[Teste 1]:[Teste 3]])</f>
        <v>2</v>
      </c>
      <c r="G103" s="16"/>
      <c r="H103" s="16" t="s">
        <v>3</v>
      </c>
      <c r="I103" s="16" t="s">
        <v>5</v>
      </c>
      <c r="J103" s="17">
        <v>1</v>
      </c>
      <c r="K103" s="17">
        <v>1</v>
      </c>
      <c r="L103" s="17">
        <v>1</v>
      </c>
      <c r="M103" s="17">
        <f>AVERAGE(Table1436901171444759[[#This Row],[Teste 1]:[Teste 3]])</f>
        <v>1</v>
      </c>
      <c r="N103" s="16"/>
      <c r="O103" s="16" t="s">
        <v>3</v>
      </c>
      <c r="P103" s="16" t="s">
        <v>5</v>
      </c>
      <c r="Q103" s="17">
        <v>2139</v>
      </c>
      <c r="R103" s="17">
        <v>2271</v>
      </c>
      <c r="S103" s="17">
        <v>2893</v>
      </c>
      <c r="T103" s="17">
        <f>AVERAGE(Table1436901171444796[[#This Row],[Teste 1]:[Teste 3]])</f>
        <v>2434.3333333333335</v>
      </c>
    </row>
    <row r="104" spans="1:20" x14ac:dyDescent="0.25">
      <c r="A104" s="16" t="s">
        <v>3</v>
      </c>
      <c r="B104" s="16" t="s">
        <v>6</v>
      </c>
      <c r="C104" s="17">
        <v>2</v>
      </c>
      <c r="D104" s="17">
        <v>2</v>
      </c>
      <c r="E104" s="17">
        <v>2</v>
      </c>
      <c r="F104" s="17">
        <f>AVERAGE(Table14369011714447[[#This Row],[Teste 1]:[Teste 3]])</f>
        <v>2</v>
      </c>
      <c r="G104" s="16"/>
      <c r="H104" s="16" t="s">
        <v>3</v>
      </c>
      <c r="I104" s="16" t="s">
        <v>6</v>
      </c>
      <c r="J104" s="17">
        <v>1</v>
      </c>
      <c r="K104" s="17">
        <v>1</v>
      </c>
      <c r="L104" s="17">
        <v>1</v>
      </c>
      <c r="M104" s="17">
        <f>AVERAGE(Table1436901171444759[[#This Row],[Teste 1]:[Teste 3]])</f>
        <v>1</v>
      </c>
      <c r="N104" s="16"/>
      <c r="O104" s="16" t="s">
        <v>3</v>
      </c>
      <c r="P104" s="16" t="s">
        <v>6</v>
      </c>
      <c r="Q104" s="17">
        <v>2139</v>
      </c>
      <c r="R104" s="17">
        <v>2271</v>
      </c>
      <c r="S104" s="17">
        <v>2893</v>
      </c>
      <c r="T104" s="17">
        <f>AVERAGE(Table1436901171444796[[#This Row],[Teste 1]:[Teste 3]])</f>
        <v>2434.3333333333335</v>
      </c>
    </row>
    <row r="105" spans="1:20" x14ac:dyDescent="0.25">
      <c r="A105" s="16" t="s">
        <v>3</v>
      </c>
      <c r="B105" s="16" t="s">
        <v>7</v>
      </c>
      <c r="C105" s="17">
        <v>2</v>
      </c>
      <c r="D105" s="17">
        <v>2</v>
      </c>
      <c r="E105" s="17">
        <v>2</v>
      </c>
      <c r="F105" s="17">
        <f>AVERAGE(Table14369011714447[[#This Row],[Teste 1]:[Teste 3]])</f>
        <v>2</v>
      </c>
      <c r="G105" s="16"/>
      <c r="H105" s="16" t="s">
        <v>3</v>
      </c>
      <c r="I105" s="16" t="s">
        <v>7</v>
      </c>
      <c r="J105" s="17">
        <v>1</v>
      </c>
      <c r="K105" s="17">
        <v>1</v>
      </c>
      <c r="L105" s="17">
        <v>1</v>
      </c>
      <c r="M105" s="17">
        <f>AVERAGE(Table1436901171444759[[#This Row],[Teste 1]:[Teste 3]])</f>
        <v>1</v>
      </c>
      <c r="N105" s="16"/>
      <c r="O105" s="16" t="s">
        <v>3</v>
      </c>
      <c r="P105" s="16" t="s">
        <v>7</v>
      </c>
      <c r="Q105" s="17">
        <v>2139</v>
      </c>
      <c r="R105" s="17">
        <v>2271</v>
      </c>
      <c r="S105" s="17">
        <v>2893</v>
      </c>
      <c r="T105" s="17">
        <f>AVERAGE(Table1436901171444796[[#This Row],[Teste 1]:[Teste 3]])</f>
        <v>2434.3333333333335</v>
      </c>
    </row>
    <row r="106" spans="1:20" x14ac:dyDescent="0.25">
      <c r="A106" s="16" t="s">
        <v>3</v>
      </c>
      <c r="B106" s="16" t="s">
        <v>8</v>
      </c>
      <c r="C106" s="17">
        <v>2</v>
      </c>
      <c r="D106" s="17">
        <v>2</v>
      </c>
      <c r="E106" s="17">
        <v>2</v>
      </c>
      <c r="F106" s="17">
        <f>AVERAGE(Table14369011714447[[#This Row],[Teste 1]:[Teste 3]])</f>
        <v>2</v>
      </c>
      <c r="G106" s="16"/>
      <c r="H106" s="16" t="s">
        <v>3</v>
      </c>
      <c r="I106" s="16" t="s">
        <v>8</v>
      </c>
      <c r="J106" s="17">
        <v>1</v>
      </c>
      <c r="K106" s="17">
        <v>1</v>
      </c>
      <c r="L106" s="17">
        <v>1</v>
      </c>
      <c r="M106" s="17">
        <f>AVERAGE(Table1436901171444759[[#This Row],[Teste 1]:[Teste 3]])</f>
        <v>1</v>
      </c>
      <c r="N106" s="16"/>
      <c r="O106" s="16" t="s">
        <v>3</v>
      </c>
      <c r="P106" s="16" t="s">
        <v>8</v>
      </c>
      <c r="Q106" s="17">
        <v>2139</v>
      </c>
      <c r="R106" s="17">
        <v>2271</v>
      </c>
      <c r="S106" s="17">
        <v>2893</v>
      </c>
      <c r="T106" s="17">
        <f>AVERAGE(Table1436901171444796[[#This Row],[Teste 1]:[Teste 3]])</f>
        <v>2434.3333333333335</v>
      </c>
    </row>
    <row r="107" spans="1:20" x14ac:dyDescent="0.25">
      <c r="A107" s="16" t="s">
        <v>3</v>
      </c>
      <c r="B107" s="16" t="s">
        <v>9</v>
      </c>
      <c r="C107" s="17">
        <v>2</v>
      </c>
      <c r="D107" s="17">
        <v>2</v>
      </c>
      <c r="E107" s="17">
        <v>2</v>
      </c>
      <c r="F107" s="17">
        <f>AVERAGE(Table14369011714447[[#This Row],[Teste 1]:[Teste 3]])</f>
        <v>2</v>
      </c>
      <c r="G107" s="16"/>
      <c r="H107" s="16" t="s">
        <v>3</v>
      </c>
      <c r="I107" s="16" t="s">
        <v>9</v>
      </c>
      <c r="J107" s="17">
        <v>1</v>
      </c>
      <c r="K107" s="17">
        <v>1</v>
      </c>
      <c r="L107" s="17">
        <v>1</v>
      </c>
      <c r="M107" s="17">
        <f>AVERAGE(Table1436901171444759[[#This Row],[Teste 1]:[Teste 3]])</f>
        <v>1</v>
      </c>
      <c r="N107" s="16"/>
      <c r="O107" s="16" t="s">
        <v>3</v>
      </c>
      <c r="P107" s="16" t="s">
        <v>9</v>
      </c>
      <c r="Q107" s="17">
        <v>2139</v>
      </c>
      <c r="R107" s="17">
        <v>2271</v>
      </c>
      <c r="S107" s="17">
        <v>2893</v>
      </c>
      <c r="T107" s="17">
        <f>AVERAGE(Table1436901171444796[[#This Row],[Teste 1]:[Teste 3]])</f>
        <v>2434.3333333333335</v>
      </c>
    </row>
    <row r="108" spans="1:20" x14ac:dyDescent="0.25">
      <c r="A108" s="16" t="s">
        <v>10</v>
      </c>
      <c r="B108" s="16" t="s">
        <v>4</v>
      </c>
      <c r="C108" s="17">
        <v>49494</v>
      </c>
      <c r="D108" s="17">
        <v>50193</v>
      </c>
      <c r="E108" s="17">
        <v>50200</v>
      </c>
      <c r="F108" s="17">
        <f>AVERAGE(Table14369011714447[[#This Row],[Teste 1]:[Teste 3]])</f>
        <v>49962.333333333336</v>
      </c>
      <c r="G108" s="16"/>
      <c r="H108" s="16" t="s">
        <v>10</v>
      </c>
      <c r="I108" s="16" t="s">
        <v>4</v>
      </c>
      <c r="J108" s="17">
        <v>50071</v>
      </c>
      <c r="K108" s="17">
        <v>50224</v>
      </c>
      <c r="L108" s="17">
        <v>50012</v>
      </c>
      <c r="M108" s="17">
        <f>AVERAGE(Table1436901171444759[[#This Row],[Teste 1]:[Teste 3]])</f>
        <v>50102.333333333336</v>
      </c>
      <c r="N108" s="16"/>
      <c r="O108" s="16" t="s">
        <v>10</v>
      </c>
      <c r="P108" s="16" t="s">
        <v>4</v>
      </c>
      <c r="Q108" s="17">
        <v>49917</v>
      </c>
      <c r="R108" s="17">
        <v>50159</v>
      </c>
      <c r="S108" s="17">
        <v>50228</v>
      </c>
      <c r="T108" s="17">
        <f>AVERAGE(Table1436901171444796[[#This Row],[Teste 1]:[Teste 3]])</f>
        <v>50101.333333333336</v>
      </c>
    </row>
    <row r="109" spans="1:20" x14ac:dyDescent="0.25">
      <c r="A109" s="16" t="s">
        <v>10</v>
      </c>
      <c r="B109" s="16" t="s">
        <v>5</v>
      </c>
      <c r="C109" s="17">
        <v>479.41093869963998</v>
      </c>
      <c r="D109" s="17">
        <v>515.26890203813196</v>
      </c>
      <c r="E109" s="17">
        <v>494.54719123505902</v>
      </c>
      <c r="F109" s="17">
        <f>AVERAGE(Table14369011714447[[#This Row],[Teste 1]:[Teste 3]])</f>
        <v>496.40901065761028</v>
      </c>
      <c r="G109" s="16"/>
      <c r="H109" s="16" t="s">
        <v>10</v>
      </c>
      <c r="I109" s="16" t="s">
        <v>5</v>
      </c>
      <c r="J109" s="17">
        <v>765.23</v>
      </c>
      <c r="K109" s="17">
        <v>733.68</v>
      </c>
      <c r="L109" s="17">
        <v>799.41</v>
      </c>
      <c r="M109" s="17">
        <f>AVERAGE(Table1436901171444759[[#This Row],[Teste 1]:[Teste 3]])</f>
        <v>766.10666666666657</v>
      </c>
      <c r="N109" s="16"/>
      <c r="O109" s="16" t="s">
        <v>10</v>
      </c>
      <c r="P109" s="16" t="s">
        <v>5</v>
      </c>
      <c r="Q109" s="17">
        <v>318.84600436724901</v>
      </c>
      <c r="R109" s="17">
        <v>305.69845890069502</v>
      </c>
      <c r="S109" s="17">
        <v>333.08841681930397</v>
      </c>
      <c r="T109" s="17">
        <f>AVERAGE(Table1436901171444796[[#This Row],[Teste 1]:[Teste 3]])</f>
        <v>319.21096002908263</v>
      </c>
    </row>
    <row r="110" spans="1:20" x14ac:dyDescent="0.25">
      <c r="A110" s="16" t="s">
        <v>10</v>
      </c>
      <c r="B110" s="16" t="s">
        <v>6</v>
      </c>
      <c r="C110" s="17">
        <v>273</v>
      </c>
      <c r="D110" s="17">
        <v>254</v>
      </c>
      <c r="E110" s="17">
        <v>301</v>
      </c>
      <c r="F110" s="17">
        <f>AVERAGE(Table14369011714447[[#This Row],[Teste 1]:[Teste 3]])</f>
        <v>276</v>
      </c>
      <c r="G110" s="16"/>
      <c r="H110" s="16" t="s">
        <v>10</v>
      </c>
      <c r="I110" s="16" t="s">
        <v>6</v>
      </c>
      <c r="J110" s="17">
        <v>475</v>
      </c>
      <c r="K110" s="17">
        <v>472</v>
      </c>
      <c r="L110" s="17">
        <v>480</v>
      </c>
      <c r="M110" s="17">
        <f>AVERAGE(Table1436901171444759[[#This Row],[Teste 1]:[Teste 3]])</f>
        <v>475.66666666666669</v>
      </c>
      <c r="N110" s="16"/>
      <c r="O110" s="16" t="s">
        <v>10</v>
      </c>
      <c r="P110" s="16" t="s">
        <v>6</v>
      </c>
      <c r="Q110" s="17">
        <v>198</v>
      </c>
      <c r="R110" s="17">
        <v>197</v>
      </c>
      <c r="S110" s="17">
        <v>200</v>
      </c>
      <c r="T110" s="17">
        <f>AVERAGE(Table1436901171444796[[#This Row],[Teste 1]:[Teste 3]])</f>
        <v>198.33333333333334</v>
      </c>
    </row>
    <row r="111" spans="1:20" x14ac:dyDescent="0.25">
      <c r="A111" s="16" t="s">
        <v>10</v>
      </c>
      <c r="B111" s="16" t="s">
        <v>7</v>
      </c>
      <c r="C111" s="17">
        <v>26655</v>
      </c>
      <c r="D111" s="17">
        <v>44543</v>
      </c>
      <c r="E111" s="17">
        <v>13471</v>
      </c>
      <c r="F111" s="17">
        <f>AVERAGE(Table14369011714447[[#This Row],[Teste 1]:[Teste 3]])</f>
        <v>28223</v>
      </c>
      <c r="G111" s="16"/>
      <c r="H111" s="16" t="s">
        <v>10</v>
      </c>
      <c r="I111" s="16" t="s">
        <v>7</v>
      </c>
      <c r="J111" s="17">
        <v>44964</v>
      </c>
      <c r="K111" s="17">
        <v>103447</v>
      </c>
      <c r="L111" s="17">
        <v>38474</v>
      </c>
      <c r="M111" s="17">
        <f>AVERAGE(Table1436901171444759[[#This Row],[Teste 1]:[Teste 3]])</f>
        <v>62295</v>
      </c>
      <c r="N111" s="16"/>
      <c r="O111" s="16" t="s">
        <v>10</v>
      </c>
      <c r="P111" s="16" t="s">
        <v>7</v>
      </c>
      <c r="Q111" s="17">
        <v>18735</v>
      </c>
      <c r="R111" s="17">
        <v>43103</v>
      </c>
      <c r="S111" s="17">
        <v>16031</v>
      </c>
      <c r="T111" s="17">
        <f>AVERAGE(Table1436901171444796[[#This Row],[Teste 1]:[Teste 3]])</f>
        <v>25956.333333333332</v>
      </c>
    </row>
    <row r="112" spans="1:20" x14ac:dyDescent="0.25">
      <c r="A112" s="16" t="s">
        <v>10</v>
      </c>
      <c r="B112" s="16" t="s">
        <v>8</v>
      </c>
      <c r="C112" s="17">
        <v>641</v>
      </c>
      <c r="D112" s="17">
        <v>686</v>
      </c>
      <c r="E112" s="17">
        <v>654</v>
      </c>
      <c r="F112" s="17">
        <f>AVERAGE(Table14369011714447[[#This Row],[Teste 1]:[Teste 3]])</f>
        <v>660.33333333333337</v>
      </c>
      <c r="G112" s="16"/>
      <c r="H112" s="16" t="s">
        <v>10</v>
      </c>
      <c r="I112" s="16" t="s">
        <v>8</v>
      </c>
      <c r="J112" s="17">
        <v>1140</v>
      </c>
      <c r="K112" s="17">
        <v>1051</v>
      </c>
      <c r="L112" s="17">
        <v>1224</v>
      </c>
      <c r="M112" s="17">
        <f>AVERAGE(Table1436901171444759[[#This Row],[Teste 1]:[Teste 3]])</f>
        <v>1138.3333333333333</v>
      </c>
      <c r="N112" s="16"/>
      <c r="O112" s="16" t="s">
        <v>10</v>
      </c>
      <c r="P112" s="16" t="s">
        <v>8</v>
      </c>
      <c r="Q112" s="17">
        <v>475</v>
      </c>
      <c r="R112" s="17">
        <v>438</v>
      </c>
      <c r="S112" s="17">
        <v>510</v>
      </c>
      <c r="T112" s="17">
        <f>AVERAGE(Table1436901171444796[[#This Row],[Teste 1]:[Teste 3]])</f>
        <v>474.33333333333331</v>
      </c>
    </row>
    <row r="113" spans="1:20" x14ac:dyDescent="0.25">
      <c r="A113" s="16" t="s">
        <v>10</v>
      </c>
      <c r="B113" s="16" t="s">
        <v>9</v>
      </c>
      <c r="C113" s="17">
        <v>938</v>
      </c>
      <c r="D113" s="17">
        <v>1396</v>
      </c>
      <c r="E113" s="17">
        <v>1106</v>
      </c>
      <c r="F113" s="17">
        <f>AVERAGE(Table14369011714447[[#This Row],[Teste 1]:[Teste 3]])</f>
        <v>1146.6666666666667</v>
      </c>
      <c r="G113" s="16"/>
      <c r="H113" s="16" t="s">
        <v>10</v>
      </c>
      <c r="I113" s="16" t="s">
        <v>9</v>
      </c>
      <c r="J113" s="17">
        <v>1582</v>
      </c>
      <c r="K113" s="17">
        <v>1522</v>
      </c>
      <c r="L113" s="17">
        <v>1678</v>
      </c>
      <c r="M113" s="17">
        <f>AVERAGE(Table1436901171444759[[#This Row],[Teste 1]:[Teste 3]])</f>
        <v>1594</v>
      </c>
      <c r="N113" s="16"/>
      <c r="O113" s="16" t="s">
        <v>10</v>
      </c>
      <c r="P113" s="16" t="s">
        <v>9</v>
      </c>
      <c r="Q113" s="17">
        <v>659</v>
      </c>
      <c r="R113" s="17">
        <v>634</v>
      </c>
      <c r="S113" s="17">
        <v>699</v>
      </c>
      <c r="T113" s="17">
        <f>AVERAGE(Table1436901171444796[[#This Row],[Teste 1]:[Teste 3]])</f>
        <v>664</v>
      </c>
    </row>
    <row r="114" spans="1:20" x14ac:dyDescent="0.25">
      <c r="A114" s="16" t="s">
        <v>10</v>
      </c>
      <c r="B114" s="16" t="s">
        <v>11</v>
      </c>
      <c r="C114" s="17">
        <v>49494</v>
      </c>
      <c r="D114" s="17">
        <v>50193</v>
      </c>
      <c r="E114" s="17">
        <v>50200</v>
      </c>
      <c r="F114" s="17">
        <f>AVERAGE(Table14369011714447[[#This Row],[Teste 1]:[Teste 3]])</f>
        <v>49962.333333333336</v>
      </c>
      <c r="G114" s="16"/>
      <c r="H114" s="16" t="s">
        <v>10</v>
      </c>
      <c r="I114" s="16" t="s">
        <v>11</v>
      </c>
      <c r="J114" s="17">
        <v>50071</v>
      </c>
      <c r="K114" s="17">
        <v>50224</v>
      </c>
      <c r="L114" s="17">
        <v>50012</v>
      </c>
      <c r="M114" s="17">
        <f>AVERAGE(Table1436901171444759[[#This Row],[Teste 1]:[Teste 3]])</f>
        <v>50102.333333333336</v>
      </c>
      <c r="N114" s="16"/>
      <c r="O114" s="16" t="s">
        <v>10</v>
      </c>
      <c r="P114" s="16" t="s">
        <v>11</v>
      </c>
      <c r="Q114" s="17">
        <v>49917</v>
      </c>
      <c r="R114" s="17">
        <v>50159</v>
      </c>
      <c r="S114" s="17">
        <v>50228</v>
      </c>
      <c r="T114" s="17">
        <f>AVERAGE(Table1436901171444796[[#This Row],[Teste 1]:[Teste 3]])</f>
        <v>50101.333333333336</v>
      </c>
    </row>
    <row r="115" spans="1:20" x14ac:dyDescent="0.25">
      <c r="A115" s="16"/>
      <c r="B115" s="16"/>
      <c r="C115" s="17"/>
      <c r="D115" s="17"/>
      <c r="E115" s="17"/>
      <c r="F115" s="17"/>
      <c r="G115" s="16"/>
      <c r="H115" s="16"/>
      <c r="I115" s="16"/>
      <c r="J115" s="17"/>
      <c r="K115" s="17"/>
      <c r="L115" s="17"/>
      <c r="M115" s="17"/>
      <c r="N115" s="16"/>
      <c r="O115" s="16"/>
      <c r="P115" s="16"/>
      <c r="Q115" s="17"/>
      <c r="R115" s="17"/>
      <c r="S115" s="17"/>
      <c r="T115" s="17"/>
    </row>
    <row r="116" spans="1:20" x14ac:dyDescent="0.25">
      <c r="A116" s="16"/>
      <c r="B116" s="16"/>
      <c r="C116" s="17"/>
      <c r="D116" s="17"/>
      <c r="E116" s="17"/>
      <c r="F116" s="17"/>
      <c r="G116" s="16"/>
      <c r="H116" s="16"/>
      <c r="I116" s="16"/>
      <c r="J116" s="17"/>
      <c r="K116" s="17"/>
      <c r="L116" s="17"/>
      <c r="M116" s="17"/>
      <c r="N116" s="16"/>
      <c r="O116" s="16"/>
      <c r="P116" s="16"/>
      <c r="Q116" s="17"/>
      <c r="R116" s="17"/>
      <c r="S116" s="17"/>
      <c r="T116" s="17"/>
    </row>
    <row r="117" spans="1:20" x14ac:dyDescent="0.25">
      <c r="A117" s="16"/>
      <c r="B117" s="16"/>
      <c r="C117" s="17"/>
      <c r="D117" s="17"/>
      <c r="E117" s="17"/>
      <c r="F117" s="17"/>
      <c r="G117" s="16"/>
      <c r="H117" s="16"/>
      <c r="I117" s="16"/>
      <c r="J117" s="17"/>
      <c r="K117" s="17"/>
      <c r="L117" s="17"/>
      <c r="M117" s="17"/>
      <c r="N117" s="16"/>
      <c r="O117" s="16"/>
      <c r="P117" s="16"/>
      <c r="Q117" s="17"/>
      <c r="R117" s="17"/>
      <c r="S117" s="17"/>
      <c r="T117" s="17"/>
    </row>
    <row r="119" spans="1:20" ht="15.75" x14ac:dyDescent="0.25">
      <c r="A119" s="2" t="s">
        <v>74</v>
      </c>
      <c r="H119" s="2" t="s">
        <v>74</v>
      </c>
      <c r="O119" s="2" t="s">
        <v>74</v>
      </c>
    </row>
    <row r="120" spans="1:20" ht="15.75" x14ac:dyDescent="0.25">
      <c r="A120" s="16" t="s">
        <v>59</v>
      </c>
      <c r="B120" s="21" t="s">
        <v>66</v>
      </c>
      <c r="C120" s="16" t="s">
        <v>82</v>
      </c>
      <c r="D120" s="16" t="s">
        <v>64</v>
      </c>
      <c r="E120" s="16" t="s">
        <v>63</v>
      </c>
      <c r="F120" s="16" t="s">
        <v>18</v>
      </c>
      <c r="G120" s="16"/>
      <c r="H120" s="16" t="s">
        <v>12</v>
      </c>
      <c r="I120" s="21" t="s">
        <v>66</v>
      </c>
      <c r="J120" s="16" t="s">
        <v>82</v>
      </c>
      <c r="K120" s="16" t="s">
        <v>64</v>
      </c>
      <c r="L120" s="16" t="s">
        <v>63</v>
      </c>
      <c r="M120" s="16" t="s">
        <v>18</v>
      </c>
      <c r="N120" s="16"/>
      <c r="O120" s="16" t="s">
        <v>13</v>
      </c>
      <c r="P120" s="21" t="s">
        <v>66</v>
      </c>
      <c r="Q120" s="16" t="s">
        <v>82</v>
      </c>
      <c r="R120" s="16" t="s">
        <v>64</v>
      </c>
      <c r="S120" s="16" t="s">
        <v>63</v>
      </c>
      <c r="T120" s="16" t="s">
        <v>18</v>
      </c>
    </row>
    <row r="121" spans="1:20" x14ac:dyDescent="0.25">
      <c r="A121" s="16" t="s">
        <v>0</v>
      </c>
      <c r="B121" s="16" t="s">
        <v>1</v>
      </c>
      <c r="C121" s="17">
        <v>197781</v>
      </c>
      <c r="D121" s="17">
        <v>184961</v>
      </c>
      <c r="E121" s="17">
        <v>222873</v>
      </c>
      <c r="F121" s="17">
        <f>AVERAGE(Table1436901171444548[[#This Row],[Teste 1]:[Teste 3]])</f>
        <v>201871.66666666666</v>
      </c>
      <c r="G121" s="16"/>
      <c r="H121" s="16" t="s">
        <v>0</v>
      </c>
      <c r="I121" s="16" t="s">
        <v>1</v>
      </c>
      <c r="J121" s="17">
        <v>201084</v>
      </c>
      <c r="K121" s="17">
        <v>190061</v>
      </c>
      <c r="L121" s="17">
        <v>192281</v>
      </c>
      <c r="M121" s="17">
        <f>AVERAGE(Table143690117144454860[[#This Row],[Teste 1]:[Teste 3]])</f>
        <v>194475.33333333334</v>
      </c>
      <c r="N121" s="16"/>
      <c r="O121" s="16" t="s">
        <v>0</v>
      </c>
      <c r="P121" s="16" t="s">
        <v>1</v>
      </c>
      <c r="Q121" s="17">
        <v>83785</v>
      </c>
      <c r="R121" s="17">
        <v>79192</v>
      </c>
      <c r="S121" s="17">
        <v>80117</v>
      </c>
      <c r="T121" s="17">
        <f>AVERAGE(Table143690117144454897[[#This Row],[Teste 1]:[Teste 3]])</f>
        <v>81031.333333333328</v>
      </c>
    </row>
    <row r="122" spans="1:20" x14ac:dyDescent="0.25">
      <c r="A122" s="16" t="s">
        <v>0</v>
      </c>
      <c r="B122" s="16" t="s">
        <v>2</v>
      </c>
      <c r="C122" s="17">
        <v>5056.0974006603201</v>
      </c>
      <c r="D122" s="17">
        <v>5406.5451635750196</v>
      </c>
      <c r="E122" s="17">
        <v>4486.8602298169799</v>
      </c>
      <c r="F122" s="17">
        <f>AVERAGE(Table1436901171444548[[#This Row],[Teste 1]:[Teste 3]])</f>
        <v>4983.1675980174396</v>
      </c>
      <c r="G122" s="16"/>
      <c r="H122" s="16" t="s">
        <v>0</v>
      </c>
      <c r="I122" s="16" t="s">
        <v>2</v>
      </c>
      <c r="J122" s="17">
        <v>4973.05</v>
      </c>
      <c r="K122" s="17">
        <v>5261.47</v>
      </c>
      <c r="L122" s="17">
        <v>5200.7299999999996</v>
      </c>
      <c r="M122" s="17">
        <f>AVERAGE(Table143690117144454860[[#This Row],[Teste 1]:[Teste 3]])</f>
        <v>5145.083333333333</v>
      </c>
      <c r="N122" s="16"/>
      <c r="O122" s="16" t="s">
        <v>0</v>
      </c>
      <c r="P122" s="16" t="s">
        <v>2</v>
      </c>
      <c r="Q122" s="17">
        <v>11935.310616458701</v>
      </c>
      <c r="R122" s="17">
        <v>12627.538135165099</v>
      </c>
      <c r="S122" s="17">
        <v>12481.7454472833</v>
      </c>
      <c r="T122" s="17">
        <f>AVERAGE(Table143690117144454897[[#This Row],[Teste 1]:[Teste 3]])</f>
        <v>12348.198066302366</v>
      </c>
    </row>
    <row r="123" spans="1:20" x14ac:dyDescent="0.25">
      <c r="A123" s="16" t="s">
        <v>16</v>
      </c>
      <c r="B123" s="16" t="s">
        <v>4</v>
      </c>
      <c r="C123" s="17">
        <v>949776</v>
      </c>
      <c r="D123" s="17">
        <v>949881</v>
      </c>
      <c r="E123" s="17">
        <v>949579</v>
      </c>
      <c r="F123" s="17">
        <f>AVERAGE(Table1436901171444548[[#This Row],[Teste 1]:[Teste 3]])</f>
        <v>949745.33333333337</v>
      </c>
      <c r="G123" s="16"/>
      <c r="H123" s="16" t="s">
        <v>16</v>
      </c>
      <c r="I123" s="16" t="s">
        <v>4</v>
      </c>
      <c r="J123" s="17">
        <v>950506</v>
      </c>
      <c r="K123" s="17">
        <v>949841</v>
      </c>
      <c r="L123" s="17">
        <v>949800</v>
      </c>
      <c r="M123" s="17">
        <f>AVERAGE(Table143690117144454860[[#This Row],[Teste 1]:[Teste 3]])</f>
        <v>950049</v>
      </c>
      <c r="N123" s="16"/>
      <c r="O123" s="16" t="s">
        <v>16</v>
      </c>
      <c r="P123" s="16" t="s">
        <v>4</v>
      </c>
      <c r="Q123" s="17">
        <v>949929</v>
      </c>
      <c r="R123" s="17">
        <v>950089</v>
      </c>
      <c r="S123" s="17">
        <v>949988</v>
      </c>
      <c r="T123" s="17">
        <f>AVERAGE(Table143690117144454897[[#This Row],[Teste 1]:[Teste 3]])</f>
        <v>950002</v>
      </c>
    </row>
    <row r="124" spans="1:20" x14ac:dyDescent="0.25">
      <c r="A124" s="16" t="s">
        <v>16</v>
      </c>
      <c r="B124" s="16" t="s">
        <v>5</v>
      </c>
      <c r="C124" s="17">
        <v>571.05588054446503</v>
      </c>
      <c r="D124" s="17">
        <v>541.59399230008796</v>
      </c>
      <c r="E124" s="17">
        <v>652.26965950173701</v>
      </c>
      <c r="F124" s="17">
        <f>AVERAGE(Table1436901171444548[[#This Row],[Teste 1]:[Teste 3]])</f>
        <v>588.30651078209667</v>
      </c>
      <c r="G124" s="16"/>
      <c r="H124" s="16" t="s">
        <v>16</v>
      </c>
      <c r="I124" s="16" t="s">
        <v>5</v>
      </c>
      <c r="J124" s="17">
        <v>572.27</v>
      </c>
      <c r="K124" s="17">
        <v>541.19000000000005</v>
      </c>
      <c r="L124" s="17">
        <v>546.70000000000005</v>
      </c>
      <c r="M124" s="17">
        <f>AVERAGE(Table143690117144454860[[#This Row],[Teste 1]:[Teste 3]])</f>
        <v>553.38666666666666</v>
      </c>
      <c r="N124" s="16"/>
      <c r="O124" s="16" t="s">
        <v>16</v>
      </c>
      <c r="P124" s="16" t="s">
        <v>5</v>
      </c>
      <c r="Q124" s="17">
        <v>238.44630177623799</v>
      </c>
      <c r="R124" s="17">
        <v>225.497272360799</v>
      </c>
      <c r="S124" s="17">
        <v>227.79289106809699</v>
      </c>
      <c r="T124" s="17">
        <f>AVERAGE(Table143690117144454897[[#This Row],[Teste 1]:[Teste 3]])</f>
        <v>230.57882173504467</v>
      </c>
    </row>
    <row r="125" spans="1:20" x14ac:dyDescent="0.25">
      <c r="A125" s="16" t="s">
        <v>16</v>
      </c>
      <c r="B125" s="16" t="s">
        <v>6</v>
      </c>
      <c r="C125" s="17">
        <v>72</v>
      </c>
      <c r="D125" s="17">
        <v>77</v>
      </c>
      <c r="E125" s="17">
        <v>79</v>
      </c>
      <c r="F125" s="17">
        <f>AVERAGE(Table1436901171444548[[#This Row],[Teste 1]:[Teste 3]])</f>
        <v>76</v>
      </c>
      <c r="G125" s="16"/>
      <c r="H125" s="16" t="s">
        <v>16</v>
      </c>
      <c r="I125" s="16" t="s">
        <v>6</v>
      </c>
      <c r="J125" s="17">
        <v>245</v>
      </c>
      <c r="K125" s="17">
        <v>233</v>
      </c>
      <c r="L125" s="17">
        <v>238</v>
      </c>
      <c r="M125" s="17">
        <f>AVERAGE(Table143690117144454860[[#This Row],[Teste 1]:[Teste 3]])</f>
        <v>238.66666666666666</v>
      </c>
      <c r="N125" s="16"/>
      <c r="O125" s="16" t="s">
        <v>16</v>
      </c>
      <c r="P125" s="16" t="s">
        <v>6</v>
      </c>
      <c r="Q125" s="17">
        <v>102</v>
      </c>
      <c r="R125" s="17">
        <v>97</v>
      </c>
      <c r="S125" s="17">
        <v>99</v>
      </c>
      <c r="T125" s="17">
        <f>AVERAGE(Table143690117144454897[[#This Row],[Teste 1]:[Teste 3]])</f>
        <v>99.333333333333329</v>
      </c>
    </row>
    <row r="126" spans="1:20" x14ac:dyDescent="0.25">
      <c r="A126" s="16" t="s">
        <v>16</v>
      </c>
      <c r="B126" s="16" t="s">
        <v>7</v>
      </c>
      <c r="C126" s="17">
        <v>3528703</v>
      </c>
      <c r="D126" s="17">
        <v>4866047</v>
      </c>
      <c r="E126" s="17">
        <v>3620863</v>
      </c>
      <c r="F126" s="17">
        <f>AVERAGE(Table1436901171444548[[#This Row],[Teste 1]:[Teste 3]])</f>
        <v>4005204.3333333335</v>
      </c>
      <c r="G126" s="16"/>
      <c r="H126" s="16" t="s">
        <v>16</v>
      </c>
      <c r="I126" s="16" t="s">
        <v>7</v>
      </c>
      <c r="J126" s="17">
        <v>344369</v>
      </c>
      <c r="K126" s="17">
        <v>321022</v>
      </c>
      <c r="L126" s="17">
        <v>363722</v>
      </c>
      <c r="M126" s="17">
        <f>AVERAGE(Table143690117144454860[[#This Row],[Teste 1]:[Teste 3]])</f>
        <v>343037.66666666669</v>
      </c>
      <c r="N126" s="16"/>
      <c r="O126" s="16" t="s">
        <v>16</v>
      </c>
      <c r="P126" s="16" t="s">
        <v>7</v>
      </c>
      <c r="Q126" s="17">
        <v>143487</v>
      </c>
      <c r="R126" s="17">
        <v>133759</v>
      </c>
      <c r="S126" s="17">
        <v>151551</v>
      </c>
      <c r="T126" s="17">
        <f>AVERAGE(Table143690117144454897[[#This Row],[Teste 1]:[Teste 3]])</f>
        <v>142932.33333333334</v>
      </c>
    </row>
    <row r="127" spans="1:20" x14ac:dyDescent="0.25">
      <c r="A127" s="16" t="s">
        <v>16</v>
      </c>
      <c r="B127" s="16" t="s">
        <v>8</v>
      </c>
      <c r="C127" s="17">
        <v>707</v>
      </c>
      <c r="D127" s="17">
        <v>501</v>
      </c>
      <c r="E127" s="17">
        <v>650</v>
      </c>
      <c r="F127" s="17">
        <f>AVERAGE(Table1436901171444548[[#This Row],[Teste 1]:[Teste 3]])</f>
        <v>619.33333333333337</v>
      </c>
      <c r="G127" s="16"/>
      <c r="H127" s="16" t="s">
        <v>16</v>
      </c>
      <c r="I127" s="16" t="s">
        <v>8</v>
      </c>
      <c r="J127" s="17">
        <v>1524</v>
      </c>
      <c r="K127" s="17">
        <v>1476</v>
      </c>
      <c r="L127" s="17">
        <v>1476</v>
      </c>
      <c r="M127" s="17">
        <f>AVERAGE(Table143690117144454860[[#This Row],[Teste 1]:[Teste 3]])</f>
        <v>1492</v>
      </c>
      <c r="N127" s="16"/>
      <c r="O127" s="16" t="s">
        <v>16</v>
      </c>
      <c r="P127" s="16" t="s">
        <v>8</v>
      </c>
      <c r="Q127" s="17">
        <v>635</v>
      </c>
      <c r="R127" s="17">
        <v>615</v>
      </c>
      <c r="S127" s="17">
        <v>615</v>
      </c>
      <c r="T127" s="17">
        <f>AVERAGE(Table143690117144454897[[#This Row],[Teste 1]:[Teste 3]])</f>
        <v>621.66666666666663</v>
      </c>
    </row>
    <row r="128" spans="1:20" x14ac:dyDescent="0.25">
      <c r="A128" s="16" t="s">
        <v>16</v>
      </c>
      <c r="B128" s="16" t="s">
        <v>9</v>
      </c>
      <c r="C128" s="17">
        <v>2275</v>
      </c>
      <c r="D128" s="17">
        <v>1012</v>
      </c>
      <c r="E128" s="17">
        <v>2419</v>
      </c>
      <c r="F128" s="17">
        <f>AVERAGE(Table1436901171444548[[#This Row],[Teste 1]:[Teste 3]])</f>
        <v>1902</v>
      </c>
      <c r="G128" s="16"/>
      <c r="H128" s="16" t="s">
        <v>16</v>
      </c>
      <c r="I128" s="16" t="s">
        <v>9</v>
      </c>
      <c r="J128" s="17">
        <v>2127</v>
      </c>
      <c r="K128" s="17">
        <v>2050</v>
      </c>
      <c r="L128" s="17">
        <v>2066</v>
      </c>
      <c r="M128" s="17">
        <f>AVERAGE(Table143690117144454860[[#This Row],[Teste 1]:[Teste 3]])</f>
        <v>2081</v>
      </c>
      <c r="N128" s="16"/>
      <c r="O128" s="16" t="s">
        <v>16</v>
      </c>
      <c r="P128" s="16" t="s">
        <v>9</v>
      </c>
      <c r="Q128" s="17">
        <v>886</v>
      </c>
      <c r="R128" s="17">
        <v>854</v>
      </c>
      <c r="S128" s="17">
        <v>861</v>
      </c>
      <c r="T128" s="17">
        <f>AVERAGE(Table143690117144454897[[#This Row],[Teste 1]:[Teste 3]])</f>
        <v>867</v>
      </c>
    </row>
    <row r="129" spans="1:20" x14ac:dyDescent="0.25">
      <c r="A129" s="16" t="s">
        <v>16</v>
      </c>
      <c r="B129" s="16" t="s">
        <v>11</v>
      </c>
      <c r="C129" s="17">
        <v>949776</v>
      </c>
      <c r="D129" s="17">
        <v>949881</v>
      </c>
      <c r="E129" s="17">
        <v>949579</v>
      </c>
      <c r="F129" s="17">
        <f>AVERAGE(Table1436901171444548[[#This Row],[Teste 1]:[Teste 3]])</f>
        <v>949745.33333333337</v>
      </c>
      <c r="G129" s="16"/>
      <c r="H129" s="16" t="s">
        <v>16</v>
      </c>
      <c r="I129" s="16" t="s">
        <v>11</v>
      </c>
      <c r="J129" s="17">
        <v>950506</v>
      </c>
      <c r="K129" s="17">
        <v>949841</v>
      </c>
      <c r="L129" s="17">
        <v>949800</v>
      </c>
      <c r="M129" s="17">
        <f>AVERAGE(Table143690117144454860[[#This Row],[Teste 1]:[Teste 3]])</f>
        <v>950049</v>
      </c>
      <c r="N129" s="16"/>
      <c r="O129" s="16" t="s">
        <v>16</v>
      </c>
      <c r="P129" s="16" t="s">
        <v>11</v>
      </c>
      <c r="Q129" s="17">
        <v>949929</v>
      </c>
      <c r="R129" s="17">
        <v>950089</v>
      </c>
      <c r="S129" s="17">
        <v>949988</v>
      </c>
      <c r="T129" s="17">
        <f>AVERAGE(Table143690117144454897[[#This Row],[Teste 1]:[Teste 3]])</f>
        <v>950002</v>
      </c>
    </row>
    <row r="130" spans="1:20" x14ac:dyDescent="0.25">
      <c r="A130" s="16" t="s">
        <v>3</v>
      </c>
      <c r="B130" s="16" t="s">
        <v>4</v>
      </c>
      <c r="C130" s="17">
        <v>3</v>
      </c>
      <c r="D130" s="17">
        <v>3</v>
      </c>
      <c r="E130" s="17">
        <v>3</v>
      </c>
      <c r="F130" s="17">
        <f>AVERAGE(Table1436901171444548[[#This Row],[Teste 1]:[Teste 3]])</f>
        <v>3</v>
      </c>
      <c r="G130" s="16"/>
      <c r="H130" s="16" t="s">
        <v>3</v>
      </c>
      <c r="I130" s="16" t="s">
        <v>4</v>
      </c>
      <c r="J130" s="17">
        <v>3</v>
      </c>
      <c r="K130" s="17">
        <v>3</v>
      </c>
      <c r="L130" s="17">
        <v>3</v>
      </c>
      <c r="M130" s="17">
        <f>AVERAGE(Table143690117144454860[[#This Row],[Teste 1]:[Teste 3]])</f>
        <v>3</v>
      </c>
      <c r="N130" s="16"/>
      <c r="O130" s="16" t="s">
        <v>3</v>
      </c>
      <c r="P130" s="16" t="s">
        <v>4</v>
      </c>
      <c r="Q130" s="17">
        <v>3</v>
      </c>
      <c r="R130" s="17">
        <v>3</v>
      </c>
      <c r="S130" s="17">
        <v>3</v>
      </c>
      <c r="T130" s="17">
        <f>AVERAGE(Table143690117144454897[[#This Row],[Teste 1]:[Teste 3]])</f>
        <v>3</v>
      </c>
    </row>
    <row r="131" spans="1:20" x14ac:dyDescent="0.25">
      <c r="A131" s="16" t="s">
        <v>3</v>
      </c>
      <c r="B131" s="16" t="s">
        <v>5</v>
      </c>
      <c r="C131" s="17">
        <v>0.66666666666666596</v>
      </c>
      <c r="D131" s="17">
        <v>1.3333333333333299</v>
      </c>
      <c r="E131" s="17">
        <v>1</v>
      </c>
      <c r="F131" s="17">
        <f>AVERAGE(Table1436901171444548[[#This Row],[Teste 1]:[Teste 3]])</f>
        <v>0.99999999999999867</v>
      </c>
      <c r="G131" s="16"/>
      <c r="H131" s="16" t="s">
        <v>3</v>
      </c>
      <c r="I131" s="16" t="s">
        <v>5</v>
      </c>
      <c r="J131" s="17">
        <v>0.67776999999999998</v>
      </c>
      <c r="K131" s="17">
        <v>0.33333000000000002</v>
      </c>
      <c r="L131" s="17">
        <v>1.3332999999999999</v>
      </c>
      <c r="M131" s="17">
        <f>AVERAGE(Table143690117144454860[[#This Row],[Teste 1]:[Teste 3]])</f>
        <v>0.78146666666666664</v>
      </c>
      <c r="N131" s="16"/>
      <c r="O131" s="16" t="s">
        <v>3</v>
      </c>
      <c r="P131" s="16" t="s">
        <v>5</v>
      </c>
      <c r="Q131" s="17">
        <v>715.33333333333303</v>
      </c>
      <c r="R131" s="17">
        <v>777.33333333333303</v>
      </c>
      <c r="S131" s="17">
        <v>736.33333333333303</v>
      </c>
      <c r="T131" s="17">
        <f>AVERAGE(Table143690117144454897[[#This Row],[Teste 1]:[Teste 3]])</f>
        <v>742.99999999999966</v>
      </c>
    </row>
    <row r="132" spans="1:20" x14ac:dyDescent="0.25">
      <c r="A132" s="16" t="s">
        <v>3</v>
      </c>
      <c r="B132" s="16" t="s">
        <v>6</v>
      </c>
      <c r="C132" s="17">
        <v>0</v>
      </c>
      <c r="D132" s="17">
        <v>0</v>
      </c>
      <c r="E132" s="17">
        <v>0</v>
      </c>
      <c r="F132" s="17">
        <f>AVERAGE(Table1436901171444548[[#This Row],[Teste 1]:[Teste 3]])</f>
        <v>0</v>
      </c>
      <c r="G132" s="16"/>
      <c r="H132" s="16" t="s">
        <v>3</v>
      </c>
      <c r="I132" s="16" t="s">
        <v>6</v>
      </c>
      <c r="J132" s="17">
        <v>0</v>
      </c>
      <c r="K132" s="17">
        <v>0</v>
      </c>
      <c r="L132" s="17">
        <v>0</v>
      </c>
      <c r="M132" s="17">
        <f>AVERAGE(Table143690117144454860[[#This Row],[Teste 1]:[Teste 3]])</f>
        <v>0</v>
      </c>
      <c r="N132" s="16"/>
      <c r="O132" s="16" t="s">
        <v>3</v>
      </c>
      <c r="P132" s="16" t="s">
        <v>6</v>
      </c>
      <c r="Q132" s="17">
        <v>1</v>
      </c>
      <c r="R132" s="17">
        <v>1</v>
      </c>
      <c r="S132" s="17">
        <v>1</v>
      </c>
      <c r="T132" s="17">
        <f>AVERAGE(Table143690117144454897[[#This Row],[Teste 1]:[Teste 3]])</f>
        <v>1</v>
      </c>
    </row>
    <row r="133" spans="1:20" x14ac:dyDescent="0.25">
      <c r="A133" s="16" t="s">
        <v>3</v>
      </c>
      <c r="B133" s="16" t="s">
        <v>7</v>
      </c>
      <c r="C133" s="17">
        <v>2</v>
      </c>
      <c r="D133" s="17">
        <v>3</v>
      </c>
      <c r="E133" s="17">
        <v>2</v>
      </c>
      <c r="F133" s="17">
        <f>AVERAGE(Table1436901171444548[[#This Row],[Teste 1]:[Teste 3]])</f>
        <v>2.3333333333333335</v>
      </c>
      <c r="G133" s="16"/>
      <c r="H133" s="16" t="s">
        <v>3</v>
      </c>
      <c r="I133" s="16" t="s">
        <v>7</v>
      </c>
      <c r="J133" s="17">
        <v>2</v>
      </c>
      <c r="K133" s="17">
        <v>3</v>
      </c>
      <c r="L133" s="17">
        <v>2</v>
      </c>
      <c r="M133" s="17">
        <f>AVERAGE(Table143690117144454860[[#This Row],[Teste 1]:[Teste 3]])</f>
        <v>2.3333333333333335</v>
      </c>
      <c r="N133" s="16"/>
      <c r="O133" s="16" t="s">
        <v>3</v>
      </c>
      <c r="P133" s="16" t="s">
        <v>7</v>
      </c>
      <c r="Q133" s="17">
        <v>2139</v>
      </c>
      <c r="R133" s="17">
        <v>2325</v>
      </c>
      <c r="S133" s="17">
        <v>2201</v>
      </c>
      <c r="T133" s="17">
        <f>AVERAGE(Table143690117144454897[[#This Row],[Teste 1]:[Teste 3]])</f>
        <v>2221.6666666666665</v>
      </c>
    </row>
    <row r="134" spans="1:20" x14ac:dyDescent="0.25">
      <c r="A134" s="16" t="s">
        <v>3</v>
      </c>
      <c r="B134" s="16" t="s">
        <v>8</v>
      </c>
      <c r="C134" s="17">
        <v>2</v>
      </c>
      <c r="D134" s="17">
        <v>3</v>
      </c>
      <c r="E134" s="17">
        <v>2</v>
      </c>
      <c r="F134" s="17">
        <f>AVERAGE(Table1436901171444548[[#This Row],[Teste 1]:[Teste 3]])</f>
        <v>2.3333333333333335</v>
      </c>
      <c r="G134" s="16"/>
      <c r="H134" s="16" t="s">
        <v>3</v>
      </c>
      <c r="I134" s="16" t="s">
        <v>8</v>
      </c>
      <c r="J134" s="17">
        <v>2</v>
      </c>
      <c r="K134" s="17">
        <v>3</v>
      </c>
      <c r="L134" s="17">
        <v>2</v>
      </c>
      <c r="M134" s="17">
        <f>AVERAGE(Table143690117144454860[[#This Row],[Teste 1]:[Teste 3]])</f>
        <v>2.3333333333333335</v>
      </c>
      <c r="N134" s="16"/>
      <c r="O134" s="16" t="s">
        <v>3</v>
      </c>
      <c r="P134" s="16" t="s">
        <v>8</v>
      </c>
      <c r="Q134" s="17">
        <v>2139</v>
      </c>
      <c r="R134" s="17">
        <v>2325</v>
      </c>
      <c r="S134" s="17">
        <v>2201</v>
      </c>
      <c r="T134" s="17">
        <f>AVERAGE(Table143690117144454897[[#This Row],[Teste 1]:[Teste 3]])</f>
        <v>2221.6666666666665</v>
      </c>
    </row>
    <row r="135" spans="1:20" x14ac:dyDescent="0.25">
      <c r="A135" s="16" t="s">
        <v>3</v>
      </c>
      <c r="B135" s="16" t="s">
        <v>9</v>
      </c>
      <c r="C135" s="17">
        <v>2</v>
      </c>
      <c r="D135" s="17">
        <v>3</v>
      </c>
      <c r="E135" s="17">
        <v>2</v>
      </c>
      <c r="F135" s="17">
        <f>AVERAGE(Table1436901171444548[[#This Row],[Teste 1]:[Teste 3]])</f>
        <v>2.3333333333333335</v>
      </c>
      <c r="G135" s="16"/>
      <c r="H135" s="16" t="s">
        <v>3</v>
      </c>
      <c r="I135" s="16" t="s">
        <v>9</v>
      </c>
      <c r="J135" s="17">
        <v>2</v>
      </c>
      <c r="K135" s="17">
        <v>3</v>
      </c>
      <c r="L135" s="17">
        <v>2</v>
      </c>
      <c r="M135" s="17">
        <f>AVERAGE(Table143690117144454860[[#This Row],[Teste 1]:[Teste 3]])</f>
        <v>2.3333333333333335</v>
      </c>
      <c r="N135" s="16"/>
      <c r="O135" s="16" t="s">
        <v>3</v>
      </c>
      <c r="P135" s="16" t="s">
        <v>9</v>
      </c>
      <c r="Q135" s="17">
        <v>2139</v>
      </c>
      <c r="R135" s="17">
        <v>2325</v>
      </c>
      <c r="S135" s="17">
        <v>2201</v>
      </c>
      <c r="T135" s="17">
        <f>AVERAGE(Table143690117144454897[[#This Row],[Teste 1]:[Teste 3]])</f>
        <v>2221.6666666666665</v>
      </c>
    </row>
    <row r="136" spans="1:20" x14ac:dyDescent="0.25">
      <c r="A136" s="16" t="s">
        <v>10</v>
      </c>
      <c r="B136" s="16" t="s">
        <v>4</v>
      </c>
      <c r="C136" s="17">
        <v>50224</v>
      </c>
      <c r="D136" s="17">
        <v>50119</v>
      </c>
      <c r="E136" s="17">
        <v>50421</v>
      </c>
      <c r="F136" s="17">
        <f>AVERAGE(Table1436901171444548[[#This Row],[Teste 1]:[Teste 3]])</f>
        <v>50254.666666666664</v>
      </c>
      <c r="G136" s="16"/>
      <c r="H136" s="16" t="s">
        <v>10</v>
      </c>
      <c r="I136" s="16" t="s">
        <v>4</v>
      </c>
      <c r="J136" s="17">
        <v>49494</v>
      </c>
      <c r="K136" s="17">
        <v>50159</v>
      </c>
      <c r="L136" s="17">
        <v>50200</v>
      </c>
      <c r="M136" s="17">
        <f>AVERAGE(Table143690117144454860[[#This Row],[Teste 1]:[Teste 3]])</f>
        <v>49951</v>
      </c>
      <c r="N136" s="16"/>
      <c r="O136" s="16" t="s">
        <v>10</v>
      </c>
      <c r="P136" s="16" t="s">
        <v>4</v>
      </c>
      <c r="Q136" s="17">
        <v>50071</v>
      </c>
      <c r="R136" s="17">
        <v>49911</v>
      </c>
      <c r="S136" s="17">
        <v>50012</v>
      </c>
      <c r="T136" s="17">
        <f>AVERAGE(Table143690117144454897[[#This Row],[Teste 1]:[Teste 3]])</f>
        <v>49998</v>
      </c>
    </row>
    <row r="137" spans="1:20" x14ac:dyDescent="0.25">
      <c r="A137" s="16" t="s">
        <v>10</v>
      </c>
      <c r="B137" s="16" t="s">
        <v>5</v>
      </c>
      <c r="C137" s="17">
        <v>663.82422746097404</v>
      </c>
      <c r="D137" s="17">
        <v>539.279913805143</v>
      </c>
      <c r="E137" s="17">
        <v>626.82535054838195</v>
      </c>
      <c r="F137" s="17">
        <f>AVERAGE(Table1436901171444548[[#This Row],[Teste 1]:[Teste 3]])</f>
        <v>609.97649727149962</v>
      </c>
      <c r="G137" s="16"/>
      <c r="H137" s="16" t="s">
        <v>10</v>
      </c>
      <c r="I137" s="16" t="s">
        <v>5</v>
      </c>
      <c r="J137" s="17">
        <v>913.49</v>
      </c>
      <c r="K137" s="17">
        <v>851.99</v>
      </c>
      <c r="L137" s="17">
        <v>879.06</v>
      </c>
      <c r="M137" s="17">
        <f>AVERAGE(Table143690117144454860[[#This Row],[Teste 1]:[Teste 3]])</f>
        <v>881.51333333333332</v>
      </c>
      <c r="N137" s="16"/>
      <c r="O137" s="16" t="s">
        <v>10</v>
      </c>
      <c r="P137" s="16" t="s">
        <v>5</v>
      </c>
      <c r="Q137" s="17">
        <v>380.61938047971802</v>
      </c>
      <c r="R137" s="17">
        <v>354.99987978601899</v>
      </c>
      <c r="S137" s="17">
        <v>366.27469407342198</v>
      </c>
      <c r="T137" s="17">
        <f>AVERAGE(Table143690117144454897[[#This Row],[Teste 1]:[Teste 3]])</f>
        <v>367.29798477971963</v>
      </c>
    </row>
    <row r="138" spans="1:20" x14ac:dyDescent="0.25">
      <c r="A138" s="16" t="s">
        <v>10</v>
      </c>
      <c r="B138" s="16" t="s">
        <v>6</v>
      </c>
      <c r="C138" s="17">
        <v>269</v>
      </c>
      <c r="D138" s="17">
        <v>255</v>
      </c>
      <c r="E138" s="17">
        <v>247</v>
      </c>
      <c r="F138" s="17">
        <f>AVERAGE(Table1436901171444548[[#This Row],[Teste 1]:[Teste 3]])</f>
        <v>257</v>
      </c>
      <c r="G138" s="16"/>
      <c r="H138" s="16" t="s">
        <v>10</v>
      </c>
      <c r="I138" s="16" t="s">
        <v>6</v>
      </c>
      <c r="J138" s="17">
        <v>514</v>
      </c>
      <c r="K138" s="17">
        <v>449</v>
      </c>
      <c r="L138" s="17">
        <v>494</v>
      </c>
      <c r="M138" s="17">
        <f>AVERAGE(Table143690117144454860[[#This Row],[Teste 1]:[Teste 3]])</f>
        <v>485.66666666666669</v>
      </c>
      <c r="N138" s="16"/>
      <c r="O138" s="16" t="s">
        <v>10</v>
      </c>
      <c r="P138" s="16" t="s">
        <v>6</v>
      </c>
      <c r="Q138" s="17">
        <v>214</v>
      </c>
      <c r="R138" s="17">
        <v>187</v>
      </c>
      <c r="S138" s="17">
        <v>206</v>
      </c>
      <c r="T138" s="17">
        <f>AVERAGE(Table143690117144454897[[#This Row],[Teste 1]:[Teste 3]])</f>
        <v>202.33333333333334</v>
      </c>
    </row>
    <row r="139" spans="1:20" x14ac:dyDescent="0.25">
      <c r="A139" s="16" t="s">
        <v>10</v>
      </c>
      <c r="B139" s="16" t="s">
        <v>7</v>
      </c>
      <c r="C139" s="17">
        <v>122303</v>
      </c>
      <c r="D139" s="17">
        <v>26575</v>
      </c>
      <c r="E139" s="17">
        <v>79935</v>
      </c>
      <c r="F139" s="17">
        <f>AVERAGE(Table1436901171444548[[#This Row],[Teste 1]:[Teste 3]])</f>
        <v>76271</v>
      </c>
      <c r="G139" s="16"/>
      <c r="H139" s="16" t="s">
        <v>10</v>
      </c>
      <c r="I139" s="16" t="s">
        <v>7</v>
      </c>
      <c r="J139" s="17">
        <v>37246</v>
      </c>
      <c r="K139" s="17">
        <v>95537</v>
      </c>
      <c r="L139" s="17">
        <v>44887</v>
      </c>
      <c r="M139" s="17">
        <f>AVERAGE(Table143690117144454860[[#This Row],[Teste 1]:[Teste 3]])</f>
        <v>59223.333333333336</v>
      </c>
      <c r="N139" s="16"/>
      <c r="O139" s="16" t="s">
        <v>10</v>
      </c>
      <c r="P139" s="16" t="s">
        <v>7</v>
      </c>
      <c r="Q139" s="17">
        <v>15519</v>
      </c>
      <c r="R139" s="17">
        <v>39807</v>
      </c>
      <c r="S139" s="17">
        <v>18703</v>
      </c>
      <c r="T139" s="17">
        <f>AVERAGE(Table143690117144454897[[#This Row],[Teste 1]:[Teste 3]])</f>
        <v>24676.333333333332</v>
      </c>
    </row>
    <row r="140" spans="1:20" x14ac:dyDescent="0.25">
      <c r="A140" s="16" t="s">
        <v>10</v>
      </c>
      <c r="B140" s="16" t="s">
        <v>8</v>
      </c>
      <c r="C140" s="17">
        <v>1111</v>
      </c>
      <c r="D140" s="17">
        <v>840</v>
      </c>
      <c r="E140" s="17">
        <v>1013</v>
      </c>
      <c r="F140" s="17">
        <f>AVERAGE(Table1436901171444548[[#This Row],[Teste 1]:[Teste 3]])</f>
        <v>988</v>
      </c>
      <c r="G140" s="16"/>
      <c r="H140" s="16" t="s">
        <v>10</v>
      </c>
      <c r="I140" s="16" t="s">
        <v>8</v>
      </c>
      <c r="J140" s="17">
        <v>1198</v>
      </c>
      <c r="K140" s="17">
        <v>1142</v>
      </c>
      <c r="L140" s="17">
        <v>1181</v>
      </c>
      <c r="M140" s="17">
        <f>AVERAGE(Table143690117144454860[[#This Row],[Teste 1]:[Teste 3]])</f>
        <v>1173.6666666666667</v>
      </c>
      <c r="N140" s="16"/>
      <c r="O140" s="16" t="s">
        <v>10</v>
      </c>
      <c r="P140" s="16" t="s">
        <v>8</v>
      </c>
      <c r="Q140" s="17">
        <v>499</v>
      </c>
      <c r="R140" s="17">
        <v>476</v>
      </c>
      <c r="S140" s="17">
        <v>492</v>
      </c>
      <c r="T140" s="17">
        <f>AVERAGE(Table143690117144454897[[#This Row],[Teste 1]:[Teste 3]])</f>
        <v>489</v>
      </c>
    </row>
    <row r="141" spans="1:20" x14ac:dyDescent="0.25">
      <c r="A141" s="16" t="s">
        <v>10</v>
      </c>
      <c r="B141" s="16" t="s">
        <v>9</v>
      </c>
      <c r="C141" s="17">
        <v>2857</v>
      </c>
      <c r="D141" s="17">
        <v>1621</v>
      </c>
      <c r="E141" s="17">
        <v>2439</v>
      </c>
      <c r="F141" s="17">
        <f>AVERAGE(Table1436901171444548[[#This Row],[Teste 1]:[Teste 3]])</f>
        <v>2305.6666666666665</v>
      </c>
      <c r="G141" s="16"/>
      <c r="H141" s="16" t="s">
        <v>10</v>
      </c>
      <c r="I141" s="16" t="s">
        <v>9</v>
      </c>
      <c r="J141" s="17">
        <v>1862</v>
      </c>
      <c r="K141" s="17">
        <v>1804</v>
      </c>
      <c r="L141" s="17">
        <v>1783</v>
      </c>
      <c r="M141" s="17">
        <f>AVERAGE(Table143690117144454860[[#This Row],[Teste 1]:[Teste 3]])</f>
        <v>1816.3333333333333</v>
      </c>
      <c r="N141" s="16"/>
      <c r="O141" s="16" t="s">
        <v>10</v>
      </c>
      <c r="P141" s="16" t="s">
        <v>9</v>
      </c>
      <c r="Q141" s="17">
        <v>776</v>
      </c>
      <c r="R141" s="17">
        <v>751</v>
      </c>
      <c r="S141" s="17">
        <v>743</v>
      </c>
      <c r="T141" s="17">
        <f>AVERAGE(Table143690117144454897[[#This Row],[Teste 1]:[Teste 3]])</f>
        <v>756.66666666666663</v>
      </c>
    </row>
    <row r="142" spans="1:20" x14ac:dyDescent="0.25">
      <c r="A142" s="16" t="s">
        <v>10</v>
      </c>
      <c r="B142" s="16" t="s">
        <v>11</v>
      </c>
      <c r="C142" s="17">
        <v>50224</v>
      </c>
      <c r="D142" s="17">
        <v>50119</v>
      </c>
      <c r="E142" s="17">
        <v>50421</v>
      </c>
      <c r="F142" s="17">
        <f>AVERAGE(Table1436901171444548[[#This Row],[Teste 1]:[Teste 3]])</f>
        <v>50254.666666666664</v>
      </c>
      <c r="G142" s="16"/>
      <c r="H142" s="16" t="s">
        <v>10</v>
      </c>
      <c r="I142" s="16" t="s">
        <v>11</v>
      </c>
      <c r="J142" s="17">
        <v>49494</v>
      </c>
      <c r="K142" s="17">
        <v>50159</v>
      </c>
      <c r="L142" s="17">
        <v>50200</v>
      </c>
      <c r="M142" s="17">
        <f>AVERAGE(Table143690117144454860[[#This Row],[Teste 1]:[Teste 3]])</f>
        <v>49951</v>
      </c>
      <c r="N142" s="16"/>
      <c r="O142" s="16" t="s">
        <v>10</v>
      </c>
      <c r="P142" s="16" t="s">
        <v>11</v>
      </c>
      <c r="Q142" s="17">
        <v>50071</v>
      </c>
      <c r="R142" s="17">
        <v>49911</v>
      </c>
      <c r="S142" s="17">
        <v>50012</v>
      </c>
      <c r="T142" s="17">
        <f>AVERAGE(Table143690117144454897[[#This Row],[Teste 1]:[Teste 3]])</f>
        <v>49998</v>
      </c>
    </row>
    <row r="143" spans="1:20" x14ac:dyDescent="0.25">
      <c r="A143" s="16"/>
      <c r="B143" s="16"/>
      <c r="C143" s="17"/>
      <c r="D143" s="17"/>
      <c r="E143" s="17"/>
      <c r="F143" s="17"/>
      <c r="G143" s="16"/>
      <c r="H143" s="16"/>
      <c r="I143" s="16"/>
      <c r="J143" s="17"/>
      <c r="K143" s="17"/>
      <c r="L143" s="17"/>
      <c r="M143" s="17"/>
      <c r="N143" s="16"/>
      <c r="O143" s="16"/>
      <c r="P143" s="16"/>
      <c r="Q143" s="17"/>
      <c r="R143" s="17"/>
      <c r="S143" s="17"/>
      <c r="T143" s="17"/>
    </row>
    <row r="144" spans="1:20" x14ac:dyDescent="0.25">
      <c r="A144" s="16"/>
      <c r="B144" s="16"/>
      <c r="C144" s="17"/>
      <c r="D144" s="17"/>
      <c r="E144" s="17"/>
      <c r="F144" s="17"/>
      <c r="G144" s="16"/>
      <c r="H144" s="16"/>
      <c r="I144" s="16"/>
      <c r="J144" s="17"/>
      <c r="K144" s="17"/>
      <c r="L144" s="17"/>
      <c r="M144" s="17"/>
      <c r="N144" s="16"/>
      <c r="O144" s="16"/>
      <c r="P144" s="16"/>
      <c r="Q144" s="17"/>
      <c r="R144" s="17"/>
      <c r="S144" s="17"/>
      <c r="T144" s="17"/>
    </row>
    <row r="145" spans="1:20" x14ac:dyDescent="0.25">
      <c r="A145" s="16"/>
      <c r="B145" s="16"/>
      <c r="C145" s="17"/>
      <c r="D145" s="17"/>
      <c r="E145" s="17"/>
      <c r="F145" s="17"/>
      <c r="G145" s="16"/>
      <c r="H145" s="16"/>
      <c r="I145" s="16"/>
      <c r="J145" s="17"/>
      <c r="K145" s="17"/>
      <c r="L145" s="17"/>
      <c r="M145" s="17"/>
      <c r="N145" s="16"/>
      <c r="O145" s="16"/>
      <c r="P145" s="16"/>
      <c r="Q145" s="17"/>
      <c r="R145" s="17"/>
      <c r="S145" s="17"/>
      <c r="T145" s="17"/>
    </row>
    <row r="147" spans="1:20" ht="15.75" x14ac:dyDescent="0.25">
      <c r="A147" s="2" t="s">
        <v>73</v>
      </c>
      <c r="H147" s="2" t="s">
        <v>73</v>
      </c>
      <c r="O147" s="2" t="s">
        <v>73</v>
      </c>
    </row>
    <row r="148" spans="1:20" ht="15.75" x14ac:dyDescent="0.25">
      <c r="A148" s="16" t="s">
        <v>59</v>
      </c>
      <c r="B148" s="21" t="s">
        <v>66</v>
      </c>
      <c r="C148" s="16" t="s">
        <v>82</v>
      </c>
      <c r="D148" s="16" t="s">
        <v>64</v>
      </c>
      <c r="E148" s="16" t="s">
        <v>63</v>
      </c>
      <c r="F148" s="16" t="s">
        <v>18</v>
      </c>
      <c r="G148" s="16"/>
      <c r="H148" s="16" t="s">
        <v>12</v>
      </c>
      <c r="I148" s="21" t="s">
        <v>66</v>
      </c>
      <c r="J148" s="16" t="s">
        <v>82</v>
      </c>
      <c r="K148" s="16" t="s">
        <v>64</v>
      </c>
      <c r="L148" s="16" t="s">
        <v>63</v>
      </c>
      <c r="M148" s="16" t="s">
        <v>18</v>
      </c>
      <c r="N148" s="16"/>
      <c r="O148" s="16" t="s">
        <v>13</v>
      </c>
      <c r="P148" s="21" t="s">
        <v>66</v>
      </c>
      <c r="Q148" s="16" t="s">
        <v>82</v>
      </c>
      <c r="R148" s="16" t="s">
        <v>64</v>
      </c>
      <c r="S148" s="16" t="s">
        <v>63</v>
      </c>
      <c r="T148" s="16" t="s">
        <v>18</v>
      </c>
    </row>
    <row r="149" spans="1:20" x14ac:dyDescent="0.25">
      <c r="A149" s="16" t="s">
        <v>0</v>
      </c>
      <c r="B149" s="16" t="s">
        <v>1</v>
      </c>
      <c r="C149" s="17">
        <v>154831</v>
      </c>
      <c r="D149" s="17">
        <v>143376</v>
      </c>
      <c r="E149" s="17">
        <v>143853</v>
      </c>
      <c r="F149" s="17">
        <f>AVERAGE(Table1436901171444649[[#This Row],[Teste 1]:[Teste 3]])</f>
        <v>147353.33333333334</v>
      </c>
      <c r="G149" s="16"/>
      <c r="H149" s="16" t="s">
        <v>0</v>
      </c>
      <c r="I149" s="16" t="s">
        <v>1</v>
      </c>
      <c r="J149" s="17">
        <v>136195</v>
      </c>
      <c r="K149" s="17">
        <v>113861</v>
      </c>
      <c r="L149" s="17">
        <v>131527</v>
      </c>
      <c r="M149" s="17">
        <f>AVERAGE(Table143690117144464961[[#This Row],[Teste 1]:[Teste 3]])</f>
        <v>127194.33333333333</v>
      </c>
      <c r="N149" s="16"/>
      <c r="O149" s="16" t="s">
        <v>0</v>
      </c>
      <c r="P149" s="16" t="s">
        <v>1</v>
      </c>
      <c r="Q149" s="17">
        <v>56748</v>
      </c>
      <c r="R149" s="17">
        <v>47442</v>
      </c>
      <c r="S149" s="17">
        <v>54803</v>
      </c>
      <c r="T149" s="17">
        <f>AVERAGE(Table143690117144464998[[#This Row],[Teste 1]:[Teste 3]])</f>
        <v>52997.666666666664</v>
      </c>
    </row>
    <row r="150" spans="1:20" x14ac:dyDescent="0.25">
      <c r="A150" s="16" t="s">
        <v>0</v>
      </c>
      <c r="B150" s="16" t="s">
        <v>2</v>
      </c>
      <c r="C150" s="17">
        <v>6458.65492052625</v>
      </c>
      <c r="D150" s="17">
        <v>6993.8591441181998</v>
      </c>
      <c r="E150" s="17">
        <v>6951.54080902031</v>
      </c>
      <c r="F150" s="17">
        <f>AVERAGE(Table1436901171444649[[#This Row],[Teste 1]:[Teste 3]])</f>
        <v>6801.351624554919</v>
      </c>
      <c r="G150" s="16"/>
      <c r="H150" s="16" t="s">
        <v>0</v>
      </c>
      <c r="I150" s="16" t="s">
        <v>2</v>
      </c>
      <c r="J150" s="17">
        <v>7342.4</v>
      </c>
      <c r="K150" s="17">
        <v>8782.65</v>
      </c>
      <c r="L150" s="17">
        <v>7602.99</v>
      </c>
      <c r="M150" s="17">
        <f>AVERAGE(Table143690117144464961[[#This Row],[Teste 1]:[Teste 3]])</f>
        <v>7909.3466666666673</v>
      </c>
      <c r="N150" s="16"/>
      <c r="O150" s="16" t="s">
        <v>0</v>
      </c>
      <c r="P150" s="16" t="s">
        <v>2</v>
      </c>
      <c r="Q150" s="17">
        <v>17621.766405864499</v>
      </c>
      <c r="R150" s="17">
        <v>21078.369377344901</v>
      </c>
      <c r="S150" s="17">
        <v>18247.176249475298</v>
      </c>
      <c r="T150" s="17">
        <f>AVERAGE(Table143690117144464998[[#This Row],[Teste 1]:[Teste 3]])</f>
        <v>18982.437344228234</v>
      </c>
    </row>
    <row r="151" spans="1:20" x14ac:dyDescent="0.25">
      <c r="A151" s="16" t="s">
        <v>16</v>
      </c>
      <c r="B151" s="16" t="s">
        <v>4</v>
      </c>
      <c r="C151" s="17">
        <v>950345</v>
      </c>
      <c r="D151" s="17">
        <v>950060</v>
      </c>
      <c r="E151" s="17">
        <v>950499</v>
      </c>
      <c r="F151" s="17">
        <f>AVERAGE(Table1436901171444649[[#This Row],[Teste 1]:[Teste 3]])</f>
        <v>950301.33333333337</v>
      </c>
      <c r="G151" s="16"/>
      <c r="H151" s="16" t="s">
        <v>16</v>
      </c>
      <c r="I151" s="16" t="s">
        <v>4</v>
      </c>
      <c r="J151" s="17">
        <v>949776</v>
      </c>
      <c r="K151" s="17">
        <v>949758</v>
      </c>
      <c r="L151" s="17">
        <v>949988</v>
      </c>
      <c r="M151" s="17">
        <f>AVERAGE(Table143690117144464961[[#This Row],[Teste 1]:[Teste 3]])</f>
        <v>949840.66666666663</v>
      </c>
      <c r="N151" s="16"/>
      <c r="O151" s="16" t="s">
        <v>16</v>
      </c>
      <c r="P151" s="16" t="s">
        <v>4</v>
      </c>
      <c r="Q151" s="17">
        <v>950103</v>
      </c>
      <c r="R151" s="17">
        <v>950283</v>
      </c>
      <c r="S151" s="17">
        <v>949758</v>
      </c>
      <c r="T151" s="17">
        <f>AVERAGE(Table143690117144464998[[#This Row],[Teste 1]:[Teste 3]])</f>
        <v>950048</v>
      </c>
    </row>
    <row r="152" spans="1:20" x14ac:dyDescent="0.25">
      <c r="A152" s="16" t="s">
        <v>16</v>
      </c>
      <c r="B152" s="16" t="s">
        <v>5</v>
      </c>
      <c r="C152" s="17">
        <v>914.17080007786603</v>
      </c>
      <c r="D152" s="17">
        <v>455.05754583920998</v>
      </c>
      <c r="E152" s="17">
        <v>818.73034164160003</v>
      </c>
      <c r="F152" s="17">
        <f>AVERAGE(Table1436901171444649[[#This Row],[Teste 1]:[Teste 3]])</f>
        <v>729.31956251955864</v>
      </c>
      <c r="G152" s="16"/>
      <c r="H152" s="16" t="s">
        <v>16</v>
      </c>
      <c r="I152" s="16" t="s">
        <v>5</v>
      </c>
      <c r="J152" s="17">
        <v>780.96</v>
      </c>
      <c r="K152" s="17">
        <v>645.46</v>
      </c>
      <c r="L152" s="17">
        <v>755.02</v>
      </c>
      <c r="M152" s="17">
        <f>AVERAGE(Table143690117144464961[[#This Row],[Teste 1]:[Teste 3]])</f>
        <v>727.14666666666665</v>
      </c>
      <c r="N152" s="16"/>
      <c r="O152" s="16" t="s">
        <v>16</v>
      </c>
      <c r="P152" s="16" t="s">
        <v>5</v>
      </c>
      <c r="Q152" s="17">
        <v>325.40065445535902</v>
      </c>
      <c r="R152" s="17">
        <v>268.94009258294602</v>
      </c>
      <c r="S152" s="17">
        <v>314.589980816165</v>
      </c>
      <c r="T152" s="17">
        <f>AVERAGE(Table143690117144464998[[#This Row],[Teste 1]:[Teste 3]])</f>
        <v>302.97690928482331</v>
      </c>
    </row>
    <row r="153" spans="1:20" x14ac:dyDescent="0.25">
      <c r="A153" s="16" t="s">
        <v>16</v>
      </c>
      <c r="B153" s="16" t="s">
        <v>6</v>
      </c>
      <c r="C153" s="17">
        <v>76</v>
      </c>
      <c r="D153" s="17">
        <v>73</v>
      </c>
      <c r="E153" s="17">
        <v>74</v>
      </c>
      <c r="F153" s="17">
        <f>AVERAGE(Table1436901171444649[[#This Row],[Teste 1]:[Teste 3]])</f>
        <v>74.333333333333329</v>
      </c>
      <c r="G153" s="16"/>
      <c r="H153" s="16" t="s">
        <v>16</v>
      </c>
      <c r="I153" s="16" t="s">
        <v>6</v>
      </c>
      <c r="J153" s="17">
        <v>228</v>
      </c>
      <c r="K153" s="17">
        <v>213</v>
      </c>
      <c r="L153" s="17">
        <v>223</v>
      </c>
      <c r="M153" s="17">
        <f>AVERAGE(Table143690117144464961[[#This Row],[Teste 1]:[Teste 3]])</f>
        <v>221.33333333333334</v>
      </c>
      <c r="N153" s="16"/>
      <c r="O153" s="16" t="s">
        <v>16</v>
      </c>
      <c r="P153" s="16" t="s">
        <v>6</v>
      </c>
      <c r="Q153" s="17">
        <v>95</v>
      </c>
      <c r="R153" s="17">
        <v>89</v>
      </c>
      <c r="S153" s="17">
        <v>93</v>
      </c>
      <c r="T153" s="17">
        <f>AVERAGE(Table143690117144464998[[#This Row],[Teste 1]:[Teste 3]])</f>
        <v>92.333333333333329</v>
      </c>
    </row>
    <row r="154" spans="1:20" x14ac:dyDescent="0.25">
      <c r="A154" s="16" t="s">
        <v>16</v>
      </c>
      <c r="B154" s="16" t="s">
        <v>7</v>
      </c>
      <c r="C154" s="17">
        <v>5070847</v>
      </c>
      <c r="D154" s="17">
        <v>2275327</v>
      </c>
      <c r="E154" s="17">
        <v>3895295</v>
      </c>
      <c r="F154" s="17">
        <f>AVERAGE(Table1436901171444649[[#This Row],[Teste 1]:[Teste 3]])</f>
        <v>3747156.3333333335</v>
      </c>
      <c r="G154" s="16"/>
      <c r="H154" s="16" t="s">
        <v>16</v>
      </c>
      <c r="I154" s="16" t="s">
        <v>7</v>
      </c>
      <c r="J154" s="17">
        <v>352356</v>
      </c>
      <c r="K154" s="17">
        <v>98916</v>
      </c>
      <c r="L154" s="17">
        <v>493361</v>
      </c>
      <c r="M154" s="17">
        <f>AVERAGE(Table143690117144464961[[#This Row],[Teste 1]:[Teste 3]])</f>
        <v>314877.66666666669</v>
      </c>
      <c r="N154" s="16"/>
      <c r="O154" s="16" t="s">
        <v>16</v>
      </c>
      <c r="P154" s="16" t="s">
        <v>7</v>
      </c>
      <c r="Q154" s="17">
        <v>146815</v>
      </c>
      <c r="R154" s="17">
        <v>41215</v>
      </c>
      <c r="S154" s="17">
        <v>205567</v>
      </c>
      <c r="T154" s="17">
        <f>AVERAGE(Table143690117144464998[[#This Row],[Teste 1]:[Teste 3]])</f>
        <v>131199</v>
      </c>
    </row>
    <row r="155" spans="1:20" x14ac:dyDescent="0.25">
      <c r="A155" s="16" t="s">
        <v>16</v>
      </c>
      <c r="B155" s="16" t="s">
        <v>8</v>
      </c>
      <c r="C155" s="17">
        <v>652</v>
      </c>
      <c r="D155" s="17">
        <v>584</v>
      </c>
      <c r="E155" s="17">
        <v>733</v>
      </c>
      <c r="F155" s="17">
        <f>AVERAGE(Table1436901171444649[[#This Row],[Teste 1]:[Teste 3]])</f>
        <v>656.33333333333337</v>
      </c>
      <c r="G155" s="16"/>
      <c r="H155" s="16" t="s">
        <v>16</v>
      </c>
      <c r="I155" s="16" t="s">
        <v>8</v>
      </c>
      <c r="J155" s="17">
        <v>2318</v>
      </c>
      <c r="K155" s="17">
        <v>1865</v>
      </c>
      <c r="L155" s="17">
        <v>2275</v>
      </c>
      <c r="M155" s="17">
        <f>AVERAGE(Table143690117144464961[[#This Row],[Teste 1]:[Teste 3]])</f>
        <v>2152.6666666666665</v>
      </c>
      <c r="N155" s="16"/>
      <c r="O155" s="16" t="s">
        <v>16</v>
      </c>
      <c r="P155" s="16" t="s">
        <v>8</v>
      </c>
      <c r="Q155" s="17">
        <v>966</v>
      </c>
      <c r="R155" s="17">
        <v>777</v>
      </c>
      <c r="S155" s="17">
        <v>948</v>
      </c>
      <c r="T155" s="17">
        <f>AVERAGE(Table143690117144464998[[#This Row],[Teste 1]:[Teste 3]])</f>
        <v>897</v>
      </c>
    </row>
    <row r="156" spans="1:20" x14ac:dyDescent="0.25">
      <c r="A156" s="16" t="s">
        <v>16</v>
      </c>
      <c r="B156" s="16" t="s">
        <v>9</v>
      </c>
      <c r="C156" s="17">
        <v>1945</v>
      </c>
      <c r="D156" s="17">
        <v>1148</v>
      </c>
      <c r="E156" s="17">
        <v>2847</v>
      </c>
      <c r="F156" s="17">
        <f>AVERAGE(Table1436901171444649[[#This Row],[Teste 1]:[Teste 3]])</f>
        <v>1980</v>
      </c>
      <c r="G156" s="16"/>
      <c r="H156" s="16" t="s">
        <v>16</v>
      </c>
      <c r="I156" s="16" t="s">
        <v>9</v>
      </c>
      <c r="J156" s="17">
        <v>3833</v>
      </c>
      <c r="K156" s="17">
        <v>3146</v>
      </c>
      <c r="L156" s="17">
        <v>3463</v>
      </c>
      <c r="M156" s="17">
        <f>AVERAGE(Table143690117144464961[[#This Row],[Teste 1]:[Teste 3]])</f>
        <v>3480.6666666666665</v>
      </c>
      <c r="N156" s="16"/>
      <c r="O156" s="16" t="s">
        <v>16</v>
      </c>
      <c r="P156" s="16" t="s">
        <v>9</v>
      </c>
      <c r="Q156" s="17">
        <v>1597</v>
      </c>
      <c r="R156" s="17">
        <v>1311</v>
      </c>
      <c r="S156" s="17">
        <v>1443</v>
      </c>
      <c r="T156" s="17">
        <f>AVERAGE(Table143690117144464998[[#This Row],[Teste 1]:[Teste 3]])</f>
        <v>1450.3333333333333</v>
      </c>
    </row>
    <row r="157" spans="1:20" x14ac:dyDescent="0.25">
      <c r="A157" s="16" t="s">
        <v>16</v>
      </c>
      <c r="B157" s="16" t="s">
        <v>11</v>
      </c>
      <c r="C157" s="17">
        <v>950345</v>
      </c>
      <c r="D157" s="17">
        <v>950060</v>
      </c>
      <c r="E157" s="17">
        <v>950499</v>
      </c>
      <c r="F157" s="17">
        <f>AVERAGE(Table1436901171444649[[#This Row],[Teste 1]:[Teste 3]])</f>
        <v>950301.33333333337</v>
      </c>
      <c r="G157" s="16"/>
      <c r="H157" s="16" t="s">
        <v>16</v>
      </c>
      <c r="I157" s="16" t="s">
        <v>11</v>
      </c>
      <c r="J157" s="17">
        <v>949776</v>
      </c>
      <c r="K157" s="17">
        <v>949758</v>
      </c>
      <c r="L157" s="17">
        <v>949988</v>
      </c>
      <c r="M157" s="17">
        <f>AVERAGE(Table143690117144464961[[#This Row],[Teste 1]:[Teste 3]])</f>
        <v>949840.66666666663</v>
      </c>
      <c r="N157" s="16"/>
      <c r="O157" s="16" t="s">
        <v>16</v>
      </c>
      <c r="P157" s="16" t="s">
        <v>11</v>
      </c>
      <c r="Q157" s="17">
        <v>950103</v>
      </c>
      <c r="R157" s="17">
        <v>950283</v>
      </c>
      <c r="S157" s="17">
        <v>949758</v>
      </c>
      <c r="T157" s="17">
        <f>AVERAGE(Table143690117144464998[[#This Row],[Teste 1]:[Teste 3]])</f>
        <v>950048</v>
      </c>
    </row>
    <row r="158" spans="1:20" x14ac:dyDescent="0.25">
      <c r="A158" s="16" t="s">
        <v>3</v>
      </c>
      <c r="B158" s="16" t="s">
        <v>4</v>
      </c>
      <c r="C158" s="17">
        <v>6</v>
      </c>
      <c r="D158" s="17">
        <v>6</v>
      </c>
      <c r="E158" s="17">
        <v>6</v>
      </c>
      <c r="F158" s="17">
        <f>AVERAGE(Table1436901171444649[[#This Row],[Teste 1]:[Teste 3]])</f>
        <v>6</v>
      </c>
      <c r="G158" s="16"/>
      <c r="H158" s="16" t="s">
        <v>3</v>
      </c>
      <c r="I158" s="16" t="s">
        <v>4</v>
      </c>
      <c r="J158" s="17">
        <v>6</v>
      </c>
      <c r="K158" s="17">
        <v>6</v>
      </c>
      <c r="L158" s="17">
        <v>6</v>
      </c>
      <c r="M158" s="17">
        <f>AVERAGE(Table143690117144464961[[#This Row],[Teste 1]:[Teste 3]])</f>
        <v>6</v>
      </c>
      <c r="N158" s="16"/>
      <c r="O158" s="16" t="s">
        <v>3</v>
      </c>
      <c r="P158" s="16" t="s">
        <v>4</v>
      </c>
      <c r="Q158" s="17">
        <v>6</v>
      </c>
      <c r="R158" s="17">
        <v>6</v>
      </c>
      <c r="S158" s="17">
        <v>6</v>
      </c>
      <c r="T158" s="17">
        <f>AVERAGE(Table143690117144464998[[#This Row],[Teste 1]:[Teste 3]])</f>
        <v>6</v>
      </c>
    </row>
    <row r="159" spans="1:20" x14ac:dyDescent="0.25">
      <c r="A159" s="16" t="s">
        <v>3</v>
      </c>
      <c r="B159" s="16" t="s">
        <v>5</v>
      </c>
      <c r="C159" s="17">
        <v>1</v>
      </c>
      <c r="D159" s="17">
        <v>1</v>
      </c>
      <c r="E159" s="17">
        <v>1</v>
      </c>
      <c r="F159" s="17">
        <f>AVERAGE(Table1436901171444649[[#This Row],[Teste 1]:[Teste 3]])</f>
        <v>1</v>
      </c>
      <c r="G159" s="16"/>
      <c r="H159" s="16" t="s">
        <v>3</v>
      </c>
      <c r="I159" s="16" t="s">
        <v>5</v>
      </c>
      <c r="J159" s="17">
        <v>1</v>
      </c>
      <c r="K159" s="17">
        <v>1</v>
      </c>
      <c r="L159" s="17">
        <v>1</v>
      </c>
      <c r="M159" s="17">
        <f>AVERAGE(Table143690117144464961[[#This Row],[Teste 1]:[Teste 3]])</f>
        <v>1</v>
      </c>
      <c r="N159" s="16"/>
      <c r="O159" s="16" t="s">
        <v>3</v>
      </c>
      <c r="P159" s="16" t="s">
        <v>5</v>
      </c>
      <c r="Q159" s="17">
        <v>405.166666666666</v>
      </c>
      <c r="R159" s="17">
        <v>385.33333333333297</v>
      </c>
      <c r="S159" s="17">
        <v>391.666666666666</v>
      </c>
      <c r="T159" s="17">
        <f>AVERAGE(Table143690117144464998[[#This Row],[Teste 1]:[Teste 3]])</f>
        <v>394.05555555555497</v>
      </c>
    </row>
    <row r="160" spans="1:20" x14ac:dyDescent="0.25">
      <c r="A160" s="16" t="s">
        <v>3</v>
      </c>
      <c r="B160" s="16" t="s">
        <v>6</v>
      </c>
      <c r="C160" s="17">
        <v>0</v>
      </c>
      <c r="D160" s="17">
        <v>0</v>
      </c>
      <c r="E160" s="17">
        <v>0</v>
      </c>
      <c r="F160" s="17">
        <f>AVERAGE(Table1436901171444649[[#This Row],[Teste 1]:[Teste 3]])</f>
        <v>0</v>
      </c>
      <c r="G160" s="16"/>
      <c r="H160" s="16" t="s">
        <v>3</v>
      </c>
      <c r="I160" s="16" t="s">
        <v>6</v>
      </c>
      <c r="J160" s="17">
        <v>0</v>
      </c>
      <c r="K160" s="17">
        <v>0</v>
      </c>
      <c r="L160" s="17">
        <v>0</v>
      </c>
      <c r="M160" s="17">
        <f>AVERAGE(Table143690117144464961[[#This Row],[Teste 1]:[Teste 3]])</f>
        <v>0</v>
      </c>
      <c r="N160" s="16"/>
      <c r="O160" s="16" t="s">
        <v>3</v>
      </c>
      <c r="P160" s="16" t="s">
        <v>6</v>
      </c>
      <c r="Q160" s="17">
        <v>1</v>
      </c>
      <c r="R160" s="17">
        <v>1</v>
      </c>
      <c r="S160" s="17">
        <v>1</v>
      </c>
      <c r="T160" s="17">
        <f>AVERAGE(Table143690117144464998[[#This Row],[Teste 1]:[Teste 3]])</f>
        <v>1</v>
      </c>
    </row>
    <row r="161" spans="1:20" x14ac:dyDescent="0.25">
      <c r="A161" s="16" t="s">
        <v>3</v>
      </c>
      <c r="B161" s="16" t="s">
        <v>7</v>
      </c>
      <c r="C161" s="17">
        <v>2</v>
      </c>
      <c r="D161" s="17">
        <v>2</v>
      </c>
      <c r="E161" s="17">
        <v>2</v>
      </c>
      <c r="F161" s="17">
        <f>AVERAGE(Table1436901171444649[[#This Row],[Teste 1]:[Teste 3]])</f>
        <v>2</v>
      </c>
      <c r="G161" s="16"/>
      <c r="H161" s="16" t="s">
        <v>3</v>
      </c>
      <c r="I161" s="16" t="s">
        <v>7</v>
      </c>
      <c r="J161" s="17">
        <v>2</v>
      </c>
      <c r="K161" s="17">
        <v>2</v>
      </c>
      <c r="L161" s="17">
        <v>2</v>
      </c>
      <c r="M161" s="17">
        <f>AVERAGE(Table143690117144464961[[#This Row],[Teste 1]:[Teste 3]])</f>
        <v>2</v>
      </c>
      <c r="N161" s="16"/>
      <c r="O161" s="16" t="s">
        <v>3</v>
      </c>
      <c r="P161" s="16" t="s">
        <v>7</v>
      </c>
      <c r="Q161" s="17">
        <v>2417</v>
      </c>
      <c r="R161" s="17">
        <v>2301</v>
      </c>
      <c r="S161" s="17">
        <v>2339</v>
      </c>
      <c r="T161" s="17">
        <f>AVERAGE(Table143690117144464998[[#This Row],[Teste 1]:[Teste 3]])</f>
        <v>2352.3333333333335</v>
      </c>
    </row>
    <row r="162" spans="1:20" x14ac:dyDescent="0.25">
      <c r="A162" s="16" t="s">
        <v>3</v>
      </c>
      <c r="B162" s="16" t="s">
        <v>8</v>
      </c>
      <c r="C162" s="17">
        <v>2</v>
      </c>
      <c r="D162" s="17">
        <v>2</v>
      </c>
      <c r="E162" s="17">
        <v>2</v>
      </c>
      <c r="F162" s="17">
        <f>AVERAGE(Table1436901171444649[[#This Row],[Teste 1]:[Teste 3]])</f>
        <v>2</v>
      </c>
      <c r="G162" s="16"/>
      <c r="H162" s="16" t="s">
        <v>3</v>
      </c>
      <c r="I162" s="16" t="s">
        <v>8</v>
      </c>
      <c r="J162" s="17">
        <v>2</v>
      </c>
      <c r="K162" s="17">
        <v>2</v>
      </c>
      <c r="L162" s="17">
        <v>2</v>
      </c>
      <c r="M162" s="17">
        <f>AVERAGE(Table143690117144464961[[#This Row],[Teste 1]:[Teste 3]])</f>
        <v>2</v>
      </c>
      <c r="N162" s="16"/>
      <c r="O162" s="16" t="s">
        <v>3</v>
      </c>
      <c r="P162" s="16" t="s">
        <v>8</v>
      </c>
      <c r="Q162" s="17">
        <v>2417</v>
      </c>
      <c r="R162" s="17">
        <v>2301</v>
      </c>
      <c r="S162" s="17">
        <v>2339</v>
      </c>
      <c r="T162" s="17">
        <f>AVERAGE(Table143690117144464998[[#This Row],[Teste 1]:[Teste 3]])</f>
        <v>2352.3333333333335</v>
      </c>
    </row>
    <row r="163" spans="1:20" x14ac:dyDescent="0.25">
      <c r="A163" s="16" t="s">
        <v>3</v>
      </c>
      <c r="B163" s="16" t="s">
        <v>9</v>
      </c>
      <c r="C163" s="17">
        <v>2</v>
      </c>
      <c r="D163" s="17">
        <v>2</v>
      </c>
      <c r="E163" s="17">
        <v>2</v>
      </c>
      <c r="F163" s="17">
        <f>AVERAGE(Table1436901171444649[[#This Row],[Teste 1]:[Teste 3]])</f>
        <v>2</v>
      </c>
      <c r="G163" s="16"/>
      <c r="H163" s="16" t="s">
        <v>3</v>
      </c>
      <c r="I163" s="16" t="s">
        <v>9</v>
      </c>
      <c r="J163" s="17">
        <v>2</v>
      </c>
      <c r="K163" s="17">
        <v>2</v>
      </c>
      <c r="L163" s="17">
        <v>2</v>
      </c>
      <c r="M163" s="17">
        <f>AVERAGE(Table143690117144464961[[#This Row],[Teste 1]:[Teste 3]])</f>
        <v>2</v>
      </c>
      <c r="N163" s="16"/>
      <c r="O163" s="16" t="s">
        <v>3</v>
      </c>
      <c r="P163" s="16" t="s">
        <v>9</v>
      </c>
      <c r="Q163" s="17">
        <v>2417</v>
      </c>
      <c r="R163" s="17">
        <v>2301</v>
      </c>
      <c r="S163" s="17">
        <v>2339</v>
      </c>
      <c r="T163" s="17">
        <f>AVERAGE(Table143690117144464998[[#This Row],[Teste 1]:[Teste 3]])</f>
        <v>2352.3333333333335</v>
      </c>
    </row>
    <row r="164" spans="1:20" x14ac:dyDescent="0.25">
      <c r="A164" s="16" t="s">
        <v>10</v>
      </c>
      <c r="B164" s="16" t="s">
        <v>4</v>
      </c>
      <c r="C164" s="17">
        <v>49655</v>
      </c>
      <c r="D164" s="17">
        <v>49940</v>
      </c>
      <c r="E164" s="17">
        <v>49501</v>
      </c>
      <c r="F164" s="17">
        <f>AVERAGE(Table1436901171444649[[#This Row],[Teste 1]:[Teste 3]])</f>
        <v>49698.666666666664</v>
      </c>
      <c r="G164" s="16"/>
      <c r="H164" s="16" t="s">
        <v>10</v>
      </c>
      <c r="I164" s="16" t="s">
        <v>4</v>
      </c>
      <c r="J164" s="17">
        <v>50224</v>
      </c>
      <c r="K164" s="17">
        <v>49717</v>
      </c>
      <c r="L164" s="17">
        <v>50012</v>
      </c>
      <c r="M164" s="17">
        <f>AVERAGE(Table143690117144464961[[#This Row],[Teste 1]:[Teste 3]])</f>
        <v>49984.333333333336</v>
      </c>
      <c r="N164" s="16"/>
      <c r="O164" s="16" t="s">
        <v>10</v>
      </c>
      <c r="P164" s="16" t="s">
        <v>4</v>
      </c>
      <c r="Q164" s="17">
        <v>49897</v>
      </c>
      <c r="R164" s="17">
        <v>49717</v>
      </c>
      <c r="S164" s="17">
        <v>50242</v>
      </c>
      <c r="T164" s="17">
        <f>AVERAGE(Table143690117144464998[[#This Row],[Teste 1]:[Teste 3]])</f>
        <v>49952</v>
      </c>
    </row>
    <row r="165" spans="1:20" x14ac:dyDescent="0.25">
      <c r="A165" s="16" t="s">
        <v>10</v>
      </c>
      <c r="B165" s="16" t="s">
        <v>5</v>
      </c>
      <c r="C165" s="17">
        <v>715.64678280132898</v>
      </c>
      <c r="D165" s="17">
        <v>684.065158189827</v>
      </c>
      <c r="E165" s="17">
        <v>1035.59623037918</v>
      </c>
      <c r="F165" s="17">
        <f>AVERAGE(Table1436901171444649[[#This Row],[Teste 1]:[Teste 3]])</f>
        <v>811.76939045677864</v>
      </c>
      <c r="G165" s="16"/>
      <c r="H165" s="16" t="s">
        <v>10</v>
      </c>
      <c r="I165" s="16" t="s">
        <v>5</v>
      </c>
      <c r="J165" s="17">
        <v>1125.97</v>
      </c>
      <c r="K165" s="17">
        <v>1019.59</v>
      </c>
      <c r="L165" s="17">
        <v>1048.46</v>
      </c>
      <c r="M165" s="17">
        <f>AVERAGE(Table143690117144464961[[#This Row],[Teste 1]:[Teste 3]])</f>
        <v>1064.6733333333334</v>
      </c>
      <c r="N165" s="16"/>
      <c r="O165" s="16" t="s">
        <v>10</v>
      </c>
      <c r="P165" s="16" t="s">
        <v>5</v>
      </c>
      <c r="Q165" s="17">
        <v>469.15187285808702</v>
      </c>
      <c r="R165" s="17">
        <v>424.83170746424702</v>
      </c>
      <c r="S165" s="17">
        <v>436.860117033557</v>
      </c>
      <c r="T165" s="17">
        <f>AVERAGE(Table143690117144464998[[#This Row],[Teste 1]:[Teste 3]])</f>
        <v>443.61456578529697</v>
      </c>
    </row>
    <row r="166" spans="1:20" x14ac:dyDescent="0.25">
      <c r="A166" s="16" t="s">
        <v>10</v>
      </c>
      <c r="B166" s="16" t="s">
        <v>6</v>
      </c>
      <c r="C166" s="17">
        <v>256</v>
      </c>
      <c r="D166" s="17">
        <v>261</v>
      </c>
      <c r="E166" s="17">
        <v>253</v>
      </c>
      <c r="F166" s="17">
        <f>AVERAGE(Table1436901171444649[[#This Row],[Teste 1]:[Teste 3]])</f>
        <v>256.66666666666669</v>
      </c>
      <c r="G166" s="16"/>
      <c r="H166" s="16" t="s">
        <v>10</v>
      </c>
      <c r="I166" s="16" t="s">
        <v>6</v>
      </c>
      <c r="J166" s="17">
        <v>497</v>
      </c>
      <c r="K166" s="17">
        <v>490</v>
      </c>
      <c r="L166" s="17">
        <v>475</v>
      </c>
      <c r="M166" s="17">
        <f>AVERAGE(Table143690117144464961[[#This Row],[Teste 1]:[Teste 3]])</f>
        <v>487.33333333333331</v>
      </c>
      <c r="N166" s="16"/>
      <c r="O166" s="16" t="s">
        <v>10</v>
      </c>
      <c r="P166" s="16" t="s">
        <v>6</v>
      </c>
      <c r="Q166" s="17">
        <v>207</v>
      </c>
      <c r="R166" s="17">
        <v>204</v>
      </c>
      <c r="S166" s="17">
        <v>198</v>
      </c>
      <c r="T166" s="17">
        <f>AVERAGE(Table143690117144464998[[#This Row],[Teste 1]:[Teste 3]])</f>
        <v>203</v>
      </c>
    </row>
    <row r="167" spans="1:20" x14ac:dyDescent="0.25">
      <c r="A167" s="16" t="s">
        <v>10</v>
      </c>
      <c r="B167" s="16" t="s">
        <v>7</v>
      </c>
      <c r="C167" s="17">
        <v>1265663</v>
      </c>
      <c r="D167" s="17">
        <v>157567</v>
      </c>
      <c r="E167" s="17">
        <v>3340287</v>
      </c>
      <c r="F167" s="17">
        <f>AVERAGE(Table1436901171444649[[#This Row],[Teste 1]:[Teste 3]])</f>
        <v>1587839</v>
      </c>
      <c r="G167" s="16"/>
      <c r="H167" s="16" t="s">
        <v>10</v>
      </c>
      <c r="I167" s="16" t="s">
        <v>7</v>
      </c>
      <c r="J167" s="17">
        <v>49111</v>
      </c>
      <c r="K167" s="17">
        <v>128714</v>
      </c>
      <c r="L167" s="17">
        <v>55247</v>
      </c>
      <c r="M167" s="17">
        <f>AVERAGE(Table143690117144464961[[#This Row],[Teste 1]:[Teste 3]])</f>
        <v>77690.666666666672</v>
      </c>
      <c r="N167" s="16"/>
      <c r="O167" s="16" t="s">
        <v>10</v>
      </c>
      <c r="P167" s="16" t="s">
        <v>7</v>
      </c>
      <c r="Q167" s="17">
        <v>20463</v>
      </c>
      <c r="R167" s="17">
        <v>53631</v>
      </c>
      <c r="S167" s="17">
        <v>23007</v>
      </c>
      <c r="T167" s="17">
        <f>AVERAGE(Table143690117144464998[[#This Row],[Teste 1]:[Teste 3]])</f>
        <v>32367</v>
      </c>
    </row>
    <row r="168" spans="1:20" x14ac:dyDescent="0.25">
      <c r="A168" s="16" t="s">
        <v>10</v>
      </c>
      <c r="B168" s="16" t="s">
        <v>8</v>
      </c>
      <c r="C168" s="17">
        <v>954</v>
      </c>
      <c r="D168" s="17">
        <v>910</v>
      </c>
      <c r="E168" s="17">
        <v>1072</v>
      </c>
      <c r="F168" s="17">
        <f>AVERAGE(Table1436901171444649[[#This Row],[Teste 1]:[Teste 3]])</f>
        <v>978.66666666666663</v>
      </c>
      <c r="G168" s="16"/>
      <c r="H168" s="16" t="s">
        <v>10</v>
      </c>
      <c r="I168" s="16" t="s">
        <v>8</v>
      </c>
      <c r="J168" s="17">
        <v>1793</v>
      </c>
      <c r="K168" s="17">
        <v>1517</v>
      </c>
      <c r="L168" s="17">
        <v>1529</v>
      </c>
      <c r="M168" s="17">
        <f>AVERAGE(Table143690117144464961[[#This Row],[Teste 1]:[Teste 3]])</f>
        <v>1613</v>
      </c>
      <c r="N168" s="16"/>
      <c r="O168" s="16" t="s">
        <v>10</v>
      </c>
      <c r="P168" s="16" t="s">
        <v>8</v>
      </c>
      <c r="Q168" s="17">
        <v>747</v>
      </c>
      <c r="R168" s="17">
        <v>632</v>
      </c>
      <c r="S168" s="17">
        <v>637</v>
      </c>
      <c r="T168" s="17">
        <f>AVERAGE(Table143690117144464998[[#This Row],[Teste 1]:[Teste 3]])</f>
        <v>672</v>
      </c>
    </row>
    <row r="169" spans="1:20" x14ac:dyDescent="0.25">
      <c r="A169" s="16" t="s">
        <v>10</v>
      </c>
      <c r="B169" s="16" t="s">
        <v>9</v>
      </c>
      <c r="C169" s="17">
        <v>2419</v>
      </c>
      <c r="D169" s="17">
        <v>2038</v>
      </c>
      <c r="E169" s="17">
        <v>4535</v>
      </c>
      <c r="F169" s="17">
        <f>AVERAGE(Table1436901171444649[[#This Row],[Teste 1]:[Teste 3]])</f>
        <v>2997.3333333333335</v>
      </c>
      <c r="G169" s="16"/>
      <c r="H169" s="16" t="s">
        <v>10</v>
      </c>
      <c r="I169" s="16" t="s">
        <v>9</v>
      </c>
      <c r="J169" s="17">
        <v>3199</v>
      </c>
      <c r="K169" s="17">
        <v>2515</v>
      </c>
      <c r="L169" s="17">
        <v>1777</v>
      </c>
      <c r="M169" s="17">
        <f>AVERAGE(Table143690117144464961[[#This Row],[Teste 1]:[Teste 3]])</f>
        <v>2497</v>
      </c>
      <c r="N169" s="16"/>
      <c r="O169" s="16" t="s">
        <v>10</v>
      </c>
      <c r="P169" s="16" t="s">
        <v>9</v>
      </c>
      <c r="Q169" s="17">
        <v>1333</v>
      </c>
      <c r="R169" s="17">
        <v>1048</v>
      </c>
      <c r="S169" s="17">
        <v>1157</v>
      </c>
      <c r="T169" s="17">
        <f>AVERAGE(Table143690117144464998[[#This Row],[Teste 1]:[Teste 3]])</f>
        <v>1179.3333333333333</v>
      </c>
    </row>
    <row r="170" spans="1:20" x14ac:dyDescent="0.25">
      <c r="A170" s="16" t="s">
        <v>10</v>
      </c>
      <c r="B170" s="16" t="s">
        <v>11</v>
      </c>
      <c r="C170" s="17">
        <v>49655</v>
      </c>
      <c r="D170" s="17">
        <v>49940</v>
      </c>
      <c r="E170" s="17">
        <v>49501</v>
      </c>
      <c r="F170" s="17">
        <f>AVERAGE(Table1436901171444649[[#This Row],[Teste 1]:[Teste 3]])</f>
        <v>49698.666666666664</v>
      </c>
      <c r="G170" s="16"/>
      <c r="H170" s="16" t="s">
        <v>10</v>
      </c>
      <c r="I170" s="16" t="s">
        <v>11</v>
      </c>
      <c r="J170" s="17">
        <v>50224</v>
      </c>
      <c r="K170" s="17">
        <v>49717</v>
      </c>
      <c r="L170" s="17">
        <v>50012</v>
      </c>
      <c r="M170" s="17">
        <f>AVERAGE(Table143690117144464961[[#This Row],[Teste 1]:[Teste 3]])</f>
        <v>49984.333333333336</v>
      </c>
      <c r="N170" s="16"/>
      <c r="O170" s="16" t="s">
        <v>10</v>
      </c>
      <c r="P170" s="16" t="s">
        <v>11</v>
      </c>
      <c r="Q170" s="17">
        <v>49897</v>
      </c>
      <c r="R170" s="17">
        <v>49717</v>
      </c>
      <c r="S170" s="17">
        <v>50242</v>
      </c>
      <c r="T170" s="17">
        <f>AVERAGE(Table143690117144464998[[#This Row],[Teste 1]:[Teste 3]])</f>
        <v>49952</v>
      </c>
    </row>
    <row r="171" spans="1:20" x14ac:dyDescent="0.25">
      <c r="A171" s="16"/>
      <c r="B171" s="16"/>
      <c r="C171" s="17"/>
      <c r="D171" s="17"/>
      <c r="E171" s="17"/>
      <c r="F171" s="17"/>
      <c r="G171" s="16"/>
      <c r="H171" s="16"/>
      <c r="I171" s="16"/>
      <c r="J171" s="17"/>
      <c r="K171" s="17"/>
      <c r="L171" s="17"/>
      <c r="M171" s="17"/>
      <c r="N171" s="16"/>
      <c r="O171" s="16"/>
      <c r="P171" s="16"/>
      <c r="Q171" s="17"/>
      <c r="R171" s="17"/>
      <c r="S171" s="17"/>
      <c r="T171" s="17"/>
    </row>
    <row r="172" spans="1:20" x14ac:dyDescent="0.25">
      <c r="A172" s="16"/>
      <c r="B172" s="16"/>
      <c r="C172" s="17"/>
      <c r="D172" s="17"/>
      <c r="E172" s="17"/>
      <c r="F172" s="17"/>
      <c r="G172" s="16"/>
      <c r="H172" s="16"/>
      <c r="I172" s="16"/>
      <c r="J172" s="17"/>
      <c r="K172" s="17"/>
      <c r="L172" s="17"/>
      <c r="M172" s="17"/>
      <c r="N172" s="16"/>
      <c r="O172" s="16"/>
      <c r="P172" s="16"/>
      <c r="Q172" s="17"/>
      <c r="R172" s="17"/>
      <c r="S172" s="17"/>
      <c r="T172" s="17"/>
    </row>
    <row r="173" spans="1:20" x14ac:dyDescent="0.25">
      <c r="A173" s="16"/>
      <c r="B173" s="16"/>
      <c r="C173" s="17"/>
      <c r="D173" s="17"/>
      <c r="E173" s="17"/>
      <c r="F173" s="17"/>
      <c r="G173" s="16"/>
      <c r="H173" s="16"/>
      <c r="I173" s="16"/>
      <c r="J173" s="17"/>
      <c r="K173" s="17"/>
      <c r="L173" s="17"/>
      <c r="M173" s="17"/>
      <c r="N173" s="16"/>
      <c r="O173" s="16"/>
      <c r="P173" s="16"/>
      <c r="Q173" s="17"/>
      <c r="R173" s="17"/>
      <c r="S173" s="17"/>
      <c r="T173" s="17"/>
    </row>
    <row r="176" spans="1:20" ht="15.75" x14ac:dyDescent="0.25">
      <c r="A176" s="2" t="s">
        <v>81</v>
      </c>
      <c r="H176" s="2" t="s">
        <v>81</v>
      </c>
      <c r="O176" s="2" t="s">
        <v>81</v>
      </c>
    </row>
    <row r="177" spans="1:20" ht="15.75" x14ac:dyDescent="0.25">
      <c r="A177" s="2" t="s">
        <v>65</v>
      </c>
      <c r="H177" s="2" t="s">
        <v>65</v>
      </c>
      <c r="O177" s="2" t="s">
        <v>65</v>
      </c>
    </row>
    <row r="178" spans="1:20" ht="15.75" x14ac:dyDescent="0.25">
      <c r="A178" s="16" t="s">
        <v>59</v>
      </c>
      <c r="B178" s="21" t="s">
        <v>81</v>
      </c>
      <c r="C178" s="16" t="s">
        <v>82</v>
      </c>
      <c r="D178" s="16" t="s">
        <v>64</v>
      </c>
      <c r="E178" s="16" t="s">
        <v>63</v>
      </c>
      <c r="F178" s="16" t="s">
        <v>18</v>
      </c>
      <c r="G178" s="16"/>
      <c r="H178" s="16" t="s">
        <v>12</v>
      </c>
      <c r="I178" s="21" t="s">
        <v>81</v>
      </c>
      <c r="J178" s="16" t="s">
        <v>82</v>
      </c>
      <c r="K178" s="16" t="s">
        <v>64</v>
      </c>
      <c r="L178" s="16" t="s">
        <v>63</v>
      </c>
      <c r="M178" s="16" t="s">
        <v>18</v>
      </c>
      <c r="N178" s="16"/>
      <c r="O178" s="16" t="s">
        <v>13</v>
      </c>
      <c r="P178" s="21" t="s">
        <v>81</v>
      </c>
      <c r="Q178" s="16" t="s">
        <v>82</v>
      </c>
      <c r="R178" s="16" t="s">
        <v>64</v>
      </c>
      <c r="S178" s="16" t="s">
        <v>63</v>
      </c>
      <c r="T178" s="16" t="s">
        <v>18</v>
      </c>
    </row>
    <row r="179" spans="1:20" x14ac:dyDescent="0.25">
      <c r="A179" s="16" t="s">
        <v>0</v>
      </c>
      <c r="B179" s="16" t="s">
        <v>1</v>
      </c>
      <c r="C179" s="17">
        <v>43754725</v>
      </c>
      <c r="D179" s="17">
        <v>42547725</v>
      </c>
      <c r="E179" s="17">
        <v>42541237</v>
      </c>
      <c r="F179" s="17">
        <f>AVERAGE(Table14369011714450[[#This Row],[Teste 1]:[Teste 3]])</f>
        <v>42947895.666666664</v>
      </c>
      <c r="G179" s="16"/>
      <c r="H179" s="16" t="s">
        <v>0</v>
      </c>
      <c r="I179" s="16" t="s">
        <v>1</v>
      </c>
      <c r="J179" s="17">
        <v>15113136</v>
      </c>
      <c r="K179" s="17">
        <v>15139971</v>
      </c>
      <c r="L179" s="17">
        <v>14965704</v>
      </c>
      <c r="M179" s="17">
        <f>AVERAGE(Table1436901171445062[[#This Row],[Teste 1]:[Teste 3]])</f>
        <v>15072937</v>
      </c>
      <c r="N179" s="16"/>
      <c r="O179" s="16" t="s">
        <v>0</v>
      </c>
      <c r="P179" s="16" t="s">
        <v>1</v>
      </c>
      <c r="Q179" s="17">
        <v>3068073</v>
      </c>
      <c r="R179" s="17">
        <v>3291298</v>
      </c>
      <c r="S179" s="17">
        <v>3253414</v>
      </c>
      <c r="T179" s="17">
        <f>AVERAGE(Table1436901171445099[[#This Row],[Teste 1]:[Teste 3]])</f>
        <v>3204261.6666666665</v>
      </c>
    </row>
    <row r="180" spans="1:20" x14ac:dyDescent="0.25">
      <c r="A180" s="16" t="s">
        <v>0</v>
      </c>
      <c r="B180" s="16" t="s">
        <v>2</v>
      </c>
      <c r="C180" s="17">
        <v>228.546745522912</v>
      </c>
      <c r="D180" s="17">
        <v>232.65214552291201</v>
      </c>
      <c r="E180" s="17">
        <v>234.998745522912</v>
      </c>
      <c r="F180" s="17">
        <f>AVERAGE(Table14369011714450[[#This Row],[Teste 1]:[Teste 3]])</f>
        <v>232.06587885624535</v>
      </c>
      <c r="G180" s="16"/>
      <c r="H180" s="16" t="s">
        <v>0</v>
      </c>
      <c r="I180" s="16" t="s">
        <v>2</v>
      </c>
      <c r="J180" s="17">
        <v>668.19</v>
      </c>
      <c r="K180" s="17">
        <v>660.5</v>
      </c>
      <c r="L180" s="17">
        <v>708.56</v>
      </c>
      <c r="M180" s="17">
        <f>AVERAGE(Table1436901171445062[[#This Row],[Teste 1]:[Teste 3]])</f>
        <v>679.08333333333337</v>
      </c>
      <c r="N180" s="16"/>
      <c r="O180" s="16" t="s">
        <v>0</v>
      </c>
      <c r="P180" s="16" t="s">
        <v>2</v>
      </c>
      <c r="Q180" s="17">
        <v>3259.3748584209002</v>
      </c>
      <c r="R180" s="17">
        <v>3038.3149748214801</v>
      </c>
      <c r="S180" s="17">
        <v>3073.6942793016801</v>
      </c>
      <c r="T180" s="17">
        <f>AVERAGE(Table1436901171445099[[#This Row],[Teste 1]:[Teste 3]])</f>
        <v>3123.7947041813536</v>
      </c>
    </row>
    <row r="181" spans="1:20" x14ac:dyDescent="0.25">
      <c r="A181" s="16" t="s">
        <v>16</v>
      </c>
      <c r="B181" s="16" t="s">
        <v>4</v>
      </c>
      <c r="C181" s="17">
        <v>9500186</v>
      </c>
      <c r="D181" s="17">
        <v>9500000</v>
      </c>
      <c r="E181" s="17">
        <v>9512679</v>
      </c>
      <c r="F181" s="17">
        <f>AVERAGE(Table14369011714450[[#This Row],[Teste 1]:[Teste 3]])</f>
        <v>9504288.333333334</v>
      </c>
      <c r="G181" s="16"/>
      <c r="H181" s="16" t="s">
        <v>16</v>
      </c>
      <c r="I181" s="16" t="s">
        <v>4</v>
      </c>
      <c r="J181" s="17">
        <v>9499085</v>
      </c>
      <c r="K181" s="17">
        <v>9500321</v>
      </c>
      <c r="L181" s="17">
        <v>9500886</v>
      </c>
      <c r="M181" s="17">
        <f>AVERAGE(Table1436901171445062[[#This Row],[Teste 1]:[Teste 3]])</f>
        <v>9500097.333333334</v>
      </c>
      <c r="N181" s="16"/>
      <c r="O181" s="16" t="s">
        <v>16</v>
      </c>
      <c r="P181" s="16" t="s">
        <v>4</v>
      </c>
      <c r="Q181" s="17">
        <v>9500131</v>
      </c>
      <c r="R181" s="17">
        <v>9500470</v>
      </c>
      <c r="S181" s="17">
        <v>9500635</v>
      </c>
      <c r="T181" s="17">
        <f>AVERAGE(Table1436901171445099[[#This Row],[Teste 1]:[Teste 3]])</f>
        <v>9500412</v>
      </c>
    </row>
    <row r="182" spans="1:20" x14ac:dyDescent="0.25">
      <c r="A182" s="16" t="s">
        <v>16</v>
      </c>
      <c r="B182" s="16" t="s">
        <v>5</v>
      </c>
      <c r="C182" s="17">
        <v>4576.2607450001497</v>
      </c>
      <c r="D182" s="17">
        <v>4665.6524015000005</v>
      </c>
      <c r="E182" s="17">
        <v>42154.985145000101</v>
      </c>
      <c r="F182" s="17">
        <f>AVERAGE(Table14369011714450[[#This Row],[Teste 1]:[Teste 3]])</f>
        <v>17132.299430500083</v>
      </c>
      <c r="G182" s="16"/>
      <c r="H182" s="16" t="s">
        <v>16</v>
      </c>
      <c r="I182" s="16" t="s">
        <v>5</v>
      </c>
      <c r="J182" s="17">
        <v>1395.08</v>
      </c>
      <c r="K182" s="17">
        <v>1497.5</v>
      </c>
      <c r="L182" s="17">
        <v>1481.76</v>
      </c>
      <c r="M182" s="17">
        <f>AVERAGE(Table1436901171445062[[#This Row],[Teste 1]:[Teste 3]])</f>
        <v>1458.1133333333335</v>
      </c>
      <c r="N182" s="16"/>
      <c r="O182" s="16" t="s">
        <v>16</v>
      </c>
      <c r="P182" s="16" t="s">
        <v>5</v>
      </c>
      <c r="Q182" s="17">
        <v>303.278195005942</v>
      </c>
      <c r="R182" s="17">
        <v>325.54454148057903</v>
      </c>
      <c r="S182" s="17">
        <v>322.121303470768</v>
      </c>
      <c r="T182" s="17">
        <f>AVERAGE(Table1436901171445099[[#This Row],[Teste 1]:[Teste 3]])</f>
        <v>316.98134665242969</v>
      </c>
    </row>
    <row r="183" spans="1:20" x14ac:dyDescent="0.25">
      <c r="A183" s="16" t="s">
        <v>16</v>
      </c>
      <c r="B183" s="16" t="s">
        <v>6</v>
      </c>
      <c r="C183" s="17">
        <v>76</v>
      </c>
      <c r="D183" s="17">
        <v>75</v>
      </c>
      <c r="E183" s="17">
        <v>80</v>
      </c>
      <c r="F183" s="17">
        <f>AVERAGE(Table14369011714450[[#This Row],[Teste 1]:[Teste 3]])</f>
        <v>77</v>
      </c>
      <c r="G183" s="16"/>
      <c r="H183" s="16" t="s">
        <v>16</v>
      </c>
      <c r="I183" s="16" t="s">
        <v>6</v>
      </c>
      <c r="J183" s="17">
        <v>414</v>
      </c>
      <c r="K183" s="17">
        <v>423</v>
      </c>
      <c r="L183" s="17">
        <v>423</v>
      </c>
      <c r="M183" s="17">
        <f>AVERAGE(Table1436901171445062[[#This Row],[Teste 1]:[Teste 3]])</f>
        <v>420</v>
      </c>
      <c r="N183" s="16"/>
      <c r="O183" s="16" t="s">
        <v>16</v>
      </c>
      <c r="P183" s="16" t="s">
        <v>6</v>
      </c>
      <c r="Q183" s="17">
        <v>90</v>
      </c>
      <c r="R183" s="17">
        <v>92</v>
      </c>
      <c r="S183" s="17">
        <v>92</v>
      </c>
      <c r="T183" s="17">
        <f>AVERAGE(Table1436901171445099[[#This Row],[Teste 1]:[Teste 3]])</f>
        <v>91.333333333333329</v>
      </c>
    </row>
    <row r="184" spans="1:20" x14ac:dyDescent="0.25">
      <c r="A184" s="16" t="s">
        <v>16</v>
      </c>
      <c r="B184" s="16" t="s">
        <v>7</v>
      </c>
      <c r="C184" s="17">
        <v>5238783</v>
      </c>
      <c r="D184" s="17">
        <v>5965783</v>
      </c>
      <c r="E184" s="17">
        <v>5254783</v>
      </c>
      <c r="F184" s="17">
        <f>AVERAGE(Table14369011714450[[#This Row],[Teste 1]:[Teste 3]])</f>
        <v>5486449.666666667</v>
      </c>
      <c r="G184" s="16"/>
      <c r="H184" s="16" t="s">
        <v>16</v>
      </c>
      <c r="I184" s="16" t="s">
        <v>7</v>
      </c>
      <c r="J184" s="17">
        <v>6219553</v>
      </c>
      <c r="K184" s="17">
        <v>6620027</v>
      </c>
      <c r="L184" s="17">
        <v>6740577</v>
      </c>
      <c r="M184" s="17">
        <f>AVERAGE(Table1436901171445062[[#This Row],[Teste 1]:[Teste 3]])</f>
        <v>6526719</v>
      </c>
      <c r="N184" s="16"/>
      <c r="O184" s="16" t="s">
        <v>16</v>
      </c>
      <c r="P184" s="16" t="s">
        <v>7</v>
      </c>
      <c r="Q184" s="17">
        <v>699903</v>
      </c>
      <c r="R184" s="17">
        <v>1873919</v>
      </c>
      <c r="S184" s="17">
        <v>1465343</v>
      </c>
      <c r="T184" s="17">
        <f>AVERAGE(Table1436901171445099[[#This Row],[Teste 1]:[Teste 3]])</f>
        <v>1346388.3333333333</v>
      </c>
    </row>
    <row r="185" spans="1:20" x14ac:dyDescent="0.25">
      <c r="A185" s="16" t="s">
        <v>16</v>
      </c>
      <c r="B185" s="16" t="s">
        <v>8</v>
      </c>
      <c r="C185" s="17">
        <v>1905</v>
      </c>
      <c r="D185" s="17">
        <v>1897</v>
      </c>
      <c r="E185" s="17">
        <v>19905</v>
      </c>
      <c r="F185" s="17">
        <f>AVERAGE(Table14369011714450[[#This Row],[Teste 1]:[Teste 3]])</f>
        <v>7902.333333333333</v>
      </c>
      <c r="G185" s="16"/>
      <c r="H185" s="16" t="s">
        <v>16</v>
      </c>
      <c r="I185" s="16" t="s">
        <v>8</v>
      </c>
      <c r="J185" s="17">
        <v>3151</v>
      </c>
      <c r="K185" s="17">
        <v>3505</v>
      </c>
      <c r="L185" s="17">
        <v>3482</v>
      </c>
      <c r="M185" s="17">
        <f>AVERAGE(Table1436901171445062[[#This Row],[Teste 1]:[Teste 3]])</f>
        <v>3379.3333333333335</v>
      </c>
      <c r="N185" s="16"/>
      <c r="O185" s="16" t="s">
        <v>16</v>
      </c>
      <c r="P185" s="16" t="s">
        <v>8</v>
      </c>
      <c r="Q185" s="17">
        <v>685</v>
      </c>
      <c r="R185" s="17">
        <v>762</v>
      </c>
      <c r="S185" s="17">
        <v>757</v>
      </c>
      <c r="T185" s="17">
        <f>AVERAGE(Table1436901171445099[[#This Row],[Teste 1]:[Teste 3]])</f>
        <v>734.66666666666663</v>
      </c>
    </row>
    <row r="186" spans="1:20" x14ac:dyDescent="0.25">
      <c r="A186" s="16" t="s">
        <v>16</v>
      </c>
      <c r="B186" s="16" t="s">
        <v>9</v>
      </c>
      <c r="C186" s="17">
        <v>55903</v>
      </c>
      <c r="D186" s="17">
        <v>55503</v>
      </c>
      <c r="E186" s="17">
        <v>56981</v>
      </c>
      <c r="F186" s="17">
        <f>AVERAGE(Table14369011714450[[#This Row],[Teste 1]:[Teste 3]])</f>
        <v>56129</v>
      </c>
      <c r="G186" s="16"/>
      <c r="H186" s="16" t="s">
        <v>16</v>
      </c>
      <c r="I186" s="16" t="s">
        <v>9</v>
      </c>
      <c r="J186" s="17">
        <v>4181</v>
      </c>
      <c r="K186" s="17">
        <v>4996</v>
      </c>
      <c r="L186" s="17">
        <v>5088</v>
      </c>
      <c r="M186" s="17">
        <f>AVERAGE(Table1436901171445062[[#This Row],[Teste 1]:[Teste 3]])</f>
        <v>4755</v>
      </c>
      <c r="N186" s="16"/>
      <c r="O186" s="16" t="s">
        <v>16</v>
      </c>
      <c r="P186" s="16" t="s">
        <v>9</v>
      </c>
      <c r="Q186" s="17">
        <v>909</v>
      </c>
      <c r="R186" s="17">
        <v>1086</v>
      </c>
      <c r="S186" s="17">
        <v>1106</v>
      </c>
      <c r="T186" s="17">
        <f>AVERAGE(Table1436901171445099[[#This Row],[Teste 1]:[Teste 3]])</f>
        <v>1033.6666666666667</v>
      </c>
    </row>
    <row r="187" spans="1:20" x14ac:dyDescent="0.25">
      <c r="A187" s="16" t="s">
        <v>16</v>
      </c>
      <c r="B187" s="16" t="s">
        <v>11</v>
      </c>
      <c r="C187" s="17">
        <v>9500186</v>
      </c>
      <c r="D187" s="17">
        <v>9500000</v>
      </c>
      <c r="E187" s="17">
        <v>9512679</v>
      </c>
      <c r="F187" s="17">
        <f>AVERAGE(Table14369011714450[[#This Row],[Teste 1]:[Teste 3]])</f>
        <v>9504288.333333334</v>
      </c>
      <c r="G187" s="16"/>
      <c r="H187" s="16" t="s">
        <v>16</v>
      </c>
      <c r="I187" s="16" t="s">
        <v>11</v>
      </c>
      <c r="J187" s="17">
        <v>9499085</v>
      </c>
      <c r="K187" s="17">
        <v>9500321</v>
      </c>
      <c r="L187" s="17">
        <v>9500886</v>
      </c>
      <c r="M187" s="17">
        <f>AVERAGE(Table1436901171445062[[#This Row],[Teste 1]:[Teste 3]])</f>
        <v>9500097.333333334</v>
      </c>
      <c r="N187" s="16"/>
      <c r="O187" s="16" t="s">
        <v>16</v>
      </c>
      <c r="P187" s="16" t="s">
        <v>11</v>
      </c>
      <c r="Q187" s="17">
        <v>9500131</v>
      </c>
      <c r="R187" s="17">
        <v>9500470</v>
      </c>
      <c r="S187" s="17">
        <v>9500635</v>
      </c>
      <c r="T187" s="17">
        <f>AVERAGE(Table1436901171445099[[#This Row],[Teste 1]:[Teste 3]])</f>
        <v>9500412</v>
      </c>
    </row>
    <row r="188" spans="1:20" x14ac:dyDescent="0.25">
      <c r="A188" s="16" t="s">
        <v>3</v>
      </c>
      <c r="B188" s="16" t="s">
        <v>4</v>
      </c>
      <c r="C188" s="17">
        <v>1</v>
      </c>
      <c r="D188" s="17">
        <v>1</v>
      </c>
      <c r="E188" s="17">
        <v>1</v>
      </c>
      <c r="F188" s="17">
        <f>AVERAGE(Table14369011714450[[#This Row],[Teste 1]:[Teste 3]])</f>
        <v>1</v>
      </c>
      <c r="G188" s="16"/>
      <c r="H188" s="16" t="s">
        <v>3</v>
      </c>
      <c r="I188" s="16" t="s">
        <v>4</v>
      </c>
      <c r="J188" s="17">
        <v>1</v>
      </c>
      <c r="K188" s="17">
        <v>1</v>
      </c>
      <c r="L188" s="17">
        <v>1</v>
      </c>
      <c r="M188" s="17">
        <f>AVERAGE(Table1436901171445062[[#This Row],[Teste 1]:[Teste 3]])</f>
        <v>1</v>
      </c>
      <c r="N188" s="16"/>
      <c r="O188" s="16" t="s">
        <v>3</v>
      </c>
      <c r="P188" s="16" t="s">
        <v>4</v>
      </c>
      <c r="Q188" s="17">
        <v>1</v>
      </c>
      <c r="R188" s="17">
        <v>1</v>
      </c>
      <c r="S188" s="17">
        <v>1</v>
      </c>
      <c r="T188" s="17">
        <f>AVERAGE(Table1436901171445099[[#This Row],[Teste 1]:[Teste 3]])</f>
        <v>1</v>
      </c>
    </row>
    <row r="189" spans="1:20" x14ac:dyDescent="0.25">
      <c r="A189" s="16" t="s">
        <v>3</v>
      </c>
      <c r="B189" s="16" t="s">
        <v>5</v>
      </c>
      <c r="C189" s="17">
        <v>4</v>
      </c>
      <c r="D189" s="17">
        <v>3</v>
      </c>
      <c r="E189" s="17">
        <v>4</v>
      </c>
      <c r="F189" s="17">
        <f>AVERAGE(Table14369011714450[[#This Row],[Teste 1]:[Teste 3]])</f>
        <v>3.6666666666666665</v>
      </c>
      <c r="G189" s="16"/>
      <c r="H189" s="16" t="s">
        <v>3</v>
      </c>
      <c r="I189" s="16" t="s">
        <v>5</v>
      </c>
      <c r="J189" s="17">
        <v>8</v>
      </c>
      <c r="K189" s="17">
        <v>9</v>
      </c>
      <c r="L189" s="17">
        <v>7</v>
      </c>
      <c r="M189" s="17">
        <f>AVERAGE(Table1436901171445062[[#This Row],[Teste 1]:[Teste 3]])</f>
        <v>8</v>
      </c>
      <c r="N189" s="16"/>
      <c r="O189" s="16" t="s">
        <v>3</v>
      </c>
      <c r="P189" s="16" t="s">
        <v>5</v>
      </c>
      <c r="Q189" s="17">
        <v>2315</v>
      </c>
      <c r="R189" s="17">
        <v>39888</v>
      </c>
      <c r="S189" s="17">
        <v>52752</v>
      </c>
      <c r="T189" s="17">
        <f>AVERAGE(Table1436901171445099[[#This Row],[Teste 1]:[Teste 3]])</f>
        <v>31651.666666666668</v>
      </c>
    </row>
    <row r="190" spans="1:20" x14ac:dyDescent="0.25">
      <c r="A190" s="16" t="s">
        <v>3</v>
      </c>
      <c r="B190" s="16" t="s">
        <v>6</v>
      </c>
      <c r="C190" s="17">
        <v>4</v>
      </c>
      <c r="D190" s="17">
        <v>3</v>
      </c>
      <c r="E190" s="17">
        <v>4</v>
      </c>
      <c r="F190" s="17">
        <f>AVERAGE(Table14369011714450[[#This Row],[Teste 1]:[Teste 3]])</f>
        <v>3.6666666666666665</v>
      </c>
      <c r="G190" s="16"/>
      <c r="H190" s="16" t="s">
        <v>3</v>
      </c>
      <c r="I190" s="16" t="s">
        <v>6</v>
      </c>
      <c r="J190" s="17">
        <v>8</v>
      </c>
      <c r="K190" s="17">
        <v>9</v>
      </c>
      <c r="L190" s="17">
        <v>7</v>
      </c>
      <c r="M190" s="17">
        <f>AVERAGE(Table1436901171445062[[#This Row],[Teste 1]:[Teste 3]])</f>
        <v>8</v>
      </c>
      <c r="N190" s="16"/>
      <c r="O190" s="16" t="s">
        <v>3</v>
      </c>
      <c r="P190" s="16" t="s">
        <v>6</v>
      </c>
      <c r="Q190" s="17">
        <v>2315</v>
      </c>
      <c r="R190" s="17">
        <v>39872</v>
      </c>
      <c r="S190" s="17">
        <v>52736</v>
      </c>
      <c r="T190" s="17">
        <f>AVERAGE(Table1436901171445099[[#This Row],[Teste 1]:[Teste 3]])</f>
        <v>31641</v>
      </c>
    </row>
    <row r="191" spans="1:20" x14ac:dyDescent="0.25">
      <c r="A191" s="16" t="s">
        <v>3</v>
      </c>
      <c r="B191" s="16" t="s">
        <v>7</v>
      </c>
      <c r="C191" s="17">
        <v>4</v>
      </c>
      <c r="D191" s="17">
        <v>3</v>
      </c>
      <c r="E191" s="17">
        <v>4</v>
      </c>
      <c r="F191" s="17">
        <f>AVERAGE(Table14369011714450[[#This Row],[Teste 1]:[Teste 3]])</f>
        <v>3.6666666666666665</v>
      </c>
      <c r="G191" s="16"/>
      <c r="H191" s="16" t="s">
        <v>3</v>
      </c>
      <c r="I191" s="16" t="s">
        <v>7</v>
      </c>
      <c r="J191" s="17">
        <v>8</v>
      </c>
      <c r="K191" s="17">
        <v>9</v>
      </c>
      <c r="L191" s="17">
        <v>7</v>
      </c>
      <c r="M191" s="17">
        <f>AVERAGE(Table1436901171445062[[#This Row],[Teste 1]:[Teste 3]])</f>
        <v>8</v>
      </c>
      <c r="N191" s="16"/>
      <c r="O191" s="16" t="s">
        <v>3</v>
      </c>
      <c r="P191" s="16" t="s">
        <v>7</v>
      </c>
      <c r="Q191" s="17">
        <v>2315</v>
      </c>
      <c r="R191" s="17">
        <v>39903</v>
      </c>
      <c r="S191" s="17">
        <v>52767</v>
      </c>
      <c r="T191" s="17">
        <f>AVERAGE(Table1436901171445099[[#This Row],[Teste 1]:[Teste 3]])</f>
        <v>31661.666666666668</v>
      </c>
    </row>
    <row r="192" spans="1:20" x14ac:dyDescent="0.25">
      <c r="A192" s="16" t="s">
        <v>3</v>
      </c>
      <c r="B192" s="16" t="s">
        <v>8</v>
      </c>
      <c r="C192" s="17">
        <v>4</v>
      </c>
      <c r="D192" s="17">
        <v>3</v>
      </c>
      <c r="E192" s="17">
        <v>4</v>
      </c>
      <c r="F192" s="17">
        <f>AVERAGE(Table14369011714450[[#This Row],[Teste 1]:[Teste 3]])</f>
        <v>3.6666666666666665</v>
      </c>
      <c r="G192" s="16"/>
      <c r="H192" s="16" t="s">
        <v>3</v>
      </c>
      <c r="I192" s="16" t="s">
        <v>8</v>
      </c>
      <c r="J192" s="17">
        <v>8</v>
      </c>
      <c r="K192" s="17">
        <v>9</v>
      </c>
      <c r="L192" s="17">
        <v>7</v>
      </c>
      <c r="M192" s="17">
        <f>AVERAGE(Table1436901171445062[[#This Row],[Teste 1]:[Teste 3]])</f>
        <v>8</v>
      </c>
      <c r="N192" s="16"/>
      <c r="O192" s="16" t="s">
        <v>3</v>
      </c>
      <c r="P192" s="16" t="s">
        <v>8</v>
      </c>
      <c r="Q192" s="17">
        <v>2315</v>
      </c>
      <c r="R192" s="17">
        <v>39903</v>
      </c>
      <c r="S192" s="17">
        <v>52767</v>
      </c>
      <c r="T192" s="17">
        <f>AVERAGE(Table1436901171445099[[#This Row],[Teste 1]:[Teste 3]])</f>
        <v>31661.666666666668</v>
      </c>
    </row>
    <row r="193" spans="1:20" x14ac:dyDescent="0.25">
      <c r="A193" s="16" t="s">
        <v>3</v>
      </c>
      <c r="B193" s="16" t="s">
        <v>9</v>
      </c>
      <c r="C193" s="17">
        <v>4</v>
      </c>
      <c r="D193" s="17">
        <v>3</v>
      </c>
      <c r="E193" s="17">
        <v>4</v>
      </c>
      <c r="F193" s="17">
        <f>AVERAGE(Table14369011714450[[#This Row],[Teste 1]:[Teste 3]])</f>
        <v>3.6666666666666665</v>
      </c>
      <c r="G193" s="16"/>
      <c r="H193" s="16" t="s">
        <v>3</v>
      </c>
      <c r="I193" s="16" t="s">
        <v>9</v>
      </c>
      <c r="J193" s="17">
        <v>8</v>
      </c>
      <c r="K193" s="17">
        <v>9</v>
      </c>
      <c r="L193" s="17">
        <v>7</v>
      </c>
      <c r="M193" s="17">
        <f>AVERAGE(Table1436901171445062[[#This Row],[Teste 1]:[Teste 3]])</f>
        <v>8</v>
      </c>
      <c r="N193" s="16"/>
      <c r="O193" s="16" t="s">
        <v>3</v>
      </c>
      <c r="P193" s="16" t="s">
        <v>9</v>
      </c>
      <c r="Q193" s="17">
        <v>2315</v>
      </c>
      <c r="R193" s="17">
        <v>39903</v>
      </c>
      <c r="S193" s="17">
        <v>52767</v>
      </c>
      <c r="T193" s="17">
        <f>AVERAGE(Table1436901171445099[[#This Row],[Teste 1]:[Teste 3]])</f>
        <v>31661.666666666668</v>
      </c>
    </row>
    <row r="194" spans="1:20" x14ac:dyDescent="0.25">
      <c r="A194" s="16" t="s">
        <v>10</v>
      </c>
      <c r="B194" s="16" t="s">
        <v>4</v>
      </c>
      <c r="C194" s="17">
        <v>499814</v>
      </c>
      <c r="D194" s="17">
        <v>500000</v>
      </c>
      <c r="E194" s="17">
        <v>487321</v>
      </c>
      <c r="F194" s="17">
        <f>AVERAGE(Table14369011714450[[#This Row],[Teste 1]:[Teste 3]])</f>
        <v>495711.66666666669</v>
      </c>
      <c r="G194" s="16"/>
      <c r="H194" s="16" t="s">
        <v>10</v>
      </c>
      <c r="I194" s="16" t="s">
        <v>4</v>
      </c>
      <c r="J194" s="17">
        <v>500915</v>
      </c>
      <c r="K194" s="17">
        <v>499679</v>
      </c>
      <c r="L194" s="17">
        <v>499114</v>
      </c>
      <c r="M194" s="17">
        <f>AVERAGE(Table1436901171445062[[#This Row],[Teste 1]:[Teste 3]])</f>
        <v>499902.66666666669</v>
      </c>
      <c r="N194" s="16"/>
      <c r="O194" s="16" t="s">
        <v>10</v>
      </c>
      <c r="P194" s="16" t="s">
        <v>4</v>
      </c>
      <c r="Q194" s="17">
        <v>499869</v>
      </c>
      <c r="R194" s="17">
        <v>499530</v>
      </c>
      <c r="S194" s="17">
        <v>499365</v>
      </c>
      <c r="T194" s="17">
        <f>AVERAGE(Table1436901171445099[[#This Row],[Teste 1]:[Teste 3]])</f>
        <v>499588</v>
      </c>
    </row>
    <row r="195" spans="1:20" x14ac:dyDescent="0.25">
      <c r="A195" s="16" t="s">
        <v>10</v>
      </c>
      <c r="B195" s="16" t="s">
        <v>5</v>
      </c>
      <c r="C195" s="17">
        <v>497.75313216516503</v>
      </c>
      <c r="D195" s="17">
        <v>479.16541221651602</v>
      </c>
      <c r="E195" s="17">
        <v>597.135732165165</v>
      </c>
      <c r="F195" s="17">
        <f>AVERAGE(Table14369011714450[[#This Row],[Teste 1]:[Teste 3]])</f>
        <v>524.68475884894872</v>
      </c>
      <c r="G195" s="16"/>
      <c r="H195" s="16" t="s">
        <v>10</v>
      </c>
      <c r="I195" s="16" t="s">
        <v>5</v>
      </c>
      <c r="J195" s="17">
        <v>1494.13</v>
      </c>
      <c r="K195" s="17">
        <v>1597.84</v>
      </c>
      <c r="L195" s="17">
        <v>1560.92</v>
      </c>
      <c r="M195" s="17">
        <f>AVERAGE(Table1436901171445062[[#This Row],[Teste 1]:[Teste 3]])</f>
        <v>1550.9633333333334</v>
      </c>
      <c r="N195" s="16"/>
      <c r="O195" s="16" t="s">
        <v>10</v>
      </c>
      <c r="P195" s="16" t="s">
        <v>5</v>
      </c>
      <c r="Q195" s="17">
        <v>324.80984017812602</v>
      </c>
      <c r="R195" s="17">
        <v>347.35623486076901</v>
      </c>
      <c r="S195" s="17">
        <v>339.33112653069401</v>
      </c>
      <c r="T195" s="17">
        <f>AVERAGE(Table1436901171445099[[#This Row],[Teste 1]:[Teste 3]])</f>
        <v>337.1657338565297</v>
      </c>
    </row>
    <row r="196" spans="1:20" x14ac:dyDescent="0.25">
      <c r="A196" s="16" t="s">
        <v>10</v>
      </c>
      <c r="B196" s="16" t="s">
        <v>6</v>
      </c>
      <c r="C196" s="17">
        <v>280</v>
      </c>
      <c r="D196" s="17">
        <v>291</v>
      </c>
      <c r="E196" s="17">
        <v>272</v>
      </c>
      <c r="F196" s="17">
        <f>AVERAGE(Table14369011714450[[#This Row],[Teste 1]:[Teste 3]])</f>
        <v>281</v>
      </c>
      <c r="G196" s="16"/>
      <c r="H196" s="16" t="s">
        <v>10</v>
      </c>
      <c r="I196" s="16" t="s">
        <v>6</v>
      </c>
      <c r="J196" s="17">
        <v>805</v>
      </c>
      <c r="K196" s="17">
        <v>828</v>
      </c>
      <c r="L196" s="17">
        <v>878</v>
      </c>
      <c r="M196" s="17">
        <f>AVERAGE(Table1436901171445062[[#This Row],[Teste 1]:[Teste 3]])</f>
        <v>837</v>
      </c>
      <c r="N196" s="16"/>
      <c r="O196" s="16" t="s">
        <v>10</v>
      </c>
      <c r="P196" s="16" t="s">
        <v>6</v>
      </c>
      <c r="Q196" s="17">
        <v>175</v>
      </c>
      <c r="R196" s="17">
        <v>180</v>
      </c>
      <c r="S196" s="17">
        <v>191</v>
      </c>
      <c r="T196" s="17">
        <f>AVERAGE(Table1436901171445099[[#This Row],[Teste 1]:[Teste 3]])</f>
        <v>182</v>
      </c>
    </row>
    <row r="197" spans="1:20" x14ac:dyDescent="0.25">
      <c r="A197" s="16" t="s">
        <v>10</v>
      </c>
      <c r="B197" s="16" t="s">
        <v>7</v>
      </c>
      <c r="C197" s="17">
        <v>32415</v>
      </c>
      <c r="D197" s="17">
        <v>34451</v>
      </c>
      <c r="E197" s="17">
        <v>30115</v>
      </c>
      <c r="F197" s="17">
        <f>AVERAGE(Table14369011714450[[#This Row],[Teste 1]:[Teste 3]])</f>
        <v>32327</v>
      </c>
      <c r="G197" s="16"/>
      <c r="H197" s="16" t="s">
        <v>10</v>
      </c>
      <c r="I197" s="16" t="s">
        <v>7</v>
      </c>
      <c r="J197" s="17">
        <v>2165601</v>
      </c>
      <c r="K197" s="17">
        <v>3895496</v>
      </c>
      <c r="L197" s="17">
        <v>2512993</v>
      </c>
      <c r="M197" s="17">
        <f>AVERAGE(Table1436901171445062[[#This Row],[Teste 1]:[Teste 3]])</f>
        <v>2858030</v>
      </c>
      <c r="N197" s="16"/>
      <c r="O197" s="16" t="s">
        <v>10</v>
      </c>
      <c r="P197" s="16" t="s">
        <v>7</v>
      </c>
      <c r="Q197" s="17">
        <v>470783</v>
      </c>
      <c r="R197" s="17">
        <v>846847</v>
      </c>
      <c r="S197" s="17">
        <v>546303</v>
      </c>
      <c r="T197" s="17">
        <f>AVERAGE(Table1436901171445099[[#This Row],[Teste 1]:[Teste 3]])</f>
        <v>621311</v>
      </c>
    </row>
    <row r="198" spans="1:20" x14ac:dyDescent="0.25">
      <c r="A198" s="16" t="s">
        <v>10</v>
      </c>
      <c r="B198" s="16" t="s">
        <v>8</v>
      </c>
      <c r="C198" s="17">
        <v>767</v>
      </c>
      <c r="D198" s="17">
        <v>762</v>
      </c>
      <c r="E198" s="17">
        <v>875</v>
      </c>
      <c r="F198" s="17">
        <f>AVERAGE(Table14369011714450[[#This Row],[Teste 1]:[Teste 3]])</f>
        <v>801.33333333333337</v>
      </c>
      <c r="G198" s="16"/>
      <c r="H198" s="16" t="s">
        <v>10</v>
      </c>
      <c r="I198" s="16" t="s">
        <v>8</v>
      </c>
      <c r="J198" s="17">
        <v>2585</v>
      </c>
      <c r="K198" s="17">
        <v>2925</v>
      </c>
      <c r="L198" s="17">
        <v>2865</v>
      </c>
      <c r="M198" s="17">
        <f>AVERAGE(Table1436901171445062[[#This Row],[Teste 1]:[Teste 3]])</f>
        <v>2791.6666666666665</v>
      </c>
      <c r="N198" s="16"/>
      <c r="O198" s="16" t="s">
        <v>10</v>
      </c>
      <c r="P198" s="16" t="s">
        <v>8</v>
      </c>
      <c r="Q198" s="17">
        <v>562</v>
      </c>
      <c r="R198" s="17">
        <v>636</v>
      </c>
      <c r="S198" s="17">
        <v>623</v>
      </c>
      <c r="T198" s="17">
        <f>AVERAGE(Table1436901171445099[[#This Row],[Teste 1]:[Teste 3]])</f>
        <v>607</v>
      </c>
    </row>
    <row r="199" spans="1:20" x14ac:dyDescent="0.25">
      <c r="A199" s="16" t="s">
        <v>10</v>
      </c>
      <c r="B199" s="16" t="s">
        <v>9</v>
      </c>
      <c r="C199" s="17">
        <v>1439</v>
      </c>
      <c r="D199" s="17">
        <v>1411</v>
      </c>
      <c r="E199" s="17">
        <v>1563</v>
      </c>
      <c r="F199" s="17">
        <f>AVERAGE(Table14369011714450[[#This Row],[Teste 1]:[Teste 3]])</f>
        <v>1471</v>
      </c>
      <c r="G199" s="16"/>
      <c r="H199" s="16" t="s">
        <v>10</v>
      </c>
      <c r="I199" s="16" t="s">
        <v>9</v>
      </c>
      <c r="J199" s="17">
        <v>3321</v>
      </c>
      <c r="K199" s="17">
        <v>4066</v>
      </c>
      <c r="L199" s="17">
        <v>4002</v>
      </c>
      <c r="M199" s="17">
        <f>AVERAGE(Table1436901171445062[[#This Row],[Teste 1]:[Teste 3]])</f>
        <v>3796.3333333333335</v>
      </c>
      <c r="N199" s="16"/>
      <c r="O199" s="16" t="s">
        <v>10</v>
      </c>
      <c r="P199" s="16" t="s">
        <v>9</v>
      </c>
      <c r="Q199" s="17">
        <v>722</v>
      </c>
      <c r="R199" s="17">
        <v>884</v>
      </c>
      <c r="S199" s="17">
        <v>870</v>
      </c>
      <c r="T199" s="17">
        <f>AVERAGE(Table1436901171445099[[#This Row],[Teste 1]:[Teste 3]])</f>
        <v>825.33333333333337</v>
      </c>
    </row>
    <row r="200" spans="1:20" x14ac:dyDescent="0.25">
      <c r="A200" s="16" t="s">
        <v>10</v>
      </c>
      <c r="B200" s="16" t="s">
        <v>11</v>
      </c>
      <c r="C200" s="17">
        <v>499814</v>
      </c>
      <c r="D200" s="17">
        <v>500000</v>
      </c>
      <c r="E200" s="17">
        <v>487321</v>
      </c>
      <c r="F200" s="17">
        <f>AVERAGE(Table14369011714450[[#This Row],[Teste 1]:[Teste 3]])</f>
        <v>495711.66666666669</v>
      </c>
      <c r="G200" s="16"/>
      <c r="H200" s="16" t="s">
        <v>10</v>
      </c>
      <c r="I200" s="16" t="s">
        <v>11</v>
      </c>
      <c r="J200" s="17">
        <v>500915</v>
      </c>
      <c r="K200" s="17">
        <v>499679</v>
      </c>
      <c r="L200" s="17">
        <v>499114</v>
      </c>
      <c r="M200" s="17">
        <f>AVERAGE(Table1436901171445062[[#This Row],[Teste 1]:[Teste 3]])</f>
        <v>499902.66666666669</v>
      </c>
      <c r="N200" s="16"/>
      <c r="O200" s="16" t="s">
        <v>10</v>
      </c>
      <c r="P200" s="16" t="s">
        <v>11</v>
      </c>
      <c r="Q200" s="17">
        <v>499869</v>
      </c>
      <c r="R200" s="17">
        <v>499530</v>
      </c>
      <c r="S200" s="17">
        <v>499365</v>
      </c>
      <c r="T200" s="17">
        <f>AVERAGE(Table1436901171445099[[#This Row],[Teste 1]:[Teste 3]])</f>
        <v>499588</v>
      </c>
    </row>
    <row r="201" spans="1:20" x14ac:dyDescent="0.25">
      <c r="A201" s="16"/>
      <c r="B201" s="16"/>
      <c r="C201" s="17"/>
      <c r="D201" s="17"/>
      <c r="E201" s="17"/>
      <c r="F201" s="17"/>
      <c r="G201" s="16"/>
      <c r="H201" s="16"/>
      <c r="I201" s="16"/>
      <c r="J201" s="17"/>
      <c r="K201" s="17"/>
      <c r="L201" s="17"/>
      <c r="M201" s="17"/>
      <c r="N201" s="16"/>
      <c r="O201" s="16"/>
      <c r="P201" s="16"/>
      <c r="Q201" s="17"/>
      <c r="R201" s="17"/>
      <c r="S201" s="17"/>
      <c r="T201" s="17"/>
    </row>
    <row r="202" spans="1:20" x14ac:dyDescent="0.25">
      <c r="A202" s="16"/>
      <c r="B202" s="16"/>
      <c r="C202" s="17"/>
      <c r="D202" s="17"/>
      <c r="E202" s="17"/>
      <c r="F202" s="17"/>
      <c r="G202" s="16"/>
      <c r="H202" s="16"/>
      <c r="I202" s="16"/>
      <c r="J202" s="17"/>
      <c r="K202" s="17"/>
      <c r="L202" s="17"/>
      <c r="M202" s="17"/>
      <c r="N202" s="16"/>
      <c r="O202" s="16"/>
      <c r="P202" s="16"/>
      <c r="Q202" s="17"/>
      <c r="R202" s="17"/>
      <c r="S202" s="17"/>
      <c r="T202" s="17"/>
    </row>
    <row r="203" spans="1:20" x14ac:dyDescent="0.25">
      <c r="A203" s="16"/>
      <c r="B203" s="16"/>
      <c r="C203" s="17"/>
      <c r="D203" s="17"/>
      <c r="E203" s="17"/>
      <c r="F203" s="17"/>
      <c r="G203" s="16"/>
      <c r="H203" s="16"/>
      <c r="I203" s="16"/>
      <c r="J203" s="17"/>
      <c r="K203" s="17"/>
      <c r="L203" s="17"/>
      <c r="M203" s="17"/>
      <c r="N203" s="16"/>
      <c r="O203" s="16"/>
      <c r="P203" s="16"/>
      <c r="Q203" s="17"/>
      <c r="R203" s="17"/>
      <c r="S203" s="17"/>
      <c r="T203" s="17"/>
    </row>
    <row r="205" spans="1:20" ht="15.75" x14ac:dyDescent="0.25">
      <c r="A205" s="2" t="s">
        <v>74</v>
      </c>
      <c r="H205" s="2" t="s">
        <v>74</v>
      </c>
      <c r="O205" s="2" t="s">
        <v>74</v>
      </c>
    </row>
    <row r="206" spans="1:20" ht="15.75" x14ac:dyDescent="0.25">
      <c r="A206" s="16" t="s">
        <v>59</v>
      </c>
      <c r="B206" s="21" t="s">
        <v>81</v>
      </c>
      <c r="C206" s="16" t="s">
        <v>82</v>
      </c>
      <c r="D206" s="16" t="s">
        <v>64</v>
      </c>
      <c r="E206" s="16" t="s">
        <v>63</v>
      </c>
      <c r="F206" s="16" t="s">
        <v>18</v>
      </c>
      <c r="G206" s="16"/>
      <c r="H206" s="16" t="s">
        <v>12</v>
      </c>
      <c r="I206" s="21" t="s">
        <v>81</v>
      </c>
      <c r="J206" s="16" t="s">
        <v>82</v>
      </c>
      <c r="K206" s="16" t="s">
        <v>64</v>
      </c>
      <c r="L206" s="16" t="s">
        <v>63</v>
      </c>
      <c r="M206" s="16" t="s">
        <v>18</v>
      </c>
      <c r="N206" s="16"/>
      <c r="O206" s="16" t="s">
        <v>13</v>
      </c>
      <c r="P206" s="21" t="s">
        <v>81</v>
      </c>
      <c r="Q206" s="16" t="s">
        <v>82</v>
      </c>
      <c r="R206" s="16" t="s">
        <v>64</v>
      </c>
      <c r="S206" s="16" t="s">
        <v>63</v>
      </c>
      <c r="T206" s="16" t="s">
        <v>18</v>
      </c>
    </row>
    <row r="207" spans="1:20" x14ac:dyDescent="0.25">
      <c r="A207" s="16" t="s">
        <v>0</v>
      </c>
      <c r="B207" s="16" t="s">
        <v>1</v>
      </c>
      <c r="C207" s="17">
        <v>29938894</v>
      </c>
      <c r="D207" s="17">
        <v>30002426</v>
      </c>
      <c r="E207" s="17">
        <v>29577562</v>
      </c>
      <c r="F207" s="17">
        <f>AVERAGE(Table1436901171444551[[#This Row],[Teste 1]:[Teste 3]])</f>
        <v>29839627.333333332</v>
      </c>
      <c r="G207" s="16"/>
      <c r="H207" s="16" t="s">
        <v>0</v>
      </c>
      <c r="I207" s="16" t="s">
        <v>1</v>
      </c>
      <c r="J207" s="17">
        <v>8956603</v>
      </c>
      <c r="K207" s="17">
        <v>9307843</v>
      </c>
      <c r="L207" s="17">
        <v>8800309</v>
      </c>
      <c r="M207" s="17">
        <f>AVERAGE(Table143690117144455163[[#This Row],[Teste 1]:[Teste 3]])</f>
        <v>9021585</v>
      </c>
      <c r="N207" s="16"/>
      <c r="O207" s="16" t="s">
        <v>0</v>
      </c>
      <c r="P207" s="16" t="s">
        <v>1</v>
      </c>
      <c r="Q207" s="17">
        <v>1417184</v>
      </c>
      <c r="R207" s="17">
        <v>1472760</v>
      </c>
      <c r="S207" s="17">
        <v>1392454</v>
      </c>
      <c r="T207" s="17">
        <f>AVERAGE(Table1436901171444551100[[#This Row],[Teste 1]:[Teste 3]])</f>
        <v>1427466</v>
      </c>
    </row>
    <row r="208" spans="1:20" x14ac:dyDescent="0.25">
      <c r="A208" s="16" t="s">
        <v>0</v>
      </c>
      <c r="B208" s="16" t="s">
        <v>2</v>
      </c>
      <c r="C208" s="17">
        <v>334.01367465344498</v>
      </c>
      <c r="D208" s="17">
        <v>312.63265411908998</v>
      </c>
      <c r="E208" s="17">
        <v>390.96767706007302</v>
      </c>
      <c r="F208" s="17">
        <f>AVERAGE(Table1436901171444551[[#This Row],[Teste 1]:[Teste 3]])</f>
        <v>345.87133527753599</v>
      </c>
      <c r="G208" s="16"/>
      <c r="H208" s="16" t="s">
        <v>0</v>
      </c>
      <c r="I208" s="16" t="s">
        <v>2</v>
      </c>
      <c r="J208" s="17">
        <v>1116.49</v>
      </c>
      <c r="K208" s="17">
        <v>1074.3599999999999</v>
      </c>
      <c r="L208" s="17">
        <v>1136.32</v>
      </c>
      <c r="M208" s="17">
        <f>AVERAGE(Table143690117144455163[[#This Row],[Teste 1]:[Teste 3]])</f>
        <v>1109.0566666666666</v>
      </c>
      <c r="N208" s="16"/>
      <c r="O208" s="16" t="s">
        <v>0</v>
      </c>
      <c r="P208" s="16" t="s">
        <v>2</v>
      </c>
      <c r="Q208" s="17">
        <v>7056.2467541264896</v>
      </c>
      <c r="R208" s="17">
        <v>6789.9725685108197</v>
      </c>
      <c r="S208" s="17">
        <v>7181.5657824244099</v>
      </c>
      <c r="T208" s="17">
        <f>AVERAGE(Table1436901171444551100[[#This Row],[Teste 1]:[Teste 3]])</f>
        <v>7009.2617016872391</v>
      </c>
    </row>
    <row r="209" spans="1:20" x14ac:dyDescent="0.25">
      <c r="A209" s="16" t="s">
        <v>16</v>
      </c>
      <c r="B209" s="16" t="s">
        <v>4</v>
      </c>
      <c r="C209" s="17">
        <v>9499085</v>
      </c>
      <c r="D209" s="17">
        <v>9501845</v>
      </c>
      <c r="E209" s="17">
        <v>9499119</v>
      </c>
      <c r="F209" s="17">
        <f>AVERAGE(Table1436901171444551[[#This Row],[Teste 1]:[Teste 3]])</f>
        <v>9500016.333333334</v>
      </c>
      <c r="G209" s="16"/>
      <c r="H209" s="16" t="s">
        <v>16</v>
      </c>
      <c r="I209" s="16" t="s">
        <v>4</v>
      </c>
      <c r="J209" s="17">
        <v>9500186</v>
      </c>
      <c r="K209" s="17">
        <v>9500635</v>
      </c>
      <c r="L209" s="17">
        <v>9500646</v>
      </c>
      <c r="M209" s="17">
        <f>AVERAGE(Table143690117144455163[[#This Row],[Teste 1]:[Teste 3]])</f>
        <v>9500489</v>
      </c>
      <c r="N209" s="16"/>
      <c r="O209" s="16" t="s">
        <v>16</v>
      </c>
      <c r="P209" s="16" t="s">
        <v>4</v>
      </c>
      <c r="Q209" s="17">
        <v>9500766</v>
      </c>
      <c r="R209" s="17">
        <v>9499344</v>
      </c>
      <c r="S209" s="17">
        <v>9500321</v>
      </c>
      <c r="T209" s="17">
        <f>AVERAGE(Table1436901171444551100[[#This Row],[Teste 1]:[Teste 3]])</f>
        <v>9500143.666666666</v>
      </c>
    </row>
    <row r="210" spans="1:20" x14ac:dyDescent="0.25">
      <c r="A210" s="16" t="s">
        <v>16</v>
      </c>
      <c r="B210" s="16" t="s">
        <v>5</v>
      </c>
      <c r="C210" s="17">
        <v>9411.1690871278606</v>
      </c>
      <c r="D210" s="17">
        <v>980.374416021309</v>
      </c>
      <c r="E210" s="17">
        <v>8040.2965650814504</v>
      </c>
      <c r="F210" s="17">
        <f>AVERAGE(Table1436901171444551[[#This Row],[Teste 1]:[Teste 3]])</f>
        <v>6143.946689410207</v>
      </c>
      <c r="G210" s="16"/>
      <c r="H210" s="16" t="s">
        <v>16</v>
      </c>
      <c r="I210" s="16" t="s">
        <v>5</v>
      </c>
      <c r="J210" s="17">
        <v>2673.23</v>
      </c>
      <c r="K210" s="17">
        <v>2779.31</v>
      </c>
      <c r="L210" s="17">
        <v>2627.99</v>
      </c>
      <c r="M210" s="17">
        <f>AVERAGE(Table143690117144455163[[#This Row],[Teste 1]:[Teste 3]])</f>
        <v>2693.5099999999998</v>
      </c>
      <c r="N210" s="16"/>
      <c r="O210" s="16" t="s">
        <v>16</v>
      </c>
      <c r="P210" s="16" t="s">
        <v>5</v>
      </c>
      <c r="Q210" s="17">
        <v>422.97873518829903</v>
      </c>
      <c r="R210" s="17">
        <v>439.76374221209301</v>
      </c>
      <c r="S210" s="17">
        <v>415.82250515535202</v>
      </c>
      <c r="T210" s="17">
        <f>AVERAGE(Table1436901171444551100[[#This Row],[Teste 1]:[Teste 3]])</f>
        <v>426.18832751858139</v>
      </c>
    </row>
    <row r="211" spans="1:20" x14ac:dyDescent="0.25">
      <c r="A211" s="16" t="s">
        <v>16</v>
      </c>
      <c r="B211" s="16" t="s">
        <v>6</v>
      </c>
      <c r="C211" s="17">
        <v>57</v>
      </c>
      <c r="D211" s="17">
        <v>111</v>
      </c>
      <c r="E211" s="17">
        <v>85</v>
      </c>
      <c r="F211" s="17">
        <f>AVERAGE(Table1436901171444551[[#This Row],[Teste 1]:[Teste 3]])</f>
        <v>84.333333333333329</v>
      </c>
      <c r="G211" s="16"/>
      <c r="H211" s="16" t="s">
        <v>16</v>
      </c>
      <c r="I211" s="16" t="s">
        <v>6</v>
      </c>
      <c r="J211" s="17">
        <v>575</v>
      </c>
      <c r="K211" s="17">
        <v>619</v>
      </c>
      <c r="L211" s="17">
        <v>556</v>
      </c>
      <c r="M211" s="17">
        <f>AVERAGE(Table143690117144455163[[#This Row],[Teste 1]:[Teste 3]])</f>
        <v>583.33333333333337</v>
      </c>
      <c r="N211" s="16"/>
      <c r="O211" s="16" t="s">
        <v>16</v>
      </c>
      <c r="P211" s="16" t="s">
        <v>6</v>
      </c>
      <c r="Q211" s="17">
        <v>91</v>
      </c>
      <c r="R211" s="17">
        <v>98</v>
      </c>
      <c r="S211" s="17">
        <v>88</v>
      </c>
      <c r="T211" s="17">
        <f>AVERAGE(Table1436901171444551100[[#This Row],[Teste 1]:[Teste 3]])</f>
        <v>92.333333333333329</v>
      </c>
    </row>
    <row r="212" spans="1:20" x14ac:dyDescent="0.25">
      <c r="A212" s="16" t="s">
        <v>16</v>
      </c>
      <c r="B212" s="16" t="s">
        <v>7</v>
      </c>
      <c r="C212" s="17">
        <v>5853183</v>
      </c>
      <c r="D212" s="17">
        <v>6504447</v>
      </c>
      <c r="E212" s="17">
        <v>7159807</v>
      </c>
      <c r="F212" s="17">
        <f>AVERAGE(Table1436901171444551[[#This Row],[Teste 1]:[Teste 3]])</f>
        <v>6505812.333333333</v>
      </c>
      <c r="G212" s="16"/>
      <c r="H212" s="16" t="s">
        <v>16</v>
      </c>
      <c r="I212" s="16" t="s">
        <v>7</v>
      </c>
      <c r="J212" s="17">
        <v>2358293</v>
      </c>
      <c r="K212" s="17">
        <v>2681376</v>
      </c>
      <c r="L212" s="17">
        <v>2829735</v>
      </c>
      <c r="M212" s="17">
        <f>AVERAGE(Table143690117144455163[[#This Row],[Teste 1]:[Teste 3]])</f>
        <v>2623134.6666666665</v>
      </c>
      <c r="N212" s="16"/>
      <c r="O212" s="16" t="s">
        <v>16</v>
      </c>
      <c r="P212" s="16" t="s">
        <v>7</v>
      </c>
      <c r="Q212" s="17">
        <v>1164287</v>
      </c>
      <c r="R212" s="17">
        <v>1848319</v>
      </c>
      <c r="S212" s="17">
        <v>447743</v>
      </c>
      <c r="T212" s="17">
        <f>AVERAGE(Table1436901171444551100[[#This Row],[Teste 1]:[Teste 3]])</f>
        <v>1153449.6666666667</v>
      </c>
    </row>
    <row r="213" spans="1:20" x14ac:dyDescent="0.25">
      <c r="A213" s="16" t="s">
        <v>16</v>
      </c>
      <c r="B213" s="16" t="s">
        <v>8</v>
      </c>
      <c r="C213" s="17">
        <v>36255</v>
      </c>
      <c r="D213" s="17">
        <v>5971</v>
      </c>
      <c r="E213" s="17">
        <v>45599</v>
      </c>
      <c r="F213" s="17">
        <f>AVERAGE(Table1436901171444551[[#This Row],[Teste 1]:[Teste 3]])</f>
        <v>29275</v>
      </c>
      <c r="G213" s="16"/>
      <c r="H213" s="16" t="s">
        <v>16</v>
      </c>
      <c r="I213" s="16" t="s">
        <v>8</v>
      </c>
      <c r="J213" s="17">
        <v>6648.64</v>
      </c>
      <c r="K213" s="17">
        <v>6952</v>
      </c>
      <c r="L213" s="17">
        <v>6749</v>
      </c>
      <c r="M213" s="17">
        <f>AVERAGE(Table143690117144455163[[#This Row],[Teste 1]:[Teste 3]])</f>
        <v>6783.2133333333331</v>
      </c>
      <c r="N213" s="16"/>
      <c r="O213" s="16" t="s">
        <v>16</v>
      </c>
      <c r="P213" s="16" t="s">
        <v>8</v>
      </c>
      <c r="Q213" s="17">
        <v>1052</v>
      </c>
      <c r="R213" s="17">
        <v>1100</v>
      </c>
      <c r="S213" s="17">
        <v>1068</v>
      </c>
      <c r="T213" s="17">
        <f>AVERAGE(Table1436901171444551100[[#This Row],[Teste 1]:[Teste 3]])</f>
        <v>1073.3333333333333</v>
      </c>
    </row>
    <row r="214" spans="1:20" x14ac:dyDescent="0.25">
      <c r="A214" s="16" t="s">
        <v>16</v>
      </c>
      <c r="B214" s="16" t="s">
        <v>9</v>
      </c>
      <c r="C214" s="17">
        <v>62559</v>
      </c>
      <c r="D214" s="17">
        <v>8303</v>
      </c>
      <c r="E214" s="17">
        <v>67199</v>
      </c>
      <c r="F214" s="17">
        <f>AVERAGE(Table1436901171444551[[#This Row],[Teste 1]:[Teste 3]])</f>
        <v>46020.333333333336</v>
      </c>
      <c r="G214" s="16"/>
      <c r="H214" s="16" t="s">
        <v>16</v>
      </c>
      <c r="I214" s="16" t="s">
        <v>9</v>
      </c>
      <c r="J214" s="17">
        <v>8374</v>
      </c>
      <c r="K214" s="17">
        <v>9176</v>
      </c>
      <c r="L214" s="17">
        <v>8525</v>
      </c>
      <c r="M214" s="17">
        <f>AVERAGE(Table143690117144455163[[#This Row],[Teste 1]:[Teste 3]])</f>
        <v>8691.6666666666661</v>
      </c>
      <c r="N214" s="16"/>
      <c r="O214" s="16" t="s">
        <v>16</v>
      </c>
      <c r="P214" s="16" t="s">
        <v>9</v>
      </c>
      <c r="Q214" s="17">
        <v>1325</v>
      </c>
      <c r="R214" s="17">
        <v>1452</v>
      </c>
      <c r="S214" s="17">
        <v>1349</v>
      </c>
      <c r="T214" s="17">
        <f>AVERAGE(Table1436901171444551100[[#This Row],[Teste 1]:[Teste 3]])</f>
        <v>1375.3333333333333</v>
      </c>
    </row>
    <row r="215" spans="1:20" x14ac:dyDescent="0.25">
      <c r="A215" s="16" t="s">
        <v>16</v>
      </c>
      <c r="B215" s="16" t="s">
        <v>11</v>
      </c>
      <c r="C215" s="17">
        <v>9499085</v>
      </c>
      <c r="D215" s="17">
        <v>9501845</v>
      </c>
      <c r="E215" s="17">
        <v>9499119</v>
      </c>
      <c r="F215" s="17">
        <f>AVERAGE(Table1436901171444551[[#This Row],[Teste 1]:[Teste 3]])</f>
        <v>9500016.333333334</v>
      </c>
      <c r="G215" s="16"/>
      <c r="H215" s="16" t="s">
        <v>16</v>
      </c>
      <c r="I215" s="16" t="s">
        <v>11</v>
      </c>
      <c r="J215" s="17">
        <v>9500186</v>
      </c>
      <c r="K215" s="17">
        <v>9500635</v>
      </c>
      <c r="L215" s="17">
        <v>9500646</v>
      </c>
      <c r="M215" s="17">
        <f>AVERAGE(Table143690117144455163[[#This Row],[Teste 1]:[Teste 3]])</f>
        <v>9500489</v>
      </c>
      <c r="N215" s="16"/>
      <c r="O215" s="16" t="s">
        <v>16</v>
      </c>
      <c r="P215" s="16" t="s">
        <v>11</v>
      </c>
      <c r="Q215" s="17">
        <v>9500766</v>
      </c>
      <c r="R215" s="17">
        <v>9499344</v>
      </c>
      <c r="S215" s="17">
        <v>9500321</v>
      </c>
      <c r="T215" s="17">
        <f>AVERAGE(Table1436901171444551100[[#This Row],[Teste 1]:[Teste 3]])</f>
        <v>9500143.666666666</v>
      </c>
    </row>
    <row r="216" spans="1:20" x14ac:dyDescent="0.25">
      <c r="A216" s="16" t="s">
        <v>3</v>
      </c>
      <c r="B216" s="16" t="s">
        <v>4</v>
      </c>
      <c r="C216" s="17">
        <v>3</v>
      </c>
      <c r="D216" s="17">
        <v>3</v>
      </c>
      <c r="E216" s="17">
        <v>3</v>
      </c>
      <c r="F216" s="17">
        <f>AVERAGE(Table1436901171444551[[#This Row],[Teste 1]:[Teste 3]])</f>
        <v>3</v>
      </c>
      <c r="G216" s="16"/>
      <c r="H216" s="16" t="s">
        <v>3</v>
      </c>
      <c r="I216" s="16" t="s">
        <v>4</v>
      </c>
      <c r="J216" s="17">
        <v>3</v>
      </c>
      <c r="K216" s="17">
        <v>3</v>
      </c>
      <c r="L216" s="17">
        <v>3</v>
      </c>
      <c r="M216" s="17">
        <f>AVERAGE(Table143690117144455163[[#This Row],[Teste 1]:[Teste 3]])</f>
        <v>3</v>
      </c>
      <c r="N216" s="16"/>
      <c r="O216" s="16" t="s">
        <v>3</v>
      </c>
      <c r="P216" s="16" t="s">
        <v>4</v>
      </c>
      <c r="Q216" s="17">
        <v>3</v>
      </c>
      <c r="R216" s="17">
        <v>3</v>
      </c>
      <c r="S216" s="17">
        <v>3</v>
      </c>
      <c r="T216" s="17">
        <f>AVERAGE(Table1436901171444551100[[#This Row],[Teste 1]:[Teste 3]])</f>
        <v>3</v>
      </c>
    </row>
    <row r="217" spans="1:20" x14ac:dyDescent="0.25">
      <c r="A217" s="16" t="s">
        <v>3</v>
      </c>
      <c r="B217" s="16" t="s">
        <v>5</v>
      </c>
      <c r="C217" s="17">
        <v>1.3333333333333299</v>
      </c>
      <c r="D217" s="17">
        <v>1</v>
      </c>
      <c r="E217" s="17">
        <v>0.66666666666666596</v>
      </c>
      <c r="F217" s="17">
        <f>AVERAGE(Table1436901171444551[[#This Row],[Teste 1]:[Teste 3]])</f>
        <v>0.99999999999999867</v>
      </c>
      <c r="G217" s="16"/>
      <c r="H217" s="16" t="s">
        <v>3</v>
      </c>
      <c r="I217" s="16" t="s">
        <v>5</v>
      </c>
      <c r="J217" s="17">
        <v>4</v>
      </c>
      <c r="K217" s="17">
        <v>2.3333333333333299</v>
      </c>
      <c r="L217" s="17">
        <v>2.3333333333333299</v>
      </c>
      <c r="M217" s="17">
        <f>AVERAGE(Table143690117144455163[[#This Row],[Teste 1]:[Teste 3]])</f>
        <v>2.8888888888888871</v>
      </c>
      <c r="N217" s="16"/>
      <c r="O217" s="16" t="s">
        <v>3</v>
      </c>
      <c r="P217" s="16" t="s">
        <v>5</v>
      </c>
      <c r="Q217" s="17">
        <v>704.66666666666595</v>
      </c>
      <c r="R217" s="17">
        <v>5361</v>
      </c>
      <c r="S217" s="17">
        <v>3950.3333333333298</v>
      </c>
      <c r="T217" s="17">
        <f>AVERAGE(Table1436901171444551100[[#This Row],[Teste 1]:[Teste 3]])</f>
        <v>3338.6666666666656</v>
      </c>
    </row>
    <row r="218" spans="1:20" x14ac:dyDescent="0.25">
      <c r="A218" s="16" t="s">
        <v>3</v>
      </c>
      <c r="B218" s="16" t="s">
        <v>6</v>
      </c>
      <c r="C218" s="17">
        <v>1</v>
      </c>
      <c r="D218" s="17">
        <v>0</v>
      </c>
      <c r="E218" s="17">
        <v>0</v>
      </c>
      <c r="F218" s="17">
        <f>AVERAGE(Table1436901171444551[[#This Row],[Teste 1]:[Teste 3]])</f>
        <v>0.33333333333333331</v>
      </c>
      <c r="G218" s="16"/>
      <c r="H218" s="16" t="s">
        <v>3</v>
      </c>
      <c r="I218" s="16" t="s">
        <v>6</v>
      </c>
      <c r="J218" s="17">
        <v>1</v>
      </c>
      <c r="K218" s="17">
        <v>1</v>
      </c>
      <c r="L218" s="17">
        <v>0</v>
      </c>
      <c r="M218" s="17">
        <f>AVERAGE(Table143690117144455163[[#This Row],[Teste 1]:[Teste 3]])</f>
        <v>0.66666666666666663</v>
      </c>
      <c r="N218" s="16"/>
      <c r="O218" s="16" t="s">
        <v>3</v>
      </c>
      <c r="P218" s="16" t="s">
        <v>6</v>
      </c>
      <c r="Q218" s="17">
        <v>1</v>
      </c>
      <c r="R218" s="17">
        <v>1</v>
      </c>
      <c r="S218" s="17">
        <v>2</v>
      </c>
      <c r="T218" s="17">
        <f>AVERAGE(Table1436901171444551100[[#This Row],[Teste 1]:[Teste 3]])</f>
        <v>1.3333333333333333</v>
      </c>
    </row>
    <row r="219" spans="1:20" x14ac:dyDescent="0.25">
      <c r="A219" s="16" t="s">
        <v>3</v>
      </c>
      <c r="B219" s="16" t="s">
        <v>7</v>
      </c>
      <c r="C219" s="17">
        <v>2</v>
      </c>
      <c r="D219" s="17">
        <v>2</v>
      </c>
      <c r="E219" s="17">
        <v>1</v>
      </c>
      <c r="F219" s="17">
        <f>AVERAGE(Table1436901171444551[[#This Row],[Teste 1]:[Teste 3]])</f>
        <v>1.6666666666666667</v>
      </c>
      <c r="G219" s="16"/>
      <c r="H219" s="16" t="s">
        <v>3</v>
      </c>
      <c r="I219" s="16" t="s">
        <v>7</v>
      </c>
      <c r="J219" s="17">
        <v>9</v>
      </c>
      <c r="K219" s="17">
        <v>5</v>
      </c>
      <c r="L219" s="17">
        <v>6</v>
      </c>
      <c r="M219" s="17">
        <f>AVERAGE(Table143690117144455163[[#This Row],[Teste 1]:[Teste 3]])</f>
        <v>6.666666666666667</v>
      </c>
      <c r="N219" s="16"/>
      <c r="O219" s="16" t="s">
        <v>3</v>
      </c>
      <c r="P219" s="16" t="s">
        <v>7</v>
      </c>
      <c r="Q219" s="17">
        <v>2105</v>
      </c>
      <c r="R219" s="17">
        <v>16063</v>
      </c>
      <c r="S219" s="17">
        <v>11831</v>
      </c>
      <c r="T219" s="17">
        <f>AVERAGE(Table1436901171444551100[[#This Row],[Teste 1]:[Teste 3]])</f>
        <v>9999.6666666666661</v>
      </c>
    </row>
    <row r="220" spans="1:20" x14ac:dyDescent="0.25">
      <c r="A220" s="16" t="s">
        <v>3</v>
      </c>
      <c r="B220" s="16" t="s">
        <v>8</v>
      </c>
      <c r="C220" s="17">
        <v>2</v>
      </c>
      <c r="D220" s="17">
        <v>2</v>
      </c>
      <c r="E220" s="17">
        <v>1</v>
      </c>
      <c r="F220" s="17">
        <f>AVERAGE(Table1436901171444551[[#This Row],[Teste 1]:[Teste 3]])</f>
        <v>1.6666666666666667</v>
      </c>
      <c r="G220" s="16"/>
      <c r="H220" s="16" t="s">
        <v>3</v>
      </c>
      <c r="I220" s="16" t="s">
        <v>8</v>
      </c>
      <c r="J220" s="17">
        <v>9</v>
      </c>
      <c r="K220" s="17">
        <v>5</v>
      </c>
      <c r="L220" s="17">
        <v>6</v>
      </c>
      <c r="M220" s="17">
        <f>AVERAGE(Table143690117144455163[[#This Row],[Teste 1]:[Teste 3]])</f>
        <v>6.666666666666667</v>
      </c>
      <c r="N220" s="16"/>
      <c r="O220" s="16" t="s">
        <v>3</v>
      </c>
      <c r="P220" s="16" t="s">
        <v>8</v>
      </c>
      <c r="Q220" s="17">
        <v>2105</v>
      </c>
      <c r="R220" s="17">
        <v>16063</v>
      </c>
      <c r="S220" s="17">
        <v>11831</v>
      </c>
      <c r="T220" s="17">
        <f>AVERAGE(Table1436901171444551100[[#This Row],[Teste 1]:[Teste 3]])</f>
        <v>9999.6666666666661</v>
      </c>
    </row>
    <row r="221" spans="1:20" x14ac:dyDescent="0.25">
      <c r="A221" s="16" t="s">
        <v>3</v>
      </c>
      <c r="B221" s="16" t="s">
        <v>9</v>
      </c>
      <c r="C221" s="17">
        <v>2</v>
      </c>
      <c r="D221" s="17">
        <v>2</v>
      </c>
      <c r="E221" s="17">
        <v>1</v>
      </c>
      <c r="F221" s="17">
        <f>AVERAGE(Table1436901171444551[[#This Row],[Teste 1]:[Teste 3]])</f>
        <v>1.6666666666666667</v>
      </c>
      <c r="G221" s="16"/>
      <c r="H221" s="16" t="s">
        <v>3</v>
      </c>
      <c r="I221" s="16" t="s">
        <v>9</v>
      </c>
      <c r="J221" s="17">
        <v>9</v>
      </c>
      <c r="K221" s="17">
        <v>5</v>
      </c>
      <c r="L221" s="17">
        <v>6</v>
      </c>
      <c r="M221" s="17">
        <f>AVERAGE(Table143690117144455163[[#This Row],[Teste 1]:[Teste 3]])</f>
        <v>6.666666666666667</v>
      </c>
      <c r="N221" s="16"/>
      <c r="O221" s="16" t="s">
        <v>3</v>
      </c>
      <c r="P221" s="16" t="s">
        <v>9</v>
      </c>
      <c r="Q221" s="17">
        <v>2105</v>
      </c>
      <c r="R221" s="17">
        <v>16063</v>
      </c>
      <c r="S221" s="17">
        <v>11831</v>
      </c>
      <c r="T221" s="17">
        <f>AVERAGE(Table1436901171444551100[[#This Row],[Teste 1]:[Teste 3]])</f>
        <v>9999.6666666666661</v>
      </c>
    </row>
    <row r="222" spans="1:20" x14ac:dyDescent="0.25">
      <c r="A222" s="16" t="s">
        <v>10</v>
      </c>
      <c r="B222" s="16" t="s">
        <v>4</v>
      </c>
      <c r="C222" s="17">
        <v>500915</v>
      </c>
      <c r="D222" s="17">
        <v>498155</v>
      </c>
      <c r="E222" s="17">
        <v>500881</v>
      </c>
      <c r="F222" s="17">
        <f>AVERAGE(Table1436901171444551[[#This Row],[Teste 1]:[Teste 3]])</f>
        <v>499983.66666666669</v>
      </c>
      <c r="G222" s="16"/>
      <c r="H222" s="16" t="s">
        <v>10</v>
      </c>
      <c r="I222" s="16" t="s">
        <v>4</v>
      </c>
      <c r="J222" s="17">
        <v>499814</v>
      </c>
      <c r="K222" s="17">
        <v>499365</v>
      </c>
      <c r="L222" s="17">
        <v>499354</v>
      </c>
      <c r="M222" s="17">
        <f>AVERAGE(Table143690117144455163[[#This Row],[Teste 1]:[Teste 3]])</f>
        <v>499511</v>
      </c>
      <c r="N222" s="16"/>
      <c r="O222" s="16" t="s">
        <v>10</v>
      </c>
      <c r="P222" s="16" t="s">
        <v>4</v>
      </c>
      <c r="Q222" s="17">
        <v>499234</v>
      </c>
      <c r="R222" s="17">
        <v>500656</v>
      </c>
      <c r="S222" s="17">
        <v>499679</v>
      </c>
      <c r="T222" s="17">
        <f>AVERAGE(Table1436901171444551100[[#This Row],[Teste 1]:[Teste 3]])</f>
        <v>499856.33333333331</v>
      </c>
    </row>
    <row r="223" spans="1:20" x14ac:dyDescent="0.25">
      <c r="A223" s="16" t="s">
        <v>10</v>
      </c>
      <c r="B223" s="16" t="s">
        <v>5</v>
      </c>
      <c r="C223" s="17">
        <v>547.48439156343795</v>
      </c>
      <c r="D223" s="17">
        <v>496.33604801718297</v>
      </c>
      <c r="E223" s="17">
        <v>486.83716291893597</v>
      </c>
      <c r="F223" s="17">
        <f>AVERAGE(Table1436901171444551[[#This Row],[Teste 1]:[Teste 3]])</f>
        <v>510.21920083318565</v>
      </c>
      <c r="G223" s="16"/>
      <c r="H223" s="16" t="s">
        <v>10</v>
      </c>
      <c r="I223" s="16" t="s">
        <v>5</v>
      </c>
      <c r="J223" s="17">
        <v>12904.05</v>
      </c>
      <c r="K223" s="17">
        <v>13219.93</v>
      </c>
      <c r="L223" s="17">
        <v>12612.03</v>
      </c>
      <c r="M223" s="17">
        <f>AVERAGE(Table143690117144455163[[#This Row],[Teste 1]:[Teste 3]])</f>
        <v>12912.003333333334</v>
      </c>
      <c r="N223" s="16"/>
      <c r="O223" s="16" t="s">
        <v>10</v>
      </c>
      <c r="P223" s="16" t="s">
        <v>5</v>
      </c>
      <c r="Q223" s="17">
        <v>403.25160145342602</v>
      </c>
      <c r="R223" s="17">
        <v>413.12284482758599</v>
      </c>
      <c r="S223" s="17">
        <v>394.12606493368702</v>
      </c>
      <c r="T223" s="17">
        <f>AVERAGE(Table1436901171444551100[[#This Row],[Teste 1]:[Teste 3]])</f>
        <v>403.50017040489973</v>
      </c>
    </row>
    <row r="224" spans="1:20" x14ac:dyDescent="0.25">
      <c r="A224" s="16" t="s">
        <v>10</v>
      </c>
      <c r="B224" s="16" t="s">
        <v>6</v>
      </c>
      <c r="C224" s="17">
        <v>250</v>
      </c>
      <c r="D224" s="17">
        <v>284</v>
      </c>
      <c r="E224" s="17">
        <v>249</v>
      </c>
      <c r="F224" s="17">
        <f>AVERAGE(Table1436901171444551[[#This Row],[Teste 1]:[Teste 3]])</f>
        <v>261</v>
      </c>
      <c r="G224" s="16"/>
      <c r="H224" s="16" t="s">
        <v>10</v>
      </c>
      <c r="I224" s="16" t="s">
        <v>6</v>
      </c>
      <c r="J224" s="17">
        <v>6656</v>
      </c>
      <c r="K224" s="17">
        <v>6464</v>
      </c>
      <c r="L224" s="17">
        <v>6336</v>
      </c>
      <c r="M224" s="17">
        <f>AVERAGE(Table143690117144455163[[#This Row],[Teste 1]:[Teste 3]])</f>
        <v>6485.333333333333</v>
      </c>
      <c r="N224" s="16"/>
      <c r="O224" s="16" t="s">
        <v>10</v>
      </c>
      <c r="P224" s="16" t="s">
        <v>6</v>
      </c>
      <c r="Q224" s="17">
        <v>208</v>
      </c>
      <c r="R224" s="17">
        <v>202</v>
      </c>
      <c r="S224" s="17">
        <v>198</v>
      </c>
      <c r="T224" s="17">
        <f>AVERAGE(Table1436901171444551100[[#This Row],[Teste 1]:[Teste 3]])</f>
        <v>202.66666666666666</v>
      </c>
    </row>
    <row r="225" spans="1:20" x14ac:dyDescent="0.25">
      <c r="A225" s="16" t="s">
        <v>10</v>
      </c>
      <c r="B225" s="16" t="s">
        <v>7</v>
      </c>
      <c r="C225" s="17">
        <v>42655</v>
      </c>
      <c r="D225" s="17">
        <v>19023</v>
      </c>
      <c r="E225" s="17">
        <v>30303</v>
      </c>
      <c r="F225" s="17">
        <f>AVERAGE(Table1436901171444551[[#This Row],[Teste 1]:[Teste 3]])</f>
        <v>30660.333333333332</v>
      </c>
      <c r="G225" s="16"/>
      <c r="H225" s="16" t="s">
        <v>10</v>
      </c>
      <c r="I225" s="16" t="s">
        <v>7</v>
      </c>
      <c r="J225" s="17">
        <v>34340832</v>
      </c>
      <c r="K225" s="17">
        <v>35520480</v>
      </c>
      <c r="L225" s="17">
        <v>3192800</v>
      </c>
      <c r="M225" s="17">
        <f>AVERAGE(Table143690117144455163[[#This Row],[Teste 1]:[Teste 3]])</f>
        <v>24351370.666666668</v>
      </c>
      <c r="N225" s="16"/>
      <c r="O225" s="16" t="s">
        <v>10</v>
      </c>
      <c r="P225" s="16" t="s">
        <v>7</v>
      </c>
      <c r="Q225" s="17">
        <v>1073151</v>
      </c>
      <c r="R225" s="17">
        <v>1110015</v>
      </c>
      <c r="S225" s="17">
        <v>99775</v>
      </c>
      <c r="T225" s="17">
        <f>AVERAGE(Table1436901171444551100[[#This Row],[Teste 1]:[Teste 3]])</f>
        <v>760980.33333333337</v>
      </c>
    </row>
    <row r="226" spans="1:20" x14ac:dyDescent="0.25">
      <c r="A226" s="16" t="s">
        <v>10</v>
      </c>
      <c r="B226" s="16" t="s">
        <v>8</v>
      </c>
      <c r="C226" s="17">
        <v>909</v>
      </c>
      <c r="D226" s="17">
        <v>662</v>
      </c>
      <c r="E226" s="17">
        <v>669</v>
      </c>
      <c r="F226" s="17">
        <f>AVERAGE(Table1436901171444551[[#This Row],[Teste 1]:[Teste 3]])</f>
        <v>746.66666666666663</v>
      </c>
      <c r="G226" s="16"/>
      <c r="H226" s="16" t="s">
        <v>10</v>
      </c>
      <c r="I226" s="16" t="s">
        <v>8</v>
      </c>
      <c r="J226" s="17">
        <v>21312</v>
      </c>
      <c r="K226" s="17">
        <v>22400</v>
      </c>
      <c r="L226" s="17">
        <v>21216</v>
      </c>
      <c r="M226" s="17">
        <f>AVERAGE(Table143690117144455163[[#This Row],[Teste 1]:[Teste 3]])</f>
        <v>21642.666666666668</v>
      </c>
      <c r="N226" s="16"/>
      <c r="O226" s="16" t="s">
        <v>10</v>
      </c>
      <c r="P226" s="16" t="s">
        <v>8</v>
      </c>
      <c r="Q226" s="17">
        <v>666</v>
      </c>
      <c r="R226" s="17">
        <v>700</v>
      </c>
      <c r="S226" s="17">
        <v>663</v>
      </c>
      <c r="T226" s="17">
        <f>AVERAGE(Table1436901171444551100[[#This Row],[Teste 1]:[Teste 3]])</f>
        <v>676.33333333333337</v>
      </c>
    </row>
    <row r="227" spans="1:20" x14ac:dyDescent="0.25">
      <c r="A227" s="16" t="s">
        <v>10</v>
      </c>
      <c r="B227" s="16" t="s">
        <v>9</v>
      </c>
      <c r="C227" s="17">
        <v>1773</v>
      </c>
      <c r="D227" s="17">
        <v>1332</v>
      </c>
      <c r="E227" s="17">
        <v>1348</v>
      </c>
      <c r="F227" s="17">
        <f>AVERAGE(Table1436901171444551[[#This Row],[Teste 1]:[Teste 3]])</f>
        <v>1484.3333333333333</v>
      </c>
      <c r="G227" s="16"/>
      <c r="H227" s="16" t="s">
        <v>10</v>
      </c>
      <c r="I227" s="16" t="s">
        <v>9</v>
      </c>
      <c r="J227" s="17">
        <v>27392</v>
      </c>
      <c r="K227" s="17">
        <v>29088</v>
      </c>
      <c r="L227" s="17">
        <v>27136</v>
      </c>
      <c r="M227" s="17">
        <f>AVERAGE(Table143690117144455163[[#This Row],[Teste 1]:[Teste 3]])</f>
        <v>27872</v>
      </c>
      <c r="N227" s="16"/>
      <c r="O227" s="16" t="s">
        <v>10</v>
      </c>
      <c r="P227" s="16" t="s">
        <v>9</v>
      </c>
      <c r="Q227" s="17">
        <v>856</v>
      </c>
      <c r="R227" s="17">
        <v>909</v>
      </c>
      <c r="S227" s="17">
        <v>848</v>
      </c>
      <c r="T227" s="17">
        <f>AVERAGE(Table1436901171444551100[[#This Row],[Teste 1]:[Teste 3]])</f>
        <v>871</v>
      </c>
    </row>
    <row r="228" spans="1:20" x14ac:dyDescent="0.25">
      <c r="A228" s="16" t="s">
        <v>10</v>
      </c>
      <c r="B228" s="16" t="s">
        <v>11</v>
      </c>
      <c r="C228" s="17">
        <v>500915</v>
      </c>
      <c r="D228" s="17">
        <v>498155</v>
      </c>
      <c r="E228" s="17">
        <v>500881</v>
      </c>
      <c r="F228" s="17">
        <f>AVERAGE(Table1436901171444551[[#This Row],[Teste 1]:[Teste 3]])</f>
        <v>499983.66666666669</v>
      </c>
      <c r="G228" s="16"/>
      <c r="H228" s="16" t="s">
        <v>10</v>
      </c>
      <c r="I228" s="16" t="s">
        <v>11</v>
      </c>
      <c r="J228" s="17">
        <v>499814</v>
      </c>
      <c r="K228" s="17">
        <v>499365</v>
      </c>
      <c r="L228" s="17">
        <v>499354</v>
      </c>
      <c r="M228" s="17">
        <f>AVERAGE(Table143690117144455163[[#This Row],[Teste 1]:[Teste 3]])</f>
        <v>499511</v>
      </c>
      <c r="N228" s="16"/>
      <c r="O228" s="16" t="s">
        <v>10</v>
      </c>
      <c r="P228" s="16" t="s">
        <v>11</v>
      </c>
      <c r="Q228" s="17">
        <v>499234</v>
      </c>
      <c r="R228" s="17">
        <v>500656</v>
      </c>
      <c r="S228" s="17">
        <v>499679</v>
      </c>
      <c r="T228" s="17">
        <f>AVERAGE(Table1436901171444551100[[#This Row],[Teste 1]:[Teste 3]])</f>
        <v>499856.33333333331</v>
      </c>
    </row>
    <row r="229" spans="1:20" x14ac:dyDescent="0.25">
      <c r="A229" s="16"/>
      <c r="B229" s="16"/>
      <c r="C229" s="17"/>
      <c r="D229" s="17"/>
      <c r="E229" s="17"/>
      <c r="F229" s="17"/>
      <c r="G229" s="16"/>
      <c r="H229" s="16"/>
      <c r="I229" s="16"/>
      <c r="J229" s="17"/>
      <c r="K229" s="17"/>
      <c r="L229" s="17"/>
      <c r="M229" s="17"/>
      <c r="N229" s="16"/>
      <c r="O229" s="16"/>
      <c r="P229" s="16"/>
      <c r="Q229" s="17"/>
      <c r="R229" s="17"/>
      <c r="S229" s="17"/>
      <c r="T229" s="17"/>
    </row>
    <row r="230" spans="1:20" x14ac:dyDescent="0.25">
      <c r="A230" s="16"/>
      <c r="B230" s="16"/>
      <c r="C230" s="17"/>
      <c r="D230" s="17"/>
      <c r="E230" s="17"/>
      <c r="F230" s="17"/>
      <c r="G230" s="16"/>
      <c r="H230" s="16"/>
      <c r="I230" s="16"/>
      <c r="J230" s="17"/>
      <c r="K230" s="17"/>
      <c r="L230" s="17"/>
      <c r="M230" s="17"/>
      <c r="N230" s="16"/>
      <c r="O230" s="16"/>
      <c r="P230" s="16"/>
      <c r="Q230" s="17"/>
      <c r="R230" s="17"/>
      <c r="S230" s="17"/>
      <c r="T230" s="17"/>
    </row>
    <row r="231" spans="1:20" x14ac:dyDescent="0.25">
      <c r="A231" s="16"/>
      <c r="B231" s="16"/>
      <c r="C231" s="17"/>
      <c r="D231" s="17"/>
      <c r="E231" s="17"/>
      <c r="F231" s="17"/>
      <c r="G231" s="16"/>
      <c r="H231" s="16"/>
      <c r="I231" s="16"/>
      <c r="J231" s="17"/>
      <c r="K231" s="17"/>
      <c r="L231" s="17"/>
      <c r="M231" s="17"/>
      <c r="N231" s="16"/>
      <c r="O231" s="16"/>
      <c r="P231" s="16"/>
      <c r="Q231" s="17"/>
      <c r="R231" s="17"/>
      <c r="S231" s="17"/>
      <c r="T231" s="17"/>
    </row>
    <row r="233" spans="1:20" ht="15.75" x14ac:dyDescent="0.25">
      <c r="A233" s="2" t="s">
        <v>73</v>
      </c>
      <c r="H233" s="2" t="s">
        <v>73</v>
      </c>
      <c r="O233" s="2" t="s">
        <v>73</v>
      </c>
    </row>
    <row r="234" spans="1:20" ht="15.75" x14ac:dyDescent="0.25">
      <c r="A234" s="16" t="s">
        <v>59</v>
      </c>
      <c r="B234" s="21" t="s">
        <v>81</v>
      </c>
      <c r="C234" s="16" t="s">
        <v>82</v>
      </c>
      <c r="D234" s="16" t="s">
        <v>64</v>
      </c>
      <c r="E234" s="16" t="s">
        <v>63</v>
      </c>
      <c r="F234" s="16" t="s">
        <v>18</v>
      </c>
      <c r="G234" s="16"/>
      <c r="H234" s="16" t="s">
        <v>12</v>
      </c>
      <c r="I234" s="21" t="s">
        <v>81</v>
      </c>
      <c r="J234" s="16" t="s">
        <v>82</v>
      </c>
      <c r="K234" s="16" t="s">
        <v>64</v>
      </c>
      <c r="L234" s="16" t="s">
        <v>63</v>
      </c>
      <c r="M234" s="16" t="s">
        <v>18</v>
      </c>
      <c r="N234" s="16"/>
      <c r="O234" s="16" t="s">
        <v>13</v>
      </c>
      <c r="P234" s="21" t="s">
        <v>81</v>
      </c>
      <c r="Q234" s="16" t="s">
        <v>82</v>
      </c>
      <c r="R234" s="16" t="s">
        <v>64</v>
      </c>
      <c r="S234" s="16" t="s">
        <v>63</v>
      </c>
      <c r="T234" s="16" t="s">
        <v>18</v>
      </c>
    </row>
    <row r="235" spans="1:20" x14ac:dyDescent="0.25">
      <c r="A235" s="16" t="s">
        <v>0</v>
      </c>
      <c r="B235" s="16" t="s">
        <v>1</v>
      </c>
      <c r="C235" s="17">
        <v>21009090</v>
      </c>
      <c r="D235" s="17">
        <v>21002647</v>
      </c>
      <c r="E235" s="17">
        <v>21001258</v>
      </c>
      <c r="F235" s="17">
        <f>AVERAGE(Table1436901171444652[[#This Row],[Teste 1]:[Teste 3]])</f>
        <v>21004331.666666668</v>
      </c>
      <c r="G235" s="16"/>
      <c r="H235" s="16" t="s">
        <v>0</v>
      </c>
      <c r="I235" s="16" t="s">
        <v>1</v>
      </c>
      <c r="J235" s="17">
        <v>7085436</v>
      </c>
      <c r="K235" s="17">
        <v>7317612</v>
      </c>
      <c r="L235" s="17">
        <v>7120296</v>
      </c>
      <c r="M235" s="17">
        <f>AVERAGE(Table143690117144465289[[#This Row],[Teste 1]:[Teste 3]])</f>
        <v>7174448</v>
      </c>
      <c r="N235" s="16"/>
      <c r="O235" s="16" t="s">
        <v>0</v>
      </c>
      <c r="P235" s="16" t="s">
        <v>1</v>
      </c>
      <c r="Q235" s="17">
        <v>1180906</v>
      </c>
      <c r="R235" s="17">
        <v>1219602</v>
      </c>
      <c r="S235" s="17">
        <v>1186716</v>
      </c>
      <c r="T235" s="17">
        <f>AVERAGE(Table1436901171444652101[[#This Row],[Teste 1]:[Teste 3]])</f>
        <v>1195741.3333333333</v>
      </c>
    </row>
    <row r="236" spans="1:20" x14ac:dyDescent="0.25">
      <c r="A236" s="16" t="s">
        <v>0</v>
      </c>
      <c r="B236" s="16" t="s">
        <v>2</v>
      </c>
      <c r="C236" s="17">
        <v>474.40378118789698</v>
      </c>
      <c r="D236" s="17">
        <v>524.36598718789696</v>
      </c>
      <c r="E236" s="17">
        <v>601.32668718789705</v>
      </c>
      <c r="F236" s="17">
        <f>AVERAGE(Table1436901171444652[[#This Row],[Teste 1]:[Teste 3]])</f>
        <v>533.36548518789698</v>
      </c>
      <c r="G236" s="16"/>
      <c r="H236" s="16" t="s">
        <v>0</v>
      </c>
      <c r="I236" s="16" t="s">
        <v>2</v>
      </c>
      <c r="J236" s="17">
        <v>1209.73</v>
      </c>
      <c r="K236" s="17">
        <v>1171.3399999999999</v>
      </c>
      <c r="L236" s="17">
        <v>1203.8</v>
      </c>
      <c r="M236" s="17">
        <f>AVERAGE(Table143690117144465289[[#This Row],[Teste 1]:[Teste 3]])</f>
        <v>1194.9566666666667</v>
      </c>
      <c r="N236" s="16"/>
      <c r="O236" s="16" t="s">
        <v>0</v>
      </c>
      <c r="P236" s="16" t="s">
        <v>2</v>
      </c>
      <c r="Q236" s="17">
        <v>8468.0745122812405</v>
      </c>
      <c r="R236" s="17">
        <v>8199.3961964640894</v>
      </c>
      <c r="S236" s="17">
        <v>8426.6159721449694</v>
      </c>
      <c r="T236" s="17">
        <f>AVERAGE(Table1436901171444652101[[#This Row],[Teste 1]:[Teste 3]])</f>
        <v>8364.6955602967664</v>
      </c>
    </row>
    <row r="237" spans="1:20" x14ac:dyDescent="0.25">
      <c r="A237" s="16" t="s">
        <v>16</v>
      </c>
      <c r="B237" s="16" t="s">
        <v>4</v>
      </c>
      <c r="C237" s="17">
        <v>9500321</v>
      </c>
      <c r="D237" s="17">
        <v>9500000</v>
      </c>
      <c r="E237" s="17">
        <v>9499302</v>
      </c>
      <c r="F237" s="17">
        <f>AVERAGE(Table1436901171444652[[#This Row],[Teste 1]:[Teste 3]])</f>
        <v>9499874.333333334</v>
      </c>
      <c r="G237" s="16"/>
      <c r="H237" s="16" t="s">
        <v>16</v>
      </c>
      <c r="I237" s="16" t="s">
        <v>4</v>
      </c>
      <c r="J237" s="17">
        <v>9499344</v>
      </c>
      <c r="K237" s="17">
        <v>9501845</v>
      </c>
      <c r="L237" s="17">
        <v>9512679</v>
      </c>
      <c r="M237" s="17">
        <f>AVERAGE(Table143690117144465289[[#This Row],[Teste 1]:[Teste 3]])</f>
        <v>9504622.666666666</v>
      </c>
      <c r="N237" s="16"/>
      <c r="O237" s="16" t="s">
        <v>16</v>
      </c>
      <c r="P237" s="16" t="s">
        <v>4</v>
      </c>
      <c r="Q237" s="17">
        <v>9500886</v>
      </c>
      <c r="R237" s="17">
        <v>9499600</v>
      </c>
      <c r="S237" s="17">
        <v>9500646</v>
      </c>
      <c r="T237" s="17">
        <f>AVERAGE(Table1436901171444652101[[#This Row],[Teste 1]:[Teste 3]])</f>
        <v>9500377.333333334</v>
      </c>
    </row>
    <row r="238" spans="1:20" x14ac:dyDescent="0.25">
      <c r="A238" s="16" t="s">
        <v>16</v>
      </c>
      <c r="B238" s="16" t="s">
        <v>5</v>
      </c>
      <c r="C238" s="17">
        <v>13244.802974848701</v>
      </c>
      <c r="D238" s="17">
        <v>14890.36455</v>
      </c>
      <c r="E238" s="17">
        <v>15125.3586</v>
      </c>
      <c r="F238" s="17">
        <f>AVERAGE(Table1436901171444652[[#This Row],[Teste 1]:[Teste 3]])</f>
        <v>14420.175374949567</v>
      </c>
      <c r="G238" s="16"/>
      <c r="H238" s="16" t="s">
        <v>16</v>
      </c>
      <c r="I238" s="16" t="s">
        <v>5</v>
      </c>
      <c r="J238" s="17">
        <v>5038.3100000000004</v>
      </c>
      <c r="K238" s="17">
        <v>5212.5200000000004</v>
      </c>
      <c r="L238" s="17">
        <v>5055.3100000000004</v>
      </c>
      <c r="M238" s="17">
        <f>AVERAGE(Table143690117144465289[[#This Row],[Teste 1]:[Teste 3]])</f>
        <v>5102.046666666668</v>
      </c>
      <c r="N238" s="16"/>
      <c r="O238" s="16" t="s">
        <v>16</v>
      </c>
      <c r="P238" s="16" t="s">
        <v>5</v>
      </c>
      <c r="Q238" s="17">
        <v>719.75890732716903</v>
      </c>
      <c r="R238" s="17">
        <v>744.64619205019096</v>
      </c>
      <c r="S238" s="17">
        <v>722.18764324025904</v>
      </c>
      <c r="T238" s="17">
        <f>AVERAGE(Table1436901171444652101[[#This Row],[Teste 1]:[Teste 3]])</f>
        <v>728.8642475392063</v>
      </c>
    </row>
    <row r="239" spans="1:20" x14ac:dyDescent="0.25">
      <c r="A239" s="16" t="s">
        <v>16</v>
      </c>
      <c r="B239" s="16" t="s">
        <v>6</v>
      </c>
      <c r="C239" s="17">
        <v>71</v>
      </c>
      <c r="D239" s="17">
        <v>72</v>
      </c>
      <c r="E239" s="17">
        <v>73</v>
      </c>
      <c r="F239" s="17">
        <f>AVERAGE(Table1436901171444652[[#This Row],[Teste 1]:[Teste 3]])</f>
        <v>72</v>
      </c>
      <c r="G239" s="16"/>
      <c r="H239" s="16" t="s">
        <v>16</v>
      </c>
      <c r="I239" s="16" t="s">
        <v>6</v>
      </c>
      <c r="J239" s="17">
        <v>672</v>
      </c>
      <c r="K239" s="17">
        <v>700</v>
      </c>
      <c r="L239" s="17">
        <v>707</v>
      </c>
      <c r="M239" s="17">
        <f>AVERAGE(Table143690117144465289[[#This Row],[Teste 1]:[Teste 3]])</f>
        <v>693</v>
      </c>
      <c r="N239" s="16"/>
      <c r="O239" s="16" t="s">
        <v>16</v>
      </c>
      <c r="P239" s="16" t="s">
        <v>6</v>
      </c>
      <c r="Q239" s="17">
        <v>96</v>
      </c>
      <c r="R239" s="17">
        <v>100</v>
      </c>
      <c r="S239" s="17">
        <v>101</v>
      </c>
      <c r="T239" s="17">
        <f>AVERAGE(Table1436901171444652101[[#This Row],[Teste 1]:[Teste 3]])</f>
        <v>99</v>
      </c>
    </row>
    <row r="240" spans="1:20" x14ac:dyDescent="0.25">
      <c r="A240" s="16" t="s">
        <v>16</v>
      </c>
      <c r="B240" s="16" t="s">
        <v>7</v>
      </c>
      <c r="C240" s="17">
        <v>9412607</v>
      </c>
      <c r="D240" s="17">
        <v>10252587</v>
      </c>
      <c r="E240" s="17">
        <v>11022706</v>
      </c>
      <c r="F240" s="17">
        <f>AVERAGE(Table1436901171444652[[#This Row],[Teste 1]:[Teste 3]])</f>
        <v>10229300</v>
      </c>
      <c r="G240" s="16"/>
      <c r="H240" s="16" t="s">
        <v>16</v>
      </c>
      <c r="I240" s="16" t="s">
        <v>7</v>
      </c>
      <c r="J240" s="17">
        <v>6386681</v>
      </c>
      <c r="K240" s="17">
        <v>6383097</v>
      </c>
      <c r="L240" s="17">
        <v>6580345</v>
      </c>
      <c r="M240" s="17">
        <f>AVERAGE(Table143690117144465289[[#This Row],[Teste 1]:[Teste 3]])</f>
        <v>6450041</v>
      </c>
      <c r="N240" s="16"/>
      <c r="O240" s="16" t="s">
        <v>16</v>
      </c>
      <c r="P240" s="16" t="s">
        <v>7</v>
      </c>
      <c r="Q240" s="17">
        <v>912383</v>
      </c>
      <c r="R240" s="17">
        <v>911871</v>
      </c>
      <c r="S240" s="17">
        <v>654335</v>
      </c>
      <c r="T240" s="17">
        <f>AVERAGE(Table1436901171444652101[[#This Row],[Teste 1]:[Teste 3]])</f>
        <v>826196.33333333337</v>
      </c>
    </row>
    <row r="241" spans="1:20" x14ac:dyDescent="0.25">
      <c r="A241" s="16" t="s">
        <v>16</v>
      </c>
      <c r="B241" s="16" t="s">
        <v>8</v>
      </c>
      <c r="C241" s="17">
        <v>50751</v>
      </c>
      <c r="D241" s="17">
        <v>50245</v>
      </c>
      <c r="E241" s="17">
        <v>51236</v>
      </c>
      <c r="F241" s="17">
        <f>AVERAGE(Table1436901171444652[[#This Row],[Teste 1]:[Teste 3]])</f>
        <v>50744</v>
      </c>
      <c r="G241" s="16"/>
      <c r="H241" s="16" t="s">
        <v>16</v>
      </c>
      <c r="I241" s="16" t="s">
        <v>8</v>
      </c>
      <c r="J241" s="17">
        <v>13937</v>
      </c>
      <c r="K241" s="17">
        <v>13958</v>
      </c>
      <c r="L241" s="17">
        <v>14217</v>
      </c>
      <c r="M241" s="17">
        <f>AVERAGE(Table143690117144465289[[#This Row],[Teste 1]:[Teste 3]])</f>
        <v>14037.333333333334</v>
      </c>
      <c r="N241" s="16"/>
      <c r="O241" s="16" t="s">
        <v>16</v>
      </c>
      <c r="P241" s="16" t="s">
        <v>8</v>
      </c>
      <c r="Q241" s="17">
        <v>1991</v>
      </c>
      <c r="R241" s="17">
        <v>1994</v>
      </c>
      <c r="S241" s="17">
        <v>2031</v>
      </c>
      <c r="T241" s="17">
        <f>AVERAGE(Table1436901171444652101[[#This Row],[Teste 1]:[Teste 3]])</f>
        <v>2005.3333333333333</v>
      </c>
    </row>
    <row r="242" spans="1:20" x14ac:dyDescent="0.25">
      <c r="A242" s="16" t="s">
        <v>16</v>
      </c>
      <c r="B242" s="16" t="s">
        <v>9</v>
      </c>
      <c r="C242" s="17">
        <v>114687</v>
      </c>
      <c r="D242" s="17">
        <v>121458</v>
      </c>
      <c r="E242" s="17">
        <v>112563</v>
      </c>
      <c r="F242" s="17">
        <f>AVERAGE(Table1436901171444652[[#This Row],[Teste 1]:[Teste 3]])</f>
        <v>116236</v>
      </c>
      <c r="G242" s="16"/>
      <c r="H242" s="16" t="s">
        <v>16</v>
      </c>
      <c r="I242" s="16" t="s">
        <v>9</v>
      </c>
      <c r="J242" s="17">
        <v>18249</v>
      </c>
      <c r="K242" s="17">
        <v>18613</v>
      </c>
      <c r="L242" s="17">
        <v>18375</v>
      </c>
      <c r="M242" s="17">
        <f>AVERAGE(Table143690117144465289[[#This Row],[Teste 1]:[Teste 3]])</f>
        <v>18412.333333333332</v>
      </c>
      <c r="N242" s="16"/>
      <c r="O242" s="16" t="s">
        <v>16</v>
      </c>
      <c r="P242" s="16" t="s">
        <v>9</v>
      </c>
      <c r="Q242" s="17">
        <v>2607</v>
      </c>
      <c r="R242" s="17">
        <v>2659</v>
      </c>
      <c r="S242" s="17">
        <v>2625</v>
      </c>
      <c r="T242" s="17">
        <f>AVERAGE(Table1436901171444652101[[#This Row],[Teste 1]:[Teste 3]])</f>
        <v>2630.3333333333335</v>
      </c>
    </row>
    <row r="243" spans="1:20" x14ac:dyDescent="0.25">
      <c r="A243" s="16" t="s">
        <v>16</v>
      </c>
      <c r="B243" s="16" t="s">
        <v>11</v>
      </c>
      <c r="C243" s="17">
        <v>9500321</v>
      </c>
      <c r="D243" s="17">
        <v>9500000</v>
      </c>
      <c r="E243" s="17">
        <v>9499302</v>
      </c>
      <c r="F243" s="17">
        <f>AVERAGE(Table1436901171444652[[#This Row],[Teste 1]:[Teste 3]])</f>
        <v>9499874.333333334</v>
      </c>
      <c r="G243" s="16"/>
      <c r="H243" s="16" t="s">
        <v>16</v>
      </c>
      <c r="I243" s="16" t="s">
        <v>11</v>
      </c>
      <c r="J243" s="17">
        <v>9499344</v>
      </c>
      <c r="K243" s="17">
        <v>9501845</v>
      </c>
      <c r="L243" s="17">
        <v>9512679</v>
      </c>
      <c r="M243" s="17">
        <f>AVERAGE(Table143690117144465289[[#This Row],[Teste 1]:[Teste 3]])</f>
        <v>9504622.666666666</v>
      </c>
      <c r="N243" s="16"/>
      <c r="O243" s="16" t="s">
        <v>16</v>
      </c>
      <c r="P243" s="16" t="s">
        <v>11</v>
      </c>
      <c r="Q243" s="17">
        <v>9500886</v>
      </c>
      <c r="R243" s="17">
        <v>9499600</v>
      </c>
      <c r="S243" s="17">
        <v>9500646</v>
      </c>
      <c r="T243" s="17">
        <f>AVERAGE(Table1436901171444652101[[#This Row],[Teste 1]:[Teste 3]])</f>
        <v>9500377.333333334</v>
      </c>
    </row>
    <row r="244" spans="1:20" x14ac:dyDescent="0.25">
      <c r="A244" s="16" t="s">
        <v>3</v>
      </c>
      <c r="B244" s="16" t="s">
        <v>4</v>
      </c>
      <c r="C244" s="17">
        <v>6</v>
      </c>
      <c r="D244" s="17">
        <v>6</v>
      </c>
      <c r="E244" s="17">
        <v>6</v>
      </c>
      <c r="F244" s="17">
        <f>AVERAGE(Table1436901171444652[[#This Row],[Teste 1]:[Teste 3]])</f>
        <v>6</v>
      </c>
      <c r="G244" s="16"/>
      <c r="H244" s="16" t="s">
        <v>3</v>
      </c>
      <c r="I244" s="16" t="s">
        <v>4</v>
      </c>
      <c r="J244" s="17">
        <v>6</v>
      </c>
      <c r="K244" s="17">
        <v>6</v>
      </c>
      <c r="L244" s="17">
        <v>6</v>
      </c>
      <c r="M244" s="17">
        <f>AVERAGE(Table143690117144465289[[#This Row],[Teste 1]:[Teste 3]])</f>
        <v>6</v>
      </c>
      <c r="N244" s="16"/>
      <c r="O244" s="16" t="s">
        <v>3</v>
      </c>
      <c r="P244" s="16" t="s">
        <v>4</v>
      </c>
      <c r="Q244" s="17">
        <v>6</v>
      </c>
      <c r="R244" s="17">
        <v>6</v>
      </c>
      <c r="S244" s="17">
        <v>6</v>
      </c>
      <c r="T244" s="17">
        <f>AVERAGE(Table1436901171444652101[[#This Row],[Teste 1]:[Teste 3]])</f>
        <v>6</v>
      </c>
    </row>
    <row r="245" spans="1:20" x14ac:dyDescent="0.25">
      <c r="A245" s="16" t="s">
        <v>3</v>
      </c>
      <c r="B245" s="16" t="s">
        <v>5</v>
      </c>
      <c r="C245" s="17">
        <v>1</v>
      </c>
      <c r="D245" s="17">
        <v>1</v>
      </c>
      <c r="E245" s="17">
        <v>1</v>
      </c>
      <c r="F245" s="17">
        <f>AVERAGE(Table1436901171444652[[#This Row],[Teste 1]:[Teste 3]])</f>
        <v>1</v>
      </c>
      <c r="G245" s="16"/>
      <c r="H245" s="16" t="s">
        <v>3</v>
      </c>
      <c r="I245" s="16" t="s">
        <v>5</v>
      </c>
      <c r="J245" s="17">
        <v>2.5</v>
      </c>
      <c r="K245" s="17">
        <v>2.3333333333333299</v>
      </c>
      <c r="L245" s="17">
        <v>2</v>
      </c>
      <c r="M245" s="17">
        <f>AVERAGE(Table143690117144465289[[#This Row],[Teste 1]:[Teste 3]])</f>
        <v>2.2777777777777768</v>
      </c>
      <c r="N245" s="16"/>
      <c r="O245" s="16" t="s">
        <v>3</v>
      </c>
      <c r="P245" s="16" t="s">
        <v>5</v>
      </c>
      <c r="Q245" s="17">
        <v>2676.6666666666601</v>
      </c>
      <c r="R245" s="17">
        <v>425.666666666666</v>
      </c>
      <c r="S245" s="17">
        <v>488.83333333333297</v>
      </c>
      <c r="T245" s="17">
        <f>AVERAGE(Table1436901171444652101[[#This Row],[Teste 1]:[Teste 3]])</f>
        <v>1197.0555555555532</v>
      </c>
    </row>
    <row r="246" spans="1:20" x14ac:dyDescent="0.25">
      <c r="A246" s="16" t="s">
        <v>3</v>
      </c>
      <c r="B246" s="16" t="s">
        <v>6</v>
      </c>
      <c r="C246" s="17">
        <v>0</v>
      </c>
      <c r="D246" s="17">
        <v>0</v>
      </c>
      <c r="E246" s="17">
        <v>0</v>
      </c>
      <c r="F246" s="17">
        <f>AVERAGE(Table1436901171444652[[#This Row],[Teste 1]:[Teste 3]])</f>
        <v>0</v>
      </c>
      <c r="G246" s="16"/>
      <c r="H246" s="16" t="s">
        <v>3</v>
      </c>
      <c r="I246" s="16" t="s">
        <v>6</v>
      </c>
      <c r="J246" s="17">
        <v>1</v>
      </c>
      <c r="K246" s="17">
        <v>0</v>
      </c>
      <c r="L246" s="17">
        <v>1</v>
      </c>
      <c r="M246" s="17">
        <f>AVERAGE(Table143690117144465289[[#This Row],[Teste 1]:[Teste 3]])</f>
        <v>0.66666666666666663</v>
      </c>
      <c r="N246" s="16"/>
      <c r="O246" s="16" t="s">
        <v>3</v>
      </c>
      <c r="P246" s="16" t="s">
        <v>6</v>
      </c>
      <c r="Q246" s="17">
        <v>1</v>
      </c>
      <c r="R246" s="17">
        <v>1</v>
      </c>
      <c r="S246" s="17">
        <v>1</v>
      </c>
      <c r="T246" s="17">
        <f>AVERAGE(Table1436901171444652101[[#This Row],[Teste 1]:[Teste 3]])</f>
        <v>1</v>
      </c>
    </row>
    <row r="247" spans="1:20" x14ac:dyDescent="0.25">
      <c r="A247" s="16" t="s">
        <v>3</v>
      </c>
      <c r="B247" s="16" t="s">
        <v>7</v>
      </c>
      <c r="C247" s="17">
        <v>3</v>
      </c>
      <c r="D247" s="17">
        <v>3</v>
      </c>
      <c r="E247" s="17">
        <v>3</v>
      </c>
      <c r="F247" s="17">
        <f>AVERAGE(Table1436901171444652[[#This Row],[Teste 1]:[Teste 3]])</f>
        <v>3</v>
      </c>
      <c r="G247" s="16"/>
      <c r="H247" s="16" t="s">
        <v>3</v>
      </c>
      <c r="I247" s="16" t="s">
        <v>7</v>
      </c>
      <c r="J247" s="17">
        <v>9</v>
      </c>
      <c r="K247" s="17">
        <v>10</v>
      </c>
      <c r="L247" s="17">
        <v>7</v>
      </c>
      <c r="M247" s="17">
        <f>AVERAGE(Table143690117144465289[[#This Row],[Teste 1]:[Teste 3]])</f>
        <v>8.6666666666666661</v>
      </c>
      <c r="N247" s="16"/>
      <c r="O247" s="16" t="s">
        <v>3</v>
      </c>
      <c r="P247" s="16" t="s">
        <v>7</v>
      </c>
      <c r="Q247" s="17">
        <v>16047</v>
      </c>
      <c r="R247" s="17">
        <v>2539</v>
      </c>
      <c r="S247" s="17">
        <v>2917</v>
      </c>
      <c r="T247" s="17">
        <f>AVERAGE(Table1436901171444652101[[#This Row],[Teste 1]:[Teste 3]])</f>
        <v>7167.666666666667</v>
      </c>
    </row>
    <row r="248" spans="1:20" x14ac:dyDescent="0.25">
      <c r="A248" s="16" t="s">
        <v>3</v>
      </c>
      <c r="B248" s="16" t="s">
        <v>8</v>
      </c>
      <c r="C248" s="17">
        <v>3</v>
      </c>
      <c r="D248" s="17">
        <v>3</v>
      </c>
      <c r="E248" s="17">
        <v>3</v>
      </c>
      <c r="F248" s="17">
        <f>AVERAGE(Table1436901171444652[[#This Row],[Teste 1]:[Teste 3]])</f>
        <v>3</v>
      </c>
      <c r="G248" s="16"/>
      <c r="H248" s="16" t="s">
        <v>3</v>
      </c>
      <c r="I248" s="16" t="s">
        <v>8</v>
      </c>
      <c r="J248" s="17">
        <v>9</v>
      </c>
      <c r="K248" s="17">
        <v>10</v>
      </c>
      <c r="L248" s="17">
        <v>7</v>
      </c>
      <c r="M248" s="17">
        <f>AVERAGE(Table143690117144465289[[#This Row],[Teste 1]:[Teste 3]])</f>
        <v>8.6666666666666661</v>
      </c>
      <c r="N248" s="16"/>
      <c r="O248" s="16" t="s">
        <v>3</v>
      </c>
      <c r="P248" s="16" t="s">
        <v>8</v>
      </c>
      <c r="Q248" s="17">
        <v>16047</v>
      </c>
      <c r="R248" s="17">
        <v>2539</v>
      </c>
      <c r="S248" s="17">
        <v>2917</v>
      </c>
      <c r="T248" s="17">
        <f>AVERAGE(Table1436901171444652101[[#This Row],[Teste 1]:[Teste 3]])</f>
        <v>7167.666666666667</v>
      </c>
    </row>
    <row r="249" spans="1:20" x14ac:dyDescent="0.25">
      <c r="A249" s="16" t="s">
        <v>3</v>
      </c>
      <c r="B249" s="16" t="s">
        <v>9</v>
      </c>
      <c r="C249" s="17">
        <v>3</v>
      </c>
      <c r="D249" s="17">
        <v>3</v>
      </c>
      <c r="E249" s="17">
        <v>3</v>
      </c>
      <c r="F249" s="17">
        <f>AVERAGE(Table1436901171444652[[#This Row],[Teste 1]:[Teste 3]])</f>
        <v>3</v>
      </c>
      <c r="G249" s="16"/>
      <c r="H249" s="16" t="s">
        <v>3</v>
      </c>
      <c r="I249" s="16" t="s">
        <v>9</v>
      </c>
      <c r="J249" s="17">
        <v>9</v>
      </c>
      <c r="K249" s="17">
        <v>10</v>
      </c>
      <c r="L249" s="17">
        <v>7</v>
      </c>
      <c r="M249" s="17">
        <f>AVERAGE(Table143690117144465289[[#This Row],[Teste 1]:[Teste 3]])</f>
        <v>8.6666666666666661</v>
      </c>
      <c r="N249" s="16"/>
      <c r="O249" s="16" t="s">
        <v>3</v>
      </c>
      <c r="P249" s="16" t="s">
        <v>9</v>
      </c>
      <c r="Q249" s="17">
        <v>16047</v>
      </c>
      <c r="R249" s="17">
        <v>2539</v>
      </c>
      <c r="S249" s="17">
        <v>2917</v>
      </c>
      <c r="T249" s="17">
        <f>AVERAGE(Table1436901171444652101[[#This Row],[Teste 1]:[Teste 3]])</f>
        <v>7167.666666666667</v>
      </c>
    </row>
    <row r="250" spans="1:20" x14ac:dyDescent="0.25">
      <c r="A250" s="16" t="s">
        <v>10</v>
      </c>
      <c r="B250" s="16" t="s">
        <v>4</v>
      </c>
      <c r="C250" s="17">
        <v>499679</v>
      </c>
      <c r="D250" s="17">
        <v>500000</v>
      </c>
      <c r="E250" s="17">
        <v>500698</v>
      </c>
      <c r="F250" s="17">
        <f>AVERAGE(Table1436901171444652[[#This Row],[Teste 1]:[Teste 3]])</f>
        <v>500125.66666666669</v>
      </c>
      <c r="G250" s="16"/>
      <c r="H250" s="16" t="s">
        <v>10</v>
      </c>
      <c r="I250" s="16" t="s">
        <v>4</v>
      </c>
      <c r="J250" s="17">
        <v>499234</v>
      </c>
      <c r="K250" s="17">
        <v>498155</v>
      </c>
      <c r="L250" s="17">
        <v>487321</v>
      </c>
      <c r="M250" s="17">
        <f>AVERAGE(Table143690117144465289[[#This Row],[Teste 1]:[Teste 3]])</f>
        <v>494903.33333333331</v>
      </c>
      <c r="N250" s="16"/>
      <c r="O250" s="16" t="s">
        <v>10</v>
      </c>
      <c r="P250" s="16" t="s">
        <v>4</v>
      </c>
      <c r="Q250" s="17">
        <v>499114</v>
      </c>
      <c r="R250" s="17">
        <v>500400</v>
      </c>
      <c r="S250" s="17">
        <v>499354</v>
      </c>
      <c r="T250" s="17">
        <f>AVERAGE(Table1436901171444652101[[#This Row],[Teste 1]:[Teste 3]])</f>
        <v>499622.66666666669</v>
      </c>
    </row>
    <row r="251" spans="1:20" x14ac:dyDescent="0.25">
      <c r="A251" s="16" t="s">
        <v>10</v>
      </c>
      <c r="B251" s="16" t="s">
        <v>5</v>
      </c>
      <c r="C251" s="17">
        <v>786.22728191498902</v>
      </c>
      <c r="D251" s="17">
        <v>687.32568791498898</v>
      </c>
      <c r="E251" s="17">
        <v>667.32568191498899</v>
      </c>
      <c r="F251" s="17">
        <f>AVERAGE(Table1436901171444652[[#This Row],[Teste 1]:[Teste 3]])</f>
        <v>713.6262172483224</v>
      </c>
      <c r="G251" s="16"/>
      <c r="H251" s="16" t="s">
        <v>10</v>
      </c>
      <c r="I251" s="16" t="s">
        <v>5</v>
      </c>
      <c r="J251" s="17">
        <v>2965.1976</v>
      </c>
      <c r="K251" s="17">
        <v>2931.07</v>
      </c>
      <c r="L251" s="17">
        <v>3067.07</v>
      </c>
      <c r="M251" s="17">
        <f>AVERAGE(Table143690117144465289[[#This Row],[Teste 1]:[Teste 3]])</f>
        <v>2987.7792000000004</v>
      </c>
      <c r="N251" s="16"/>
      <c r="O251" s="16" t="s">
        <v>10</v>
      </c>
      <c r="P251" s="16" t="s">
        <v>5</v>
      </c>
      <c r="Q251" s="17">
        <v>423.59965258437899</v>
      </c>
      <c r="R251" s="17">
        <v>418.724254596322</v>
      </c>
      <c r="S251" s="17">
        <v>438.15257512706398</v>
      </c>
      <c r="T251" s="17">
        <f>AVERAGE(Table1436901171444652101[[#This Row],[Teste 1]:[Teste 3]])</f>
        <v>426.82549410258827</v>
      </c>
    </row>
    <row r="252" spans="1:20" x14ac:dyDescent="0.25">
      <c r="A252" s="16" t="s">
        <v>10</v>
      </c>
      <c r="B252" s="16" t="s">
        <v>6</v>
      </c>
      <c r="C252" s="17">
        <v>239</v>
      </c>
      <c r="D252" s="17">
        <v>2019</v>
      </c>
      <c r="E252" s="17">
        <v>192</v>
      </c>
      <c r="F252" s="17">
        <f>AVERAGE(Table1436901171444652[[#This Row],[Teste 1]:[Teste 3]])</f>
        <v>816.66666666666663</v>
      </c>
      <c r="G252" s="16"/>
      <c r="H252" s="16" t="s">
        <v>10</v>
      </c>
      <c r="I252" s="16" t="s">
        <v>6</v>
      </c>
      <c r="J252" s="17">
        <v>1379</v>
      </c>
      <c r="K252" s="17">
        <v>1372</v>
      </c>
      <c r="L252" s="17">
        <v>1407</v>
      </c>
      <c r="M252" s="17">
        <f>AVERAGE(Table143690117144465289[[#This Row],[Teste 1]:[Teste 3]])</f>
        <v>1386</v>
      </c>
      <c r="N252" s="16"/>
      <c r="O252" s="16" t="s">
        <v>10</v>
      </c>
      <c r="P252" s="16" t="s">
        <v>6</v>
      </c>
      <c r="Q252" s="17">
        <v>197</v>
      </c>
      <c r="R252" s="17">
        <v>196</v>
      </c>
      <c r="S252" s="17">
        <v>201</v>
      </c>
      <c r="T252" s="17">
        <f>AVERAGE(Table1436901171444652101[[#This Row],[Teste 1]:[Teste 3]])</f>
        <v>198</v>
      </c>
    </row>
    <row r="253" spans="1:20" x14ac:dyDescent="0.25">
      <c r="A253" s="16" t="s">
        <v>10</v>
      </c>
      <c r="B253" s="16" t="s">
        <v>7</v>
      </c>
      <c r="C253" s="17">
        <v>7172095</v>
      </c>
      <c r="D253" s="17">
        <v>6585902</v>
      </c>
      <c r="E253" s="17">
        <v>6015248</v>
      </c>
      <c r="F253" s="17">
        <f>AVERAGE(Table1436901171444652[[#This Row],[Teste 1]:[Teste 3]])</f>
        <v>6591081.666666667</v>
      </c>
      <c r="G253" s="16"/>
      <c r="H253" s="16" t="s">
        <v>10</v>
      </c>
      <c r="I253" s="16" t="s">
        <v>7</v>
      </c>
      <c r="J253" s="17">
        <v>2609145</v>
      </c>
      <c r="K253" s="17">
        <v>2673657</v>
      </c>
      <c r="L253" s="17">
        <v>2718521</v>
      </c>
      <c r="M253" s="17">
        <f>AVERAGE(Table143690117144465289[[#This Row],[Teste 1]:[Teste 3]])</f>
        <v>2667107.6666666665</v>
      </c>
      <c r="N253" s="16"/>
      <c r="O253" s="16" t="s">
        <v>10</v>
      </c>
      <c r="P253" s="16" t="s">
        <v>7</v>
      </c>
      <c r="Q253" s="17">
        <v>372735</v>
      </c>
      <c r="R253" s="17">
        <v>381951</v>
      </c>
      <c r="S253" s="17">
        <v>245503</v>
      </c>
      <c r="T253" s="17">
        <f>AVERAGE(Table1436901171444652101[[#This Row],[Teste 1]:[Teste 3]])</f>
        <v>333396.33333333331</v>
      </c>
    </row>
    <row r="254" spans="1:20" x14ac:dyDescent="0.25">
      <c r="A254" s="16" t="s">
        <v>10</v>
      </c>
      <c r="B254" s="16" t="s">
        <v>8</v>
      </c>
      <c r="C254" s="17">
        <v>1657</v>
      </c>
      <c r="D254" s="17">
        <v>1601</v>
      </c>
      <c r="E254" s="17">
        <v>1582</v>
      </c>
      <c r="F254" s="17">
        <f>AVERAGE(Table1436901171444652[[#This Row],[Teste 1]:[Teste 3]])</f>
        <v>1613.3333333333333</v>
      </c>
      <c r="G254" s="16"/>
      <c r="H254" s="16" t="s">
        <v>10</v>
      </c>
      <c r="I254" s="16" t="s">
        <v>8</v>
      </c>
      <c r="J254" s="17">
        <v>4914</v>
      </c>
      <c r="K254" s="17">
        <v>4739</v>
      </c>
      <c r="L254" s="17">
        <v>5019</v>
      </c>
      <c r="M254" s="17">
        <f>AVERAGE(Table143690117144465289[[#This Row],[Teste 1]:[Teste 3]])</f>
        <v>4890.666666666667</v>
      </c>
      <c r="N254" s="16"/>
      <c r="O254" s="16" t="s">
        <v>10</v>
      </c>
      <c r="P254" s="16" t="s">
        <v>8</v>
      </c>
      <c r="Q254" s="17">
        <v>702</v>
      </c>
      <c r="R254" s="17">
        <v>677</v>
      </c>
      <c r="S254" s="17">
        <v>717</v>
      </c>
      <c r="T254" s="17">
        <f>AVERAGE(Table1436901171444652101[[#This Row],[Teste 1]:[Teste 3]])</f>
        <v>698.66666666666663</v>
      </c>
    </row>
    <row r="255" spans="1:20" x14ac:dyDescent="0.25">
      <c r="A255" s="16" t="s">
        <v>10</v>
      </c>
      <c r="B255" s="16" t="s">
        <v>9</v>
      </c>
      <c r="C255" s="17">
        <v>3411</v>
      </c>
      <c r="D255" s="17">
        <v>3321</v>
      </c>
      <c r="E255" s="17">
        <v>3222</v>
      </c>
      <c r="F255" s="17">
        <f>AVERAGE(Table1436901171444652[[#This Row],[Teste 1]:[Teste 3]])</f>
        <v>3318</v>
      </c>
      <c r="G255" s="16"/>
      <c r="H255" s="16" t="s">
        <v>10</v>
      </c>
      <c r="I255" s="16" t="s">
        <v>9</v>
      </c>
      <c r="J255" s="17">
        <v>7028</v>
      </c>
      <c r="K255" s="17">
        <v>6391</v>
      </c>
      <c r="L255" s="17">
        <v>7105</v>
      </c>
      <c r="M255" s="17">
        <f>AVERAGE(Table143690117144465289[[#This Row],[Teste 1]:[Teste 3]])</f>
        <v>6841.333333333333</v>
      </c>
      <c r="N255" s="16"/>
      <c r="O255" s="16" t="s">
        <v>10</v>
      </c>
      <c r="P255" s="16" t="s">
        <v>9</v>
      </c>
      <c r="Q255" s="17">
        <v>1004</v>
      </c>
      <c r="R255" s="17">
        <v>913</v>
      </c>
      <c r="S255" s="17">
        <v>1015</v>
      </c>
      <c r="T255" s="17">
        <f>AVERAGE(Table1436901171444652101[[#This Row],[Teste 1]:[Teste 3]])</f>
        <v>977.33333333333337</v>
      </c>
    </row>
    <row r="256" spans="1:20" x14ac:dyDescent="0.25">
      <c r="A256" s="16" t="s">
        <v>10</v>
      </c>
      <c r="B256" s="16" t="s">
        <v>11</v>
      </c>
      <c r="C256" s="17">
        <v>499679</v>
      </c>
      <c r="D256" s="17">
        <v>500000</v>
      </c>
      <c r="E256" s="17">
        <v>500698</v>
      </c>
      <c r="F256" s="17">
        <f>AVERAGE(Table1436901171444652[[#This Row],[Teste 1]:[Teste 3]])</f>
        <v>500125.66666666669</v>
      </c>
      <c r="G256" s="16"/>
      <c r="H256" s="16" t="s">
        <v>10</v>
      </c>
      <c r="I256" s="16" t="s">
        <v>11</v>
      </c>
      <c r="J256" s="17">
        <v>499234</v>
      </c>
      <c r="K256" s="17">
        <v>498155</v>
      </c>
      <c r="L256" s="17">
        <v>487321</v>
      </c>
      <c r="M256" s="17">
        <f>AVERAGE(Table143690117144465289[[#This Row],[Teste 1]:[Teste 3]])</f>
        <v>494903.33333333331</v>
      </c>
      <c r="N256" s="16"/>
      <c r="O256" s="16" t="s">
        <v>10</v>
      </c>
      <c r="P256" s="16" t="s">
        <v>11</v>
      </c>
      <c r="Q256" s="17">
        <v>499114</v>
      </c>
      <c r="R256" s="17">
        <v>500400</v>
      </c>
      <c r="S256" s="17">
        <v>499354</v>
      </c>
      <c r="T256" s="17">
        <f>AVERAGE(Table1436901171444652101[[#This Row],[Teste 1]:[Teste 3]])</f>
        <v>499622.66666666669</v>
      </c>
    </row>
    <row r="257" spans="1:20" x14ac:dyDescent="0.25">
      <c r="A257" s="16"/>
      <c r="B257" s="16"/>
      <c r="C257" s="17"/>
      <c r="D257" s="17"/>
      <c r="E257" s="17"/>
      <c r="F257" s="17"/>
      <c r="G257" s="16"/>
      <c r="H257" s="16"/>
      <c r="I257" s="16"/>
      <c r="J257" s="17"/>
      <c r="K257" s="17"/>
      <c r="L257" s="17"/>
      <c r="M257" s="17"/>
      <c r="N257" s="16"/>
      <c r="O257" s="16"/>
      <c r="P257" s="16"/>
      <c r="Q257" s="17"/>
      <c r="R257" s="17"/>
      <c r="S257" s="17"/>
      <c r="T257" s="17"/>
    </row>
    <row r="258" spans="1:20" x14ac:dyDescent="0.25">
      <c r="A258" s="16"/>
      <c r="B258" s="16"/>
      <c r="C258" s="17"/>
      <c r="D258" s="17"/>
      <c r="E258" s="17"/>
      <c r="F258" s="17"/>
      <c r="G258" s="16"/>
      <c r="H258" s="16"/>
      <c r="I258" s="16"/>
      <c r="J258" s="17"/>
      <c r="K258" s="17"/>
      <c r="L258" s="17"/>
      <c r="M258" s="17"/>
      <c r="N258" s="16"/>
      <c r="O258" s="16"/>
      <c r="P258" s="16"/>
      <c r="Q258" s="17"/>
      <c r="R258" s="17"/>
      <c r="S258" s="17"/>
      <c r="T258" s="17"/>
    </row>
    <row r="259" spans="1:20" x14ac:dyDescent="0.25">
      <c r="A259" s="16"/>
      <c r="B259" s="16"/>
      <c r="C259" s="17"/>
      <c r="D259" s="17"/>
      <c r="E259" s="17"/>
      <c r="F259" s="17"/>
      <c r="G259" s="16"/>
      <c r="H259" s="16"/>
      <c r="I259" s="16"/>
      <c r="J259" s="17"/>
      <c r="K259" s="17"/>
      <c r="L259" s="17"/>
      <c r="M259" s="17"/>
      <c r="N259" s="16"/>
      <c r="O259" s="16"/>
      <c r="P259" s="16"/>
      <c r="Q259" s="17"/>
      <c r="R259" s="17"/>
      <c r="S259" s="17"/>
      <c r="T259" s="17"/>
    </row>
  </sheetData>
  <phoneticPr fontId="1" type="noConversion"/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CA62-B854-40D7-9076-355FFFE68949}">
  <dimension ref="A1:T259"/>
  <sheetViews>
    <sheetView zoomScale="81" zoomScaleNormal="81" workbookViewId="0">
      <selection activeCell="J4" sqref="J4"/>
    </sheetView>
  </sheetViews>
  <sheetFormatPr defaultRowHeight="15" x14ac:dyDescent="0.25"/>
  <cols>
    <col min="1" max="1" width="16.140625" customWidth="1"/>
    <col min="2" max="2" width="24.85546875" customWidth="1"/>
    <col min="3" max="3" width="14.5703125" customWidth="1"/>
    <col min="4" max="4" width="14.28515625" customWidth="1"/>
    <col min="5" max="5" width="14.140625" customWidth="1"/>
    <col min="6" max="6" width="13.7109375" customWidth="1"/>
    <col min="7" max="7" width="10.28515625" customWidth="1"/>
    <col min="8" max="8" width="14.7109375" customWidth="1"/>
    <col min="9" max="9" width="25.5703125" customWidth="1"/>
    <col min="10" max="10" width="14.28515625" customWidth="1"/>
    <col min="11" max="11" width="14.42578125" customWidth="1"/>
    <col min="12" max="12" width="14.28515625" customWidth="1"/>
    <col min="13" max="13" width="13.85546875" customWidth="1"/>
    <col min="14" max="14" width="10.7109375" customWidth="1"/>
    <col min="15" max="15" width="16" customWidth="1"/>
    <col min="16" max="16" width="24.85546875" customWidth="1"/>
    <col min="17" max="17" width="16" customWidth="1"/>
    <col min="18" max="18" width="15" customWidth="1"/>
    <col min="19" max="19" width="15.140625" customWidth="1"/>
    <col min="20" max="20" width="15.42578125" customWidth="1"/>
    <col min="21" max="21" width="11.140625" customWidth="1"/>
    <col min="22" max="22" width="10.42578125" customWidth="1"/>
    <col min="23" max="23" width="10.85546875" customWidth="1"/>
    <col min="24" max="26" width="10.42578125" customWidth="1"/>
    <col min="27" max="27" width="10.85546875" customWidth="1"/>
    <col min="28" max="28" width="12.28515625" customWidth="1"/>
    <col min="29" max="29" width="11.28515625" customWidth="1"/>
    <col min="30" max="30" width="12.28515625" customWidth="1"/>
    <col min="31" max="31" width="11.85546875" customWidth="1"/>
    <col min="32" max="32" width="10.5703125" customWidth="1"/>
    <col min="33" max="33" width="13.85546875" customWidth="1"/>
    <col min="34" max="34" width="25.7109375" customWidth="1"/>
    <col min="35" max="36" width="10.7109375" customWidth="1"/>
    <col min="37" max="37" width="11" customWidth="1"/>
    <col min="38" max="39" width="10.7109375" customWidth="1"/>
    <col min="40" max="40" width="11.5703125" customWidth="1"/>
    <col min="41" max="41" width="10.42578125" customWidth="1"/>
    <col min="42" max="42" width="10.85546875" customWidth="1"/>
    <col min="43" max="43" width="11.140625" customWidth="1"/>
    <col min="44" max="44" width="11.7109375" customWidth="1"/>
    <col min="45" max="45" width="9.85546875" customWidth="1"/>
    <col min="46" max="46" width="11.28515625" customWidth="1"/>
    <col min="47" max="47" width="10.140625" customWidth="1"/>
  </cols>
  <sheetData>
    <row r="1" spans="1:20" ht="18.75" x14ac:dyDescent="0.3">
      <c r="H1" s="1" t="s">
        <v>67</v>
      </c>
    </row>
    <row r="2" spans="1:20" ht="18.75" x14ac:dyDescent="0.3">
      <c r="H2" s="1" t="s">
        <v>68</v>
      </c>
    </row>
    <row r="4" spans="1:20" ht="15.75" x14ac:dyDescent="0.25">
      <c r="A4" s="2" t="s">
        <v>62</v>
      </c>
      <c r="H4" s="2" t="s">
        <v>62</v>
      </c>
      <c r="O4" s="2" t="s">
        <v>62</v>
      </c>
    </row>
    <row r="5" spans="1:20" ht="15.75" x14ac:dyDescent="0.25">
      <c r="A5" s="2" t="s">
        <v>65</v>
      </c>
      <c r="H5" s="2" t="s">
        <v>65</v>
      </c>
      <c r="O5" s="2" t="s">
        <v>65</v>
      </c>
    </row>
    <row r="6" spans="1:20" ht="15.75" x14ac:dyDescent="0.25">
      <c r="A6" s="16" t="s">
        <v>59</v>
      </c>
      <c r="B6" s="21" t="s">
        <v>62</v>
      </c>
      <c r="C6" s="16" t="s">
        <v>82</v>
      </c>
      <c r="D6" s="16" t="s">
        <v>64</v>
      </c>
      <c r="E6" s="16" t="s">
        <v>63</v>
      </c>
      <c r="F6" s="16" t="s">
        <v>18</v>
      </c>
      <c r="G6" s="16"/>
      <c r="H6" s="16" t="s">
        <v>12</v>
      </c>
      <c r="I6" s="21" t="s">
        <v>62</v>
      </c>
      <c r="J6" s="16" t="s">
        <v>82</v>
      </c>
      <c r="K6" s="16" t="s">
        <v>64</v>
      </c>
      <c r="L6" s="16" t="s">
        <v>63</v>
      </c>
      <c r="M6" s="17" t="s">
        <v>18</v>
      </c>
      <c r="N6" s="16"/>
      <c r="O6" s="16" t="s">
        <v>13</v>
      </c>
      <c r="P6" s="21" t="s">
        <v>62</v>
      </c>
      <c r="Q6" s="16" t="s">
        <v>82</v>
      </c>
      <c r="R6" s="16" t="s">
        <v>64</v>
      </c>
      <c r="S6" s="16" t="s">
        <v>63</v>
      </c>
      <c r="T6" s="16" t="s">
        <v>18</v>
      </c>
    </row>
    <row r="7" spans="1:20" x14ac:dyDescent="0.25">
      <c r="A7" s="16" t="s">
        <v>0</v>
      </c>
      <c r="B7" s="16" t="s">
        <v>1</v>
      </c>
      <c r="C7" s="17">
        <v>745262</v>
      </c>
      <c r="D7" s="17">
        <v>747729</v>
      </c>
      <c r="E7" s="17">
        <v>747341</v>
      </c>
      <c r="F7" s="17">
        <f>AVERAGE(Table143690117171105[[#This Row],[Teste 1]:[Teste 3]])</f>
        <v>746777.33333333337</v>
      </c>
      <c r="G7" s="16"/>
      <c r="H7" s="16" t="s">
        <v>0</v>
      </c>
      <c r="I7" s="16" t="s">
        <v>1</v>
      </c>
      <c r="J7" s="17">
        <v>345826</v>
      </c>
      <c r="K7" s="17">
        <v>375447</v>
      </c>
      <c r="L7" s="17">
        <v>359525</v>
      </c>
      <c r="M7" s="17">
        <f>AVERAGE(Table143690117171105120[[#This Row],[Teste 1]:[Teste 3]])</f>
        <v>360266</v>
      </c>
      <c r="N7" s="16"/>
      <c r="O7" s="16" t="s">
        <v>0</v>
      </c>
      <c r="P7" s="16" t="s">
        <v>1</v>
      </c>
      <c r="Q7" s="17">
        <v>150359</v>
      </c>
      <c r="R7" s="17">
        <v>163238</v>
      </c>
      <c r="S7" s="17">
        <v>156315</v>
      </c>
      <c r="T7" s="17">
        <f>AVERAGE(Table143690117171105138[[#This Row],[Teste 1]:[Teste 3]])</f>
        <v>156637.33333333334</v>
      </c>
    </row>
    <row r="8" spans="1:20" x14ac:dyDescent="0.25">
      <c r="A8" s="16" t="s">
        <v>0</v>
      </c>
      <c r="B8" s="16" t="s">
        <v>2</v>
      </c>
      <c r="C8" s="17">
        <v>142.286782603257</v>
      </c>
      <c r="D8" s="17">
        <v>133.738292884186</v>
      </c>
      <c r="E8" s="17">
        <v>133.807726325733</v>
      </c>
      <c r="F8" s="17">
        <f>AVERAGE(Table143690117171105[[#This Row],[Teste 1]:[Teste 3]])</f>
        <v>136.61093393772535</v>
      </c>
      <c r="G8" s="16"/>
      <c r="H8" s="16" t="s">
        <v>0</v>
      </c>
      <c r="I8" s="16" t="s">
        <v>2</v>
      </c>
      <c r="J8" s="17">
        <v>289.16000000000003</v>
      </c>
      <c r="K8" s="17">
        <v>266.35000000000002</v>
      </c>
      <c r="L8" s="17">
        <v>278.14999999999998</v>
      </c>
      <c r="M8" s="17">
        <f>AVERAGE(Table143690117171105120[[#This Row],[Teste 1]:[Teste 3]])</f>
        <v>277.88666666666666</v>
      </c>
      <c r="N8" s="16"/>
      <c r="O8" s="16" t="s">
        <v>0</v>
      </c>
      <c r="P8" s="16" t="s">
        <v>2</v>
      </c>
      <c r="Q8" s="17">
        <v>665.07492068981503</v>
      </c>
      <c r="R8" s="17">
        <v>612.60245776106001</v>
      </c>
      <c r="S8" s="17">
        <v>639.73387070978401</v>
      </c>
      <c r="T8" s="17">
        <f>AVERAGE(Table143690117171105138[[#This Row],[Teste 1]:[Teste 3]])</f>
        <v>639.13708305355306</v>
      </c>
    </row>
    <row r="9" spans="1:20" x14ac:dyDescent="0.25">
      <c r="A9" s="16" t="s">
        <v>3</v>
      </c>
      <c r="B9" s="16" t="s">
        <v>4</v>
      </c>
      <c r="C9" s="17">
        <v>1</v>
      </c>
      <c r="D9" s="17">
        <v>1</v>
      </c>
      <c r="E9" s="17">
        <v>1</v>
      </c>
      <c r="F9" s="17">
        <f>AVERAGE(Table143690117171105[[#This Row],[Teste 1]:[Teste 3]])</f>
        <v>1</v>
      </c>
      <c r="G9" s="16"/>
      <c r="H9" s="16" t="s">
        <v>3</v>
      </c>
      <c r="I9" s="16" t="s">
        <v>4</v>
      </c>
      <c r="J9" s="17">
        <v>1</v>
      </c>
      <c r="K9" s="17">
        <v>3</v>
      </c>
      <c r="L9" s="17">
        <v>1</v>
      </c>
      <c r="M9" s="17">
        <f>AVERAGE(Table143690117171105120[[#This Row],[Teste 1]:[Teste 3]])</f>
        <v>1.6666666666666667</v>
      </c>
      <c r="N9" s="16"/>
      <c r="O9" s="16" t="s">
        <v>3</v>
      </c>
      <c r="P9" s="16" t="s">
        <v>4</v>
      </c>
      <c r="Q9" s="17">
        <v>1</v>
      </c>
      <c r="R9" s="17">
        <v>1</v>
      </c>
      <c r="S9" s="17">
        <v>1</v>
      </c>
      <c r="T9" s="17">
        <f>AVERAGE(Table143690117171105138[[#This Row],[Teste 1]:[Teste 3]])</f>
        <v>1</v>
      </c>
    </row>
    <row r="10" spans="1:20" x14ac:dyDescent="0.25">
      <c r="A10" s="16" t="s">
        <v>3</v>
      </c>
      <c r="B10" s="16" t="s">
        <v>5</v>
      </c>
      <c r="C10" s="17">
        <v>10</v>
      </c>
      <c r="D10" s="17">
        <v>5</v>
      </c>
      <c r="E10" s="17">
        <v>6</v>
      </c>
      <c r="F10" s="17">
        <f>AVERAGE(Table143690117171105[[#This Row],[Teste 1]:[Teste 3]])</f>
        <v>7</v>
      </c>
      <c r="G10" s="16"/>
      <c r="H10" s="16" t="s">
        <v>3</v>
      </c>
      <c r="I10" s="16" t="s">
        <v>5</v>
      </c>
      <c r="J10" s="17">
        <v>4</v>
      </c>
      <c r="K10" s="17">
        <v>3</v>
      </c>
      <c r="L10" s="17">
        <v>4</v>
      </c>
      <c r="M10" s="17">
        <f>AVERAGE(Table143690117171105120[[#This Row],[Teste 1]:[Teste 3]])</f>
        <v>3.6666666666666665</v>
      </c>
      <c r="N10" s="16"/>
      <c r="O10" s="16" t="s">
        <v>3</v>
      </c>
      <c r="P10" s="16" t="s">
        <v>5</v>
      </c>
      <c r="Q10" s="17">
        <v>1070</v>
      </c>
      <c r="R10" s="17">
        <v>949</v>
      </c>
      <c r="S10" s="17">
        <v>1048</v>
      </c>
      <c r="T10" s="17">
        <f>AVERAGE(Table143690117171105138[[#This Row],[Teste 1]:[Teste 3]])</f>
        <v>1022.3333333333334</v>
      </c>
    </row>
    <row r="11" spans="1:20" x14ac:dyDescent="0.25">
      <c r="A11" s="16" t="s">
        <v>3</v>
      </c>
      <c r="B11" s="16" t="s">
        <v>6</v>
      </c>
      <c r="C11" s="17">
        <v>10</v>
      </c>
      <c r="D11" s="17">
        <v>5</v>
      </c>
      <c r="E11" s="17">
        <v>6</v>
      </c>
      <c r="F11" s="17">
        <f>AVERAGE(Table143690117171105[[#This Row],[Teste 1]:[Teste 3]])</f>
        <v>7</v>
      </c>
      <c r="G11" s="16"/>
      <c r="H11" s="16" t="s">
        <v>3</v>
      </c>
      <c r="I11" s="16" t="s">
        <v>6</v>
      </c>
      <c r="J11" s="17">
        <v>4</v>
      </c>
      <c r="K11" s="17">
        <v>3</v>
      </c>
      <c r="L11" s="17">
        <v>4</v>
      </c>
      <c r="M11" s="17">
        <f>AVERAGE(Table143690117171105120[[#This Row],[Teste 1]:[Teste 3]])</f>
        <v>3.6666666666666665</v>
      </c>
      <c r="N11" s="16"/>
      <c r="O11" s="16" t="s">
        <v>3</v>
      </c>
      <c r="P11" s="16" t="s">
        <v>6</v>
      </c>
      <c r="Q11" s="17">
        <v>1070</v>
      </c>
      <c r="R11" s="17">
        <v>949</v>
      </c>
      <c r="S11" s="17">
        <v>1048</v>
      </c>
      <c r="T11" s="17">
        <f>AVERAGE(Table143690117171105138[[#This Row],[Teste 1]:[Teste 3]])</f>
        <v>1022.3333333333334</v>
      </c>
    </row>
    <row r="12" spans="1:20" x14ac:dyDescent="0.25">
      <c r="A12" s="16" t="s">
        <v>3</v>
      </c>
      <c r="B12" s="16" t="s">
        <v>7</v>
      </c>
      <c r="C12" s="17">
        <v>10</v>
      </c>
      <c r="D12" s="17">
        <v>5</v>
      </c>
      <c r="E12" s="17">
        <v>6</v>
      </c>
      <c r="F12" s="17">
        <f>AVERAGE(Table143690117171105[[#This Row],[Teste 1]:[Teste 3]])</f>
        <v>7</v>
      </c>
      <c r="G12" s="16"/>
      <c r="H12" s="16" t="s">
        <v>3</v>
      </c>
      <c r="I12" s="16" t="s">
        <v>7</v>
      </c>
      <c r="J12" s="17">
        <v>4</v>
      </c>
      <c r="K12" s="17">
        <v>3</v>
      </c>
      <c r="L12" s="17">
        <v>4</v>
      </c>
      <c r="M12" s="17">
        <f>AVERAGE(Table143690117171105120[[#This Row],[Teste 1]:[Teste 3]])</f>
        <v>3.6666666666666665</v>
      </c>
      <c r="N12" s="16"/>
      <c r="O12" s="16" t="s">
        <v>3</v>
      </c>
      <c r="P12" s="16" t="s">
        <v>7</v>
      </c>
      <c r="Q12" s="17">
        <v>1070</v>
      </c>
      <c r="R12" s="17">
        <v>949</v>
      </c>
      <c r="S12" s="17">
        <v>1048</v>
      </c>
      <c r="T12" s="17">
        <f>AVERAGE(Table143690117171105138[[#This Row],[Teste 1]:[Teste 3]])</f>
        <v>1022.3333333333334</v>
      </c>
    </row>
    <row r="13" spans="1:20" x14ac:dyDescent="0.25">
      <c r="A13" s="16" t="s">
        <v>3</v>
      </c>
      <c r="B13" s="16" t="s">
        <v>8</v>
      </c>
      <c r="C13" s="17">
        <v>10</v>
      </c>
      <c r="D13" s="17">
        <v>5</v>
      </c>
      <c r="E13" s="17">
        <v>6</v>
      </c>
      <c r="F13" s="17">
        <f>AVERAGE(Table143690117171105[[#This Row],[Teste 1]:[Teste 3]])</f>
        <v>7</v>
      </c>
      <c r="G13" s="16"/>
      <c r="H13" s="16" t="s">
        <v>3</v>
      </c>
      <c r="I13" s="16" t="s">
        <v>8</v>
      </c>
      <c r="J13" s="17">
        <v>4</v>
      </c>
      <c r="K13" s="17">
        <v>3</v>
      </c>
      <c r="L13" s="17">
        <v>4</v>
      </c>
      <c r="M13" s="17">
        <f>AVERAGE(Table143690117171105120[[#This Row],[Teste 1]:[Teste 3]])</f>
        <v>3.6666666666666665</v>
      </c>
      <c r="N13" s="16"/>
      <c r="O13" s="16" t="s">
        <v>3</v>
      </c>
      <c r="P13" s="16" t="s">
        <v>8</v>
      </c>
      <c r="Q13" s="17">
        <v>1070</v>
      </c>
      <c r="R13" s="17">
        <v>949</v>
      </c>
      <c r="S13" s="17">
        <v>1048</v>
      </c>
      <c r="T13" s="17">
        <f>AVERAGE(Table143690117171105138[[#This Row],[Teste 1]:[Teste 3]])</f>
        <v>1022.3333333333334</v>
      </c>
    </row>
    <row r="14" spans="1:20" x14ac:dyDescent="0.25">
      <c r="A14" s="16" t="s">
        <v>3</v>
      </c>
      <c r="B14" s="16" t="s">
        <v>9</v>
      </c>
      <c r="C14" s="17">
        <v>10</v>
      </c>
      <c r="D14" s="17">
        <v>5</v>
      </c>
      <c r="E14" s="17">
        <v>6</v>
      </c>
      <c r="F14" s="17">
        <f>AVERAGE(Table143690117171105[[#This Row],[Teste 1]:[Teste 3]])</f>
        <v>7</v>
      </c>
      <c r="G14" s="16"/>
      <c r="H14" s="16" t="s">
        <v>3</v>
      </c>
      <c r="I14" s="16" t="s">
        <v>9</v>
      </c>
      <c r="J14" s="17">
        <v>4</v>
      </c>
      <c r="K14" s="17">
        <v>3</v>
      </c>
      <c r="L14" s="17">
        <v>4</v>
      </c>
      <c r="M14" s="17">
        <f>AVERAGE(Table143690117171105120[[#This Row],[Teste 1]:[Teste 3]])</f>
        <v>3.6666666666666665</v>
      </c>
      <c r="N14" s="16"/>
      <c r="O14" s="16" t="s">
        <v>3</v>
      </c>
      <c r="P14" s="16" t="s">
        <v>9</v>
      </c>
      <c r="Q14" s="17">
        <v>1070</v>
      </c>
      <c r="R14" s="17">
        <v>949</v>
      </c>
      <c r="S14" s="17">
        <v>1048</v>
      </c>
      <c r="T14" s="17">
        <f>AVERAGE(Table143690117171105138[[#This Row],[Teste 1]:[Teste 3]])</f>
        <v>1022.3333333333334</v>
      </c>
    </row>
    <row r="15" spans="1:20" x14ac:dyDescent="0.25">
      <c r="A15" s="16" t="s">
        <v>10</v>
      </c>
      <c r="B15" s="16" t="s">
        <v>4</v>
      </c>
      <c r="C15" s="17">
        <v>5025</v>
      </c>
      <c r="D15" s="17">
        <v>4971</v>
      </c>
      <c r="E15" s="17">
        <v>4959</v>
      </c>
      <c r="F15" s="17">
        <f>AVERAGE(Table143690117171105[[#This Row],[Teste 1]:[Teste 3]])</f>
        <v>4985</v>
      </c>
      <c r="G15" s="16"/>
      <c r="H15" s="16" t="s">
        <v>10</v>
      </c>
      <c r="I15" s="16" t="s">
        <v>4</v>
      </c>
      <c r="J15" s="17">
        <v>4870</v>
      </c>
      <c r="K15" s="17">
        <v>5054</v>
      </c>
      <c r="L15" s="17">
        <v>5023</v>
      </c>
      <c r="M15" s="17">
        <f>AVERAGE(Table143690117171105120[[#This Row],[Teste 1]:[Teste 3]])</f>
        <v>4982.333333333333</v>
      </c>
      <c r="N15" s="16"/>
      <c r="O15" s="16" t="s">
        <v>10</v>
      </c>
      <c r="P15" s="16" t="s">
        <v>4</v>
      </c>
      <c r="Q15" s="17">
        <v>4987</v>
      </c>
      <c r="R15" s="17">
        <v>5078</v>
      </c>
      <c r="S15" s="17">
        <v>5016</v>
      </c>
      <c r="T15" s="17">
        <f>AVERAGE(Table143690117171105138[[#This Row],[Teste 1]:[Teste 3]])</f>
        <v>5027</v>
      </c>
    </row>
    <row r="16" spans="1:20" x14ac:dyDescent="0.25">
      <c r="A16" s="16" t="s">
        <v>10</v>
      </c>
      <c r="B16" s="16" t="s">
        <v>5</v>
      </c>
      <c r="C16" s="17">
        <v>1406.41452736318</v>
      </c>
      <c r="D16" s="17">
        <v>863.85033192516596</v>
      </c>
      <c r="E16" s="17">
        <v>843.34865900383102</v>
      </c>
      <c r="F16" s="17">
        <f>AVERAGE(Table143690117171105[[#This Row],[Teste 1]:[Teste 3]])</f>
        <v>1037.8711727640591</v>
      </c>
      <c r="G16" s="16"/>
      <c r="H16" s="16" t="s">
        <v>10</v>
      </c>
      <c r="I16" s="16" t="s">
        <v>5</v>
      </c>
      <c r="J16" s="17">
        <v>1045.49</v>
      </c>
      <c r="K16" s="17">
        <v>1083.57</v>
      </c>
      <c r="L16" s="17">
        <v>1050.33</v>
      </c>
      <c r="M16" s="17">
        <f>AVERAGE(Table143690117171105120[[#This Row],[Teste 1]:[Teste 3]])</f>
        <v>1059.7966666666666</v>
      </c>
      <c r="N16" s="16"/>
      <c r="O16" s="16" t="s">
        <v>10</v>
      </c>
      <c r="P16" s="16" t="s">
        <v>5</v>
      </c>
      <c r="Q16" s="17">
        <v>454.55945458191297</v>
      </c>
      <c r="R16" s="17">
        <v>471.11894446632499</v>
      </c>
      <c r="S16" s="17">
        <v>456.66447368421001</v>
      </c>
      <c r="T16" s="17">
        <f>AVERAGE(Table143690117171105138[[#This Row],[Teste 1]:[Teste 3]])</f>
        <v>460.78095757748264</v>
      </c>
    </row>
    <row r="17" spans="1:20" x14ac:dyDescent="0.25">
      <c r="A17" s="16" t="s">
        <v>10</v>
      </c>
      <c r="B17" s="16" t="s">
        <v>6</v>
      </c>
      <c r="C17" s="17">
        <v>729</v>
      </c>
      <c r="D17" s="17">
        <v>393</v>
      </c>
      <c r="E17" s="17">
        <v>433</v>
      </c>
      <c r="F17" s="17">
        <f>AVERAGE(Table143690117171105[[#This Row],[Teste 1]:[Teste 3]])</f>
        <v>518.33333333333337</v>
      </c>
      <c r="G17" s="16"/>
      <c r="H17" s="16" t="s">
        <v>10</v>
      </c>
      <c r="I17" s="16" t="s">
        <v>6</v>
      </c>
      <c r="J17" s="17">
        <v>506</v>
      </c>
      <c r="K17" s="17">
        <v>495</v>
      </c>
      <c r="L17" s="17">
        <v>499</v>
      </c>
      <c r="M17" s="17">
        <f>AVERAGE(Table143690117171105120[[#This Row],[Teste 1]:[Teste 3]])</f>
        <v>500</v>
      </c>
      <c r="N17" s="16"/>
      <c r="O17" s="16" t="s">
        <v>10</v>
      </c>
      <c r="P17" s="16" t="s">
        <v>6</v>
      </c>
      <c r="Q17" s="17">
        <v>220</v>
      </c>
      <c r="R17" s="17">
        <v>215</v>
      </c>
      <c r="S17" s="17">
        <v>217</v>
      </c>
      <c r="T17" s="17">
        <f>AVERAGE(Table143690117171105138[[#This Row],[Teste 1]:[Teste 3]])</f>
        <v>217.33333333333334</v>
      </c>
    </row>
    <row r="18" spans="1:20" x14ac:dyDescent="0.25">
      <c r="A18" s="16" t="s">
        <v>10</v>
      </c>
      <c r="B18" s="16" t="s">
        <v>7</v>
      </c>
      <c r="C18" s="17">
        <v>46175</v>
      </c>
      <c r="D18" s="17">
        <v>12663</v>
      </c>
      <c r="E18" s="17">
        <v>5843</v>
      </c>
      <c r="F18" s="17">
        <f>AVERAGE(Table143690117171105[[#This Row],[Teste 1]:[Teste 3]])</f>
        <v>21560.333333333332</v>
      </c>
      <c r="G18" s="16"/>
      <c r="H18" s="16" t="s">
        <v>10</v>
      </c>
      <c r="I18" s="16" t="s">
        <v>7</v>
      </c>
      <c r="J18" s="17">
        <v>23366</v>
      </c>
      <c r="K18" s="17">
        <v>30468</v>
      </c>
      <c r="L18" s="17">
        <v>21507</v>
      </c>
      <c r="M18" s="17">
        <f>AVERAGE(Table143690117171105120[[#This Row],[Teste 1]:[Teste 3]])</f>
        <v>25113.666666666668</v>
      </c>
      <c r="N18" s="16"/>
      <c r="O18" s="16" t="s">
        <v>10</v>
      </c>
      <c r="P18" s="16" t="s">
        <v>7</v>
      </c>
      <c r="Q18" s="17">
        <v>10159</v>
      </c>
      <c r="R18" s="17">
        <v>13247</v>
      </c>
      <c r="S18" s="17">
        <v>9351</v>
      </c>
      <c r="T18" s="17">
        <f>AVERAGE(Table143690117171105138[[#This Row],[Teste 1]:[Teste 3]])</f>
        <v>10919</v>
      </c>
    </row>
    <row r="19" spans="1:20" x14ac:dyDescent="0.25">
      <c r="A19" s="16" t="s">
        <v>10</v>
      </c>
      <c r="B19" s="16" t="s">
        <v>8</v>
      </c>
      <c r="C19" s="17">
        <v>1753</v>
      </c>
      <c r="D19" s="17">
        <v>1210</v>
      </c>
      <c r="E19" s="17">
        <v>1211</v>
      </c>
      <c r="F19" s="17">
        <f>AVERAGE(Table143690117171105[[#This Row],[Teste 1]:[Teste 3]])</f>
        <v>1391.3333333333333</v>
      </c>
      <c r="G19" s="16"/>
      <c r="H19" s="16" t="s">
        <v>10</v>
      </c>
      <c r="I19" s="16" t="s">
        <v>8</v>
      </c>
      <c r="J19" s="17">
        <v>1417</v>
      </c>
      <c r="K19" s="17">
        <v>1534</v>
      </c>
      <c r="L19" s="17">
        <v>1465</v>
      </c>
      <c r="M19" s="17">
        <f>AVERAGE(Table143690117171105120[[#This Row],[Teste 1]:[Teste 3]])</f>
        <v>1472</v>
      </c>
      <c r="N19" s="16"/>
      <c r="O19" s="16" t="s">
        <v>10</v>
      </c>
      <c r="P19" s="16" t="s">
        <v>8</v>
      </c>
      <c r="Q19" s="17">
        <v>616</v>
      </c>
      <c r="R19" s="17">
        <v>667</v>
      </c>
      <c r="S19" s="17">
        <v>637</v>
      </c>
      <c r="T19" s="17">
        <f>AVERAGE(Table143690117171105138[[#This Row],[Teste 1]:[Teste 3]])</f>
        <v>640</v>
      </c>
    </row>
    <row r="20" spans="1:20" x14ac:dyDescent="0.25">
      <c r="A20" s="16" t="s">
        <v>10</v>
      </c>
      <c r="B20" s="16" t="s">
        <v>9</v>
      </c>
      <c r="C20" s="17">
        <v>3341</v>
      </c>
      <c r="D20" s="17">
        <v>2185</v>
      </c>
      <c r="E20" s="17">
        <v>2349</v>
      </c>
      <c r="F20" s="17">
        <f>AVERAGE(Table143690117171105[[#This Row],[Teste 1]:[Teste 3]])</f>
        <v>2625</v>
      </c>
      <c r="G20" s="16"/>
      <c r="H20" s="16" t="s">
        <v>10</v>
      </c>
      <c r="I20" s="16" t="s">
        <v>9</v>
      </c>
      <c r="J20" s="17">
        <v>1858</v>
      </c>
      <c r="K20" s="17">
        <v>2045</v>
      </c>
      <c r="L20" s="17">
        <v>1865</v>
      </c>
      <c r="M20" s="17">
        <f>AVERAGE(Table143690117171105120[[#This Row],[Teste 1]:[Teste 3]])</f>
        <v>1922.6666666666667</v>
      </c>
      <c r="N20" s="16"/>
      <c r="O20" s="16" t="s">
        <v>10</v>
      </c>
      <c r="P20" s="16" t="s">
        <v>9</v>
      </c>
      <c r="Q20" s="17">
        <v>808</v>
      </c>
      <c r="R20" s="17">
        <v>889</v>
      </c>
      <c r="S20" s="17">
        <v>811</v>
      </c>
      <c r="T20" s="17">
        <f>AVERAGE(Table143690117171105138[[#This Row],[Teste 1]:[Teste 3]])</f>
        <v>836</v>
      </c>
    </row>
    <row r="21" spans="1:20" x14ac:dyDescent="0.25">
      <c r="A21" s="16" t="s">
        <v>10</v>
      </c>
      <c r="B21" s="16" t="s">
        <v>11</v>
      </c>
      <c r="C21" s="17">
        <v>5025</v>
      </c>
      <c r="D21" s="17">
        <v>4971</v>
      </c>
      <c r="E21" s="17">
        <v>4959</v>
      </c>
      <c r="F21" s="17">
        <f>AVERAGE(Table143690117171105[[#This Row],[Teste 1]:[Teste 3]])</f>
        <v>4985</v>
      </c>
      <c r="G21" s="16"/>
      <c r="H21" s="16" t="s">
        <v>10</v>
      </c>
      <c r="I21" s="16" t="s">
        <v>11</v>
      </c>
      <c r="J21" s="17">
        <v>4870</v>
      </c>
      <c r="K21" s="17">
        <v>5054</v>
      </c>
      <c r="L21" s="17">
        <v>5023</v>
      </c>
      <c r="M21" s="17">
        <f>AVERAGE(Table143690117171105120[[#This Row],[Teste 1]:[Teste 3]])</f>
        <v>4982.333333333333</v>
      </c>
      <c r="N21" s="16"/>
      <c r="O21" s="16" t="s">
        <v>10</v>
      </c>
      <c r="P21" s="16" t="s">
        <v>11</v>
      </c>
      <c r="Q21" s="17">
        <v>4987</v>
      </c>
      <c r="R21" s="17">
        <v>5078</v>
      </c>
      <c r="S21" s="17">
        <v>5016</v>
      </c>
      <c r="T21" s="17">
        <f>AVERAGE(Table143690117171105138[[#This Row],[Teste 1]:[Teste 3]])</f>
        <v>5027</v>
      </c>
    </row>
    <row r="22" spans="1:20" x14ac:dyDescent="0.25">
      <c r="A22" s="16" t="s">
        <v>71</v>
      </c>
      <c r="B22" s="16" t="s">
        <v>4</v>
      </c>
      <c r="C22" s="17">
        <v>94975</v>
      </c>
      <c r="D22" s="17">
        <v>95029</v>
      </c>
      <c r="E22" s="17">
        <v>95041</v>
      </c>
      <c r="F22" s="17">
        <f>AVERAGE(Table143690117171105[[#This Row],[Teste 1]:[Teste 3]])</f>
        <v>95015</v>
      </c>
      <c r="G22" s="16"/>
      <c r="H22" s="16" t="s">
        <v>71</v>
      </c>
      <c r="I22" s="16" t="s">
        <v>4</v>
      </c>
      <c r="J22" s="17">
        <v>95130</v>
      </c>
      <c r="K22" s="17">
        <v>94946</v>
      </c>
      <c r="L22" s="17">
        <v>94977</v>
      </c>
      <c r="M22" s="17">
        <f>AVERAGE(Table143690117171105120[[#This Row],[Teste 1]:[Teste 3]])</f>
        <v>95017.666666666672</v>
      </c>
      <c r="N22" s="16"/>
      <c r="O22" s="16" t="s">
        <v>71</v>
      </c>
      <c r="P22" s="16" t="s">
        <v>4</v>
      </c>
      <c r="Q22" s="17">
        <v>95013</v>
      </c>
      <c r="R22" s="17">
        <v>94922</v>
      </c>
      <c r="S22" s="17">
        <v>94984</v>
      </c>
      <c r="T22" s="17">
        <f>AVERAGE(Table143690117171105138[[#This Row],[Teste 1]:[Teste 3]])</f>
        <v>94973</v>
      </c>
    </row>
    <row r="23" spans="1:20" x14ac:dyDescent="0.25">
      <c r="A23" s="16" t="s">
        <v>71</v>
      </c>
      <c r="B23" s="16" t="s">
        <v>5</v>
      </c>
      <c r="C23" s="17">
        <v>12679.415077652</v>
      </c>
      <c r="D23" s="17">
        <v>7800.2560165844097</v>
      </c>
      <c r="E23" s="17">
        <v>7796.1838890584004</v>
      </c>
      <c r="F23" s="17">
        <f>AVERAGE(Table143690117171105[[#This Row],[Teste 1]:[Teste 3]])</f>
        <v>9425.2849944316022</v>
      </c>
      <c r="G23" s="16"/>
      <c r="H23" s="16" t="s">
        <v>71</v>
      </c>
      <c r="I23" s="16" t="s">
        <v>5</v>
      </c>
      <c r="J23" s="17">
        <v>3543.28</v>
      </c>
      <c r="K23" s="17">
        <v>3856.33</v>
      </c>
      <c r="L23" s="17">
        <v>3689.52</v>
      </c>
      <c r="M23" s="17">
        <f>AVERAGE(Table143690117171105120[[#This Row],[Teste 1]:[Teste 3]])</f>
        <v>3696.376666666667</v>
      </c>
      <c r="N23" s="16"/>
      <c r="O23" s="16" t="s">
        <v>71</v>
      </c>
      <c r="P23" s="16" t="s">
        <v>5</v>
      </c>
      <c r="Q23" s="17">
        <v>1540.55592392619</v>
      </c>
      <c r="R23" s="17">
        <v>1676.66470365141</v>
      </c>
      <c r="S23" s="17">
        <v>1604.1376021224601</v>
      </c>
      <c r="T23" s="17">
        <f>AVERAGE(Table143690117171105138[[#This Row],[Teste 1]:[Teste 3]])</f>
        <v>1607.1194099000197</v>
      </c>
    </row>
    <row r="24" spans="1:20" x14ac:dyDescent="0.25">
      <c r="A24" s="16" t="s">
        <v>71</v>
      </c>
      <c r="B24" s="16" t="s">
        <v>6</v>
      </c>
      <c r="C24" s="17">
        <v>1922</v>
      </c>
      <c r="D24" s="17">
        <v>1020</v>
      </c>
      <c r="E24" s="17">
        <v>1091</v>
      </c>
      <c r="F24" s="17">
        <f>AVERAGE(Table143690117171105[[#This Row],[Teste 1]:[Teste 3]])</f>
        <v>1344.3333333333333</v>
      </c>
      <c r="G24" s="16"/>
      <c r="H24" s="16" t="s">
        <v>71</v>
      </c>
      <c r="I24" s="16" t="s">
        <v>6</v>
      </c>
      <c r="J24" s="17">
        <v>377</v>
      </c>
      <c r="K24" s="17">
        <v>380</v>
      </c>
      <c r="L24" s="17">
        <v>377</v>
      </c>
      <c r="M24" s="17">
        <f>AVERAGE(Table143690117171105120[[#This Row],[Teste 1]:[Teste 3]])</f>
        <v>378</v>
      </c>
      <c r="N24" s="16"/>
      <c r="O24" s="16" t="s">
        <v>71</v>
      </c>
      <c r="P24" s="16" t="s">
        <v>6</v>
      </c>
      <c r="Q24" s="17">
        <v>164</v>
      </c>
      <c r="R24" s="17">
        <v>165</v>
      </c>
      <c r="S24" s="17">
        <v>164</v>
      </c>
      <c r="T24" s="17">
        <f>AVERAGE(Table143690117171105138[[#This Row],[Teste 1]:[Teste 3]])</f>
        <v>164.33333333333334</v>
      </c>
    </row>
    <row r="25" spans="1:20" x14ac:dyDescent="0.25">
      <c r="A25" s="16" t="s">
        <v>71</v>
      </c>
      <c r="B25" s="16" t="s">
        <v>7</v>
      </c>
      <c r="C25" s="17">
        <v>267519</v>
      </c>
      <c r="D25" s="17">
        <v>82623</v>
      </c>
      <c r="E25" s="17">
        <v>75775</v>
      </c>
      <c r="F25" s="17">
        <f>AVERAGE(Table143690117171105[[#This Row],[Teste 1]:[Teste 3]])</f>
        <v>141972.33333333334</v>
      </c>
      <c r="G25" s="16"/>
      <c r="H25" s="16" t="s">
        <v>71</v>
      </c>
      <c r="I25" s="16" t="s">
        <v>7</v>
      </c>
      <c r="J25" s="17">
        <v>149406</v>
      </c>
      <c r="K25" s="17">
        <v>111870</v>
      </c>
      <c r="L25" s="17">
        <v>102375</v>
      </c>
      <c r="M25" s="17">
        <f>AVERAGE(Table143690117171105120[[#This Row],[Teste 1]:[Teste 3]])</f>
        <v>121217</v>
      </c>
      <c r="N25" s="16"/>
      <c r="O25" s="16" t="s">
        <v>71</v>
      </c>
      <c r="P25" s="16" t="s">
        <v>7</v>
      </c>
      <c r="Q25" s="17">
        <v>64959</v>
      </c>
      <c r="R25" s="17">
        <v>48639</v>
      </c>
      <c r="S25" s="17">
        <v>44511</v>
      </c>
      <c r="T25" s="17">
        <f>AVERAGE(Table143690117171105138[[#This Row],[Teste 1]:[Teste 3]])</f>
        <v>52703</v>
      </c>
    </row>
    <row r="26" spans="1:20" x14ac:dyDescent="0.25">
      <c r="A26" s="16" t="s">
        <v>71</v>
      </c>
      <c r="B26" s="16" t="s">
        <v>8</v>
      </c>
      <c r="C26" s="17">
        <v>22671</v>
      </c>
      <c r="D26" s="17">
        <v>17023</v>
      </c>
      <c r="E26" s="17">
        <v>17071</v>
      </c>
      <c r="F26" s="17">
        <f>AVERAGE(Table143690117171105[[#This Row],[Teste 1]:[Teste 3]])</f>
        <v>18921.666666666668</v>
      </c>
      <c r="G26" s="16"/>
      <c r="H26" s="16" t="s">
        <v>71</v>
      </c>
      <c r="I26" s="16" t="s">
        <v>8</v>
      </c>
      <c r="J26" s="17">
        <v>6079</v>
      </c>
      <c r="K26" s="17">
        <v>6916</v>
      </c>
      <c r="L26" s="17">
        <v>6447</v>
      </c>
      <c r="M26" s="17">
        <f>AVERAGE(Table143690117171105120[[#This Row],[Teste 1]:[Teste 3]])</f>
        <v>6480.666666666667</v>
      </c>
      <c r="N26" s="16"/>
      <c r="O26" s="16" t="s">
        <v>71</v>
      </c>
      <c r="P26" s="16" t="s">
        <v>8</v>
      </c>
      <c r="Q26" s="17">
        <v>2643</v>
      </c>
      <c r="R26" s="17">
        <v>3007</v>
      </c>
      <c r="S26" s="17">
        <v>2803</v>
      </c>
      <c r="T26" s="17">
        <f>AVERAGE(Table143690117171105138[[#This Row],[Teste 1]:[Teste 3]])</f>
        <v>2817.6666666666665</v>
      </c>
    </row>
    <row r="27" spans="1:20" x14ac:dyDescent="0.25">
      <c r="A27" s="16" t="s">
        <v>71</v>
      </c>
      <c r="B27" s="16" t="s">
        <v>9</v>
      </c>
      <c r="C27" s="17">
        <v>27807</v>
      </c>
      <c r="D27" s="17">
        <v>19775</v>
      </c>
      <c r="E27" s="17">
        <v>19967</v>
      </c>
      <c r="F27" s="17">
        <f>AVERAGE(Table143690117171105[[#This Row],[Teste 1]:[Teste 3]])</f>
        <v>22516.333333333332</v>
      </c>
      <c r="G27" s="16"/>
      <c r="H27" s="16" t="s">
        <v>71</v>
      </c>
      <c r="I27" s="16" t="s">
        <v>9</v>
      </c>
      <c r="J27" s="17">
        <v>6079</v>
      </c>
      <c r="K27" s="17">
        <v>6916</v>
      </c>
      <c r="L27" s="17">
        <v>6447</v>
      </c>
      <c r="M27" s="17">
        <f>AVERAGE(Table143690117171105120[[#This Row],[Teste 1]:[Teste 3]])</f>
        <v>6480.666666666667</v>
      </c>
      <c r="N27" s="16"/>
      <c r="O27" s="16" t="s">
        <v>71</v>
      </c>
      <c r="P27" s="16" t="s">
        <v>9</v>
      </c>
      <c r="Q27" s="17">
        <v>3365</v>
      </c>
      <c r="R27" s="17">
        <v>3869</v>
      </c>
      <c r="S27" s="17">
        <v>3551</v>
      </c>
      <c r="T27" s="17">
        <f>AVERAGE(Table143690117171105138[[#This Row],[Teste 1]:[Teste 3]])</f>
        <v>3595</v>
      </c>
    </row>
    <row r="28" spans="1:20" x14ac:dyDescent="0.25">
      <c r="A28" s="16" t="s">
        <v>71</v>
      </c>
      <c r="B28" s="16" t="s">
        <v>11</v>
      </c>
      <c r="C28" s="17">
        <v>94975</v>
      </c>
      <c r="D28" s="17">
        <v>95029</v>
      </c>
      <c r="E28" s="17">
        <v>95041</v>
      </c>
      <c r="F28" s="17">
        <f>AVERAGE(Table143690117171105[[#This Row],[Teste 1]:[Teste 3]])</f>
        <v>95015</v>
      </c>
      <c r="G28" s="16"/>
      <c r="H28" s="16" t="s">
        <v>71</v>
      </c>
      <c r="I28" s="16" t="s">
        <v>11</v>
      </c>
      <c r="J28" s="17">
        <v>95130</v>
      </c>
      <c r="K28" s="17">
        <v>94946</v>
      </c>
      <c r="L28" s="17">
        <v>94977</v>
      </c>
      <c r="M28" s="17">
        <f>AVERAGE(Table143690117171105120[[#This Row],[Teste 1]:[Teste 3]])</f>
        <v>95017.666666666672</v>
      </c>
      <c r="N28" s="16"/>
      <c r="O28" s="16" t="s">
        <v>71</v>
      </c>
      <c r="P28" s="16" t="s">
        <v>11</v>
      </c>
      <c r="Q28" s="17">
        <v>95013</v>
      </c>
      <c r="R28" s="17">
        <v>94922</v>
      </c>
      <c r="S28" s="17">
        <v>94984</v>
      </c>
      <c r="T28" s="17">
        <f>AVERAGE(Table143690117171105138[[#This Row],[Teste 1]:[Teste 3]])</f>
        <v>94973</v>
      </c>
    </row>
    <row r="29" spans="1:20" x14ac:dyDescent="0.25">
      <c r="A29" s="16"/>
      <c r="B29" s="16"/>
      <c r="C29" s="17"/>
      <c r="D29" s="17"/>
      <c r="E29" s="17"/>
      <c r="F29" s="17"/>
      <c r="G29" s="16"/>
      <c r="H29" s="16"/>
      <c r="I29" s="16"/>
      <c r="J29" s="17"/>
      <c r="K29" s="17"/>
      <c r="L29" s="17"/>
      <c r="M29" s="17"/>
      <c r="N29" s="16"/>
      <c r="O29" s="16"/>
      <c r="P29" s="16"/>
      <c r="Q29" s="17"/>
      <c r="R29" s="17"/>
      <c r="S29" s="17"/>
      <c r="T29" s="17"/>
    </row>
    <row r="30" spans="1:20" x14ac:dyDescent="0.25">
      <c r="A30" s="16"/>
      <c r="B30" s="16"/>
      <c r="C30" s="17"/>
      <c r="D30" s="17"/>
      <c r="E30" s="17"/>
      <c r="F30" s="17"/>
      <c r="G30" s="16"/>
      <c r="H30" s="16"/>
      <c r="I30" s="16"/>
      <c r="J30" s="17"/>
      <c r="K30" s="17"/>
      <c r="L30" s="17"/>
      <c r="M30" s="17"/>
      <c r="N30" s="16"/>
      <c r="O30" s="16"/>
      <c r="P30" s="16"/>
      <c r="Q30" s="17"/>
      <c r="R30" s="17"/>
      <c r="S30" s="17"/>
      <c r="T30" s="17"/>
    </row>
    <row r="31" spans="1:20" x14ac:dyDescent="0.25">
      <c r="A31" s="16"/>
      <c r="B31" s="16"/>
      <c r="C31" s="17"/>
      <c r="D31" s="17"/>
      <c r="E31" s="17"/>
      <c r="F31" s="17"/>
      <c r="G31" s="16"/>
      <c r="H31" s="16"/>
      <c r="I31" s="16"/>
      <c r="J31" s="17"/>
      <c r="K31" s="17"/>
      <c r="L31" s="17"/>
      <c r="M31" s="17"/>
      <c r="N31" s="16"/>
      <c r="O31" s="16"/>
      <c r="P31" s="16"/>
      <c r="Q31" s="17"/>
      <c r="R31" s="17"/>
      <c r="S31" s="17"/>
      <c r="T31" s="17"/>
    </row>
    <row r="33" spans="1:20" ht="15" customHeight="1" x14ac:dyDescent="0.25">
      <c r="A33" s="2" t="s">
        <v>74</v>
      </c>
      <c r="H33" s="2" t="s">
        <v>74</v>
      </c>
      <c r="O33" s="2" t="s">
        <v>74</v>
      </c>
    </row>
    <row r="34" spans="1:20" ht="15.75" x14ac:dyDescent="0.25">
      <c r="A34" s="16" t="s">
        <v>59</v>
      </c>
      <c r="B34" s="21" t="s">
        <v>62</v>
      </c>
      <c r="C34" s="16" t="s">
        <v>82</v>
      </c>
      <c r="D34" s="16" t="s">
        <v>64</v>
      </c>
      <c r="E34" s="16" t="s">
        <v>63</v>
      </c>
      <c r="F34" s="16" t="s">
        <v>18</v>
      </c>
      <c r="G34" s="16"/>
      <c r="H34" s="16" t="s">
        <v>12</v>
      </c>
      <c r="I34" s="21" t="s">
        <v>62</v>
      </c>
      <c r="J34" s="16" t="s">
        <v>82</v>
      </c>
      <c r="K34" s="16" t="s">
        <v>64</v>
      </c>
      <c r="L34" s="16" t="s">
        <v>63</v>
      </c>
      <c r="M34" s="16" t="s">
        <v>18</v>
      </c>
      <c r="N34" s="16"/>
      <c r="O34" s="16" t="s">
        <v>13</v>
      </c>
      <c r="P34" s="21" t="s">
        <v>62</v>
      </c>
      <c r="Q34" s="16" t="s">
        <v>82</v>
      </c>
      <c r="R34" s="16" t="s">
        <v>64</v>
      </c>
      <c r="S34" s="16" t="s">
        <v>63</v>
      </c>
      <c r="T34" s="16" t="s">
        <v>18</v>
      </c>
    </row>
    <row r="35" spans="1:20" x14ac:dyDescent="0.25">
      <c r="A35" s="16" t="s">
        <v>0</v>
      </c>
      <c r="B35" s="16" t="s">
        <v>1</v>
      </c>
      <c r="C35" s="17">
        <v>443305</v>
      </c>
      <c r="D35" s="17">
        <v>349917</v>
      </c>
      <c r="E35" s="17">
        <v>326006</v>
      </c>
      <c r="F35" s="17">
        <f>AVERAGE(Table143690117171105106[[#This Row],[Teste 1]:[Teste 3]])</f>
        <v>373076</v>
      </c>
      <c r="G35" s="16"/>
      <c r="H35" s="16" t="s">
        <v>0</v>
      </c>
      <c r="I35" s="16" t="s">
        <v>1</v>
      </c>
      <c r="J35" s="17">
        <v>183059</v>
      </c>
      <c r="K35" s="17">
        <v>172893</v>
      </c>
      <c r="L35" s="17">
        <v>187935</v>
      </c>
      <c r="M35" s="17">
        <f>AVERAGE(Table143690117171105106121[[#This Row],[Teste 1]:[Teste 3]])</f>
        <v>181295.66666666666</v>
      </c>
      <c r="N35" s="16"/>
      <c r="O35" s="16" t="s">
        <v>0</v>
      </c>
      <c r="P35" s="16" t="s">
        <v>1</v>
      </c>
      <c r="Q35" s="17">
        <v>79591</v>
      </c>
      <c r="R35" s="17">
        <v>75171</v>
      </c>
      <c r="S35" s="17">
        <v>81711</v>
      </c>
      <c r="T35" s="17">
        <f>AVERAGE(Table143690117171105106139[[#This Row],[Teste 1]:[Teste 3]])</f>
        <v>78824.333333333328</v>
      </c>
    </row>
    <row r="36" spans="1:20" x14ac:dyDescent="0.25">
      <c r="A36" s="16" t="s">
        <v>0</v>
      </c>
      <c r="B36" s="16" t="s">
        <v>2</v>
      </c>
      <c r="C36" s="17">
        <v>225.57832643439599</v>
      </c>
      <c r="D36" s="17">
        <v>285.78205688777598</v>
      </c>
      <c r="E36" s="17">
        <v>306.74282068428101</v>
      </c>
      <c r="F36" s="17">
        <f>AVERAGE(Table143690117171105106[[#This Row],[Teste 1]:[Teste 3]])</f>
        <v>272.70106800215098</v>
      </c>
      <c r="G36" s="16"/>
      <c r="H36" s="16" t="s">
        <v>0</v>
      </c>
      <c r="I36" s="16" t="s">
        <v>2</v>
      </c>
      <c r="J36" s="17">
        <v>546.27</v>
      </c>
      <c r="K36" s="17">
        <v>578.39</v>
      </c>
      <c r="L36" s="17">
        <v>532.09</v>
      </c>
      <c r="M36" s="17">
        <f>AVERAGE(Table143690117171105106121[[#This Row],[Teste 1]:[Teste 3]])</f>
        <v>552.25</v>
      </c>
      <c r="N36" s="16"/>
      <c r="O36" s="16" t="s">
        <v>0</v>
      </c>
      <c r="P36" s="16" t="s">
        <v>2</v>
      </c>
      <c r="Q36" s="17">
        <v>1256.4234649646301</v>
      </c>
      <c r="R36" s="17">
        <v>1330.3002487661399</v>
      </c>
      <c r="S36" s="17">
        <v>1223.82543354015</v>
      </c>
      <c r="T36" s="17">
        <f>AVERAGE(Table143690117171105106139[[#This Row],[Teste 1]:[Teste 3]])</f>
        <v>1270.1830490903067</v>
      </c>
    </row>
    <row r="37" spans="1:20" x14ac:dyDescent="0.25">
      <c r="A37" s="16" t="s">
        <v>3</v>
      </c>
      <c r="B37" s="16" t="s">
        <v>4</v>
      </c>
      <c r="C37" s="17">
        <v>3</v>
      </c>
      <c r="D37" s="17">
        <v>3</v>
      </c>
      <c r="E37" s="17">
        <v>3</v>
      </c>
      <c r="F37" s="17">
        <f>AVERAGE(Table143690117171105106[[#This Row],[Teste 1]:[Teste 3]])</f>
        <v>3</v>
      </c>
      <c r="G37" s="16"/>
      <c r="H37" s="16" t="s">
        <v>3</v>
      </c>
      <c r="I37" s="16" t="s">
        <v>4</v>
      </c>
      <c r="J37" s="17">
        <v>3</v>
      </c>
      <c r="K37" s="17">
        <v>3</v>
      </c>
      <c r="L37" s="17">
        <v>3</v>
      </c>
      <c r="M37" s="17">
        <f>AVERAGE(Table143690117171105106121[[#This Row],[Teste 1]:[Teste 3]])</f>
        <v>3</v>
      </c>
      <c r="N37" s="16"/>
      <c r="O37" s="16" t="s">
        <v>3</v>
      </c>
      <c r="P37" s="16" t="s">
        <v>4</v>
      </c>
      <c r="Q37" s="17">
        <v>3</v>
      </c>
      <c r="R37" s="17">
        <v>3</v>
      </c>
      <c r="S37" s="17">
        <v>3</v>
      </c>
      <c r="T37" s="17">
        <f>AVERAGE(Table143690117171105106139[[#This Row],[Teste 1]:[Teste 3]])</f>
        <v>3</v>
      </c>
    </row>
    <row r="38" spans="1:20" x14ac:dyDescent="0.25">
      <c r="A38" s="16" t="s">
        <v>3</v>
      </c>
      <c r="B38" s="16" t="s">
        <v>5</v>
      </c>
      <c r="C38" s="17">
        <v>5</v>
      </c>
      <c r="D38" s="17">
        <v>3</v>
      </c>
      <c r="E38" s="17">
        <v>3.3333333333333299</v>
      </c>
      <c r="F38" s="17">
        <f>AVERAGE(Table143690117171105106[[#This Row],[Teste 1]:[Teste 3]])</f>
        <v>3.7777777777777768</v>
      </c>
      <c r="G38" s="16"/>
      <c r="H38" s="16" t="s">
        <v>3</v>
      </c>
      <c r="I38" s="16" t="s">
        <v>5</v>
      </c>
      <c r="J38" s="17">
        <v>2.3332999999999999</v>
      </c>
      <c r="K38" s="17">
        <v>1.333</v>
      </c>
      <c r="L38" s="17">
        <v>2.3330000000000002</v>
      </c>
      <c r="M38" s="17">
        <f>AVERAGE(Table143690117171105106121[[#This Row],[Teste 1]:[Teste 3]])</f>
        <v>1.9997666666666667</v>
      </c>
      <c r="N38" s="16"/>
      <c r="O38" s="16" t="s">
        <v>3</v>
      </c>
      <c r="P38" s="16" t="s">
        <v>5</v>
      </c>
      <c r="Q38" s="17">
        <v>398.33333333333297</v>
      </c>
      <c r="R38" s="17">
        <v>523</v>
      </c>
      <c r="S38" s="17">
        <v>472.33333333333297</v>
      </c>
      <c r="T38" s="17">
        <f>AVERAGE(Table143690117171105106139[[#This Row],[Teste 1]:[Teste 3]])</f>
        <v>464.55555555555537</v>
      </c>
    </row>
    <row r="39" spans="1:20" x14ac:dyDescent="0.25">
      <c r="A39" s="16" t="s">
        <v>3</v>
      </c>
      <c r="B39" s="16" t="s">
        <v>6</v>
      </c>
      <c r="C39" s="17">
        <v>2</v>
      </c>
      <c r="D39" s="17">
        <v>1</v>
      </c>
      <c r="E39" s="17">
        <v>1</v>
      </c>
      <c r="F39" s="17">
        <f>AVERAGE(Table143690117171105106[[#This Row],[Teste 1]:[Teste 3]])</f>
        <v>1.3333333333333333</v>
      </c>
      <c r="G39" s="16"/>
      <c r="H39" s="16" t="s">
        <v>3</v>
      </c>
      <c r="I39" s="16" t="s">
        <v>6</v>
      </c>
      <c r="J39" s="17">
        <v>0</v>
      </c>
      <c r="K39" s="17">
        <v>0</v>
      </c>
      <c r="L39" s="17">
        <v>0</v>
      </c>
      <c r="M39" s="17">
        <f>AVERAGE(Table143690117171105106121[[#This Row],[Teste 1]:[Teste 3]])</f>
        <v>0</v>
      </c>
      <c r="N39" s="16"/>
      <c r="O39" s="16" t="s">
        <v>3</v>
      </c>
      <c r="P39" s="16" t="s">
        <v>6</v>
      </c>
      <c r="Q39" s="17">
        <v>2</v>
      </c>
      <c r="R39" s="17">
        <v>3</v>
      </c>
      <c r="S39" s="17">
        <v>3</v>
      </c>
      <c r="T39" s="17">
        <f>AVERAGE(Table143690117171105106139[[#This Row],[Teste 1]:[Teste 3]])</f>
        <v>2.6666666666666665</v>
      </c>
    </row>
    <row r="40" spans="1:20" x14ac:dyDescent="0.25">
      <c r="A40" s="16" t="s">
        <v>3</v>
      </c>
      <c r="B40" s="16" t="s">
        <v>7</v>
      </c>
      <c r="C40" s="17">
        <v>10</v>
      </c>
      <c r="D40" s="17">
        <v>6</v>
      </c>
      <c r="E40" s="17">
        <v>6</v>
      </c>
      <c r="F40" s="17">
        <f>AVERAGE(Table143690117171105106[[#This Row],[Teste 1]:[Teste 3]])</f>
        <v>7.333333333333333</v>
      </c>
      <c r="G40" s="16"/>
      <c r="H40" s="16" t="s">
        <v>3</v>
      </c>
      <c r="I40" s="16" t="s">
        <v>7</v>
      </c>
      <c r="J40" s="17">
        <v>7</v>
      </c>
      <c r="K40" s="17">
        <v>6</v>
      </c>
      <c r="L40" s="17">
        <v>7</v>
      </c>
      <c r="M40" s="17">
        <f>AVERAGE(Table143690117171105106121[[#This Row],[Teste 1]:[Teste 3]])</f>
        <v>6.666666666666667</v>
      </c>
      <c r="N40" s="16"/>
      <c r="O40" s="16" t="s">
        <v>3</v>
      </c>
      <c r="P40" s="16" t="s">
        <v>7</v>
      </c>
      <c r="Q40" s="17">
        <v>1180</v>
      </c>
      <c r="R40" s="17">
        <v>1552</v>
      </c>
      <c r="S40" s="17">
        <v>1395</v>
      </c>
      <c r="T40" s="17">
        <f>AVERAGE(Table143690117171105106139[[#This Row],[Teste 1]:[Teste 3]])</f>
        <v>1375.6666666666667</v>
      </c>
    </row>
    <row r="41" spans="1:20" x14ac:dyDescent="0.25">
      <c r="A41" s="16" t="s">
        <v>3</v>
      </c>
      <c r="B41" s="16" t="s">
        <v>8</v>
      </c>
      <c r="C41" s="17">
        <v>10</v>
      </c>
      <c r="D41" s="17">
        <v>6</v>
      </c>
      <c r="E41" s="17">
        <v>6</v>
      </c>
      <c r="F41" s="17">
        <f>AVERAGE(Table143690117171105106[[#This Row],[Teste 1]:[Teste 3]])</f>
        <v>7.333333333333333</v>
      </c>
      <c r="G41" s="16"/>
      <c r="H41" s="16" t="s">
        <v>3</v>
      </c>
      <c r="I41" s="16" t="s">
        <v>8</v>
      </c>
      <c r="J41" s="17">
        <v>7</v>
      </c>
      <c r="K41" s="17">
        <v>6</v>
      </c>
      <c r="L41" s="17">
        <v>7</v>
      </c>
      <c r="M41" s="17">
        <f>AVERAGE(Table143690117171105106121[[#This Row],[Teste 1]:[Teste 3]])</f>
        <v>6.666666666666667</v>
      </c>
      <c r="N41" s="16"/>
      <c r="O41" s="16" t="s">
        <v>3</v>
      </c>
      <c r="P41" s="16" t="s">
        <v>8</v>
      </c>
      <c r="Q41" s="17">
        <v>1180</v>
      </c>
      <c r="R41" s="17">
        <v>1552</v>
      </c>
      <c r="S41" s="17">
        <v>1395</v>
      </c>
      <c r="T41" s="17">
        <f>AVERAGE(Table143690117171105106139[[#This Row],[Teste 1]:[Teste 3]])</f>
        <v>1375.6666666666667</v>
      </c>
    </row>
    <row r="42" spans="1:20" x14ac:dyDescent="0.25">
      <c r="A42" s="16" t="s">
        <v>3</v>
      </c>
      <c r="B42" s="16" t="s">
        <v>9</v>
      </c>
      <c r="C42" s="17">
        <v>10</v>
      </c>
      <c r="D42" s="17">
        <v>6</v>
      </c>
      <c r="E42" s="17">
        <v>6</v>
      </c>
      <c r="F42" s="17">
        <f>AVERAGE(Table143690117171105106[[#This Row],[Teste 1]:[Teste 3]])</f>
        <v>7.333333333333333</v>
      </c>
      <c r="G42" s="16"/>
      <c r="H42" s="16" t="s">
        <v>3</v>
      </c>
      <c r="I42" s="16" t="s">
        <v>9</v>
      </c>
      <c r="J42" s="17">
        <v>7</v>
      </c>
      <c r="K42" s="17">
        <v>6</v>
      </c>
      <c r="L42" s="17">
        <v>7</v>
      </c>
      <c r="M42" s="17">
        <f>AVERAGE(Table143690117171105106121[[#This Row],[Teste 1]:[Teste 3]])</f>
        <v>6.666666666666667</v>
      </c>
      <c r="N42" s="16"/>
      <c r="O42" s="16" t="s">
        <v>3</v>
      </c>
      <c r="P42" s="16" t="s">
        <v>9</v>
      </c>
      <c r="Q42" s="17">
        <v>1180</v>
      </c>
      <c r="R42" s="17">
        <v>1552</v>
      </c>
      <c r="S42" s="17">
        <v>1395</v>
      </c>
      <c r="T42" s="17">
        <f>AVERAGE(Table143690117171105106139[[#This Row],[Teste 1]:[Teste 3]])</f>
        <v>1375.6666666666667</v>
      </c>
    </row>
    <row r="43" spans="1:20" x14ac:dyDescent="0.25">
      <c r="A43" s="16" t="s">
        <v>10</v>
      </c>
      <c r="B43" s="16" t="s">
        <v>4</v>
      </c>
      <c r="C43" s="17">
        <v>4870</v>
      </c>
      <c r="D43" s="17">
        <v>4983</v>
      </c>
      <c r="E43" s="17">
        <v>5023</v>
      </c>
      <c r="F43" s="17">
        <f>AVERAGE(Table143690117171105106[[#This Row],[Teste 1]:[Teste 3]])</f>
        <v>4958.666666666667</v>
      </c>
      <c r="G43" s="16"/>
      <c r="H43" s="16" t="s">
        <v>10</v>
      </c>
      <c r="I43" s="16" t="s">
        <v>4</v>
      </c>
      <c r="J43" s="17">
        <v>5025</v>
      </c>
      <c r="K43" s="17">
        <v>4987</v>
      </c>
      <c r="L43" s="17">
        <v>5016</v>
      </c>
      <c r="M43" s="17">
        <f>AVERAGE(Table143690117171105106121[[#This Row],[Teste 1]:[Teste 3]])</f>
        <v>5009.333333333333</v>
      </c>
      <c r="N43" s="16"/>
      <c r="O43" s="16" t="s">
        <v>10</v>
      </c>
      <c r="P43" s="16" t="s">
        <v>4</v>
      </c>
      <c r="Q43" s="17">
        <v>5049</v>
      </c>
      <c r="R43" s="17">
        <v>5054</v>
      </c>
      <c r="S43" s="17">
        <v>4953</v>
      </c>
      <c r="T43" s="17">
        <f>AVERAGE(Table143690117171105106139[[#This Row],[Teste 1]:[Teste 3]])</f>
        <v>5018.666666666667</v>
      </c>
    </row>
    <row r="44" spans="1:20" x14ac:dyDescent="0.25">
      <c r="A44" s="16" t="s">
        <v>10</v>
      </c>
      <c r="B44" s="16" t="s">
        <v>5</v>
      </c>
      <c r="C44" s="17">
        <v>1302.5437371663199</v>
      </c>
      <c r="D44" s="17">
        <v>770.71583383503901</v>
      </c>
      <c r="E44" s="17">
        <v>774.55743579534101</v>
      </c>
      <c r="F44" s="17">
        <f>AVERAGE(Table143690117171105106[[#This Row],[Teste 1]:[Teste 3]])</f>
        <v>949.27233559889999</v>
      </c>
      <c r="G44" s="16"/>
      <c r="H44" s="16" t="s">
        <v>10</v>
      </c>
      <c r="I44" s="16" t="s">
        <v>5</v>
      </c>
      <c r="J44" s="17">
        <v>1487.51</v>
      </c>
      <c r="K44" s="17">
        <v>1545.27</v>
      </c>
      <c r="L44" s="17">
        <v>1644.78</v>
      </c>
      <c r="M44" s="17">
        <f>AVERAGE(Table143690117171105106121[[#This Row],[Teste 1]:[Teste 3]])</f>
        <v>1559.1866666666665</v>
      </c>
      <c r="N44" s="16"/>
      <c r="O44" s="16" t="s">
        <v>10</v>
      </c>
      <c r="P44" s="16" t="s">
        <v>5</v>
      </c>
      <c r="Q44" s="17">
        <v>646.74351356704301</v>
      </c>
      <c r="R44" s="17">
        <v>671.85793430945705</v>
      </c>
      <c r="S44" s="17">
        <v>715.12033111245705</v>
      </c>
      <c r="T44" s="17">
        <f>AVERAGE(Table143690117171105106139[[#This Row],[Teste 1]:[Teste 3]])</f>
        <v>677.90725966298567</v>
      </c>
    </row>
    <row r="45" spans="1:20" x14ac:dyDescent="0.25">
      <c r="A45" s="16" t="s">
        <v>10</v>
      </c>
      <c r="B45" s="16" t="s">
        <v>6</v>
      </c>
      <c r="C45" s="17">
        <v>616</v>
      </c>
      <c r="D45" s="17">
        <v>404</v>
      </c>
      <c r="E45" s="17">
        <v>429</v>
      </c>
      <c r="F45" s="17">
        <f>AVERAGE(Table143690117171105106[[#This Row],[Teste 1]:[Teste 3]])</f>
        <v>483</v>
      </c>
      <c r="G45" s="16"/>
      <c r="H45" s="16" t="s">
        <v>10</v>
      </c>
      <c r="I45" s="16" t="s">
        <v>6</v>
      </c>
      <c r="J45" s="17">
        <v>531</v>
      </c>
      <c r="K45" s="17">
        <v>564</v>
      </c>
      <c r="L45" s="17">
        <v>547</v>
      </c>
      <c r="M45" s="17">
        <f>AVERAGE(Table143690117171105106121[[#This Row],[Teste 1]:[Teste 3]])</f>
        <v>547.33333333333337</v>
      </c>
      <c r="N45" s="16"/>
      <c r="O45" s="16" t="s">
        <v>10</v>
      </c>
      <c r="P45" s="16" t="s">
        <v>6</v>
      </c>
      <c r="Q45" s="17">
        <v>231</v>
      </c>
      <c r="R45" s="17">
        <v>245</v>
      </c>
      <c r="S45" s="17">
        <v>238</v>
      </c>
      <c r="T45" s="17">
        <f>AVERAGE(Table143690117171105106139[[#This Row],[Teste 1]:[Teste 3]])</f>
        <v>238</v>
      </c>
    </row>
    <row r="46" spans="1:20" x14ac:dyDescent="0.25">
      <c r="A46" s="16" t="s">
        <v>10</v>
      </c>
      <c r="B46" s="16" t="s">
        <v>7</v>
      </c>
      <c r="C46" s="17">
        <v>16495</v>
      </c>
      <c r="D46" s="17">
        <v>13647</v>
      </c>
      <c r="E46" s="17">
        <v>9279</v>
      </c>
      <c r="F46" s="17">
        <f>AVERAGE(Table143690117171105106[[#This Row],[Teste 1]:[Teste 3]])</f>
        <v>13140.333333333334</v>
      </c>
      <c r="G46" s="16"/>
      <c r="H46" s="16" t="s">
        <v>10</v>
      </c>
      <c r="I46" s="16" t="s">
        <v>7</v>
      </c>
      <c r="J46" s="17">
        <v>28941</v>
      </c>
      <c r="K46" s="17">
        <v>90011</v>
      </c>
      <c r="L46" s="17">
        <v>167511</v>
      </c>
      <c r="M46" s="17">
        <f>AVERAGE(Table143690117171105106121[[#This Row],[Teste 1]:[Teste 3]])</f>
        <v>95487.666666666672</v>
      </c>
      <c r="N46" s="16"/>
      <c r="O46" s="16" t="s">
        <v>10</v>
      </c>
      <c r="P46" s="16" t="s">
        <v>7</v>
      </c>
      <c r="Q46" s="17">
        <v>12583</v>
      </c>
      <c r="R46" s="17">
        <v>39135</v>
      </c>
      <c r="S46" s="17">
        <v>72831</v>
      </c>
      <c r="T46" s="17">
        <f>AVERAGE(Table143690117171105106139[[#This Row],[Teste 1]:[Teste 3]])</f>
        <v>41516.333333333336</v>
      </c>
    </row>
    <row r="47" spans="1:20" x14ac:dyDescent="0.25">
      <c r="A47" s="16" t="s">
        <v>10</v>
      </c>
      <c r="B47" s="16" t="s">
        <v>8</v>
      </c>
      <c r="C47" s="17">
        <v>1781</v>
      </c>
      <c r="D47" s="17">
        <v>1088</v>
      </c>
      <c r="E47" s="17">
        <v>1111</v>
      </c>
      <c r="F47" s="17">
        <f>AVERAGE(Table143690117171105106[[#This Row],[Teste 1]:[Teste 3]])</f>
        <v>1326.6666666666667</v>
      </c>
      <c r="G47" s="16"/>
      <c r="H47" s="16" t="s">
        <v>10</v>
      </c>
      <c r="I47" s="16" t="s">
        <v>8</v>
      </c>
      <c r="J47" s="17">
        <v>2203</v>
      </c>
      <c r="K47" s="17">
        <v>2279</v>
      </c>
      <c r="L47" s="17">
        <v>2364</v>
      </c>
      <c r="M47" s="17">
        <f>AVERAGE(Table143690117171105106121[[#This Row],[Teste 1]:[Teste 3]])</f>
        <v>2282</v>
      </c>
      <c r="N47" s="16"/>
      <c r="O47" s="16" t="s">
        <v>10</v>
      </c>
      <c r="P47" s="16" t="s">
        <v>8</v>
      </c>
      <c r="Q47" s="17">
        <v>958</v>
      </c>
      <c r="R47" s="17">
        <v>991</v>
      </c>
      <c r="S47" s="17">
        <v>1028</v>
      </c>
      <c r="T47" s="17">
        <f>AVERAGE(Table143690117171105106139[[#This Row],[Teste 1]:[Teste 3]])</f>
        <v>992.33333333333337</v>
      </c>
    </row>
    <row r="48" spans="1:20" x14ac:dyDescent="0.25">
      <c r="A48" s="16" t="s">
        <v>10</v>
      </c>
      <c r="B48" s="16" t="s">
        <v>9</v>
      </c>
      <c r="C48" s="17">
        <v>3181</v>
      </c>
      <c r="D48" s="17">
        <v>1446</v>
      </c>
      <c r="E48" s="17">
        <v>1909</v>
      </c>
      <c r="F48" s="17">
        <f>AVERAGE(Table143690117171105106[[#This Row],[Teste 1]:[Teste 3]])</f>
        <v>2178.6666666666665</v>
      </c>
      <c r="G48" s="16"/>
      <c r="H48" s="16" t="s">
        <v>10</v>
      </c>
      <c r="I48" s="16" t="s">
        <v>9</v>
      </c>
      <c r="J48" s="17">
        <v>3075</v>
      </c>
      <c r="K48" s="17">
        <v>3199</v>
      </c>
      <c r="L48" s="17">
        <v>3990</v>
      </c>
      <c r="M48" s="17">
        <f>AVERAGE(Table143690117171105106121[[#This Row],[Teste 1]:[Teste 3]])</f>
        <v>3421.3333333333335</v>
      </c>
      <c r="N48" s="16"/>
      <c r="O48" s="16" t="s">
        <v>10</v>
      </c>
      <c r="P48" s="16" t="s">
        <v>9</v>
      </c>
      <c r="Q48" s="17">
        <v>1337</v>
      </c>
      <c r="R48" s="17">
        <v>1391</v>
      </c>
      <c r="S48" s="17">
        <v>1735</v>
      </c>
      <c r="T48" s="17">
        <f>AVERAGE(Table143690117171105106139[[#This Row],[Teste 1]:[Teste 3]])</f>
        <v>1487.6666666666667</v>
      </c>
    </row>
    <row r="49" spans="1:20" x14ac:dyDescent="0.25">
      <c r="A49" s="16" t="s">
        <v>10</v>
      </c>
      <c r="B49" s="16" t="s">
        <v>11</v>
      </c>
      <c r="C49" s="17">
        <v>4870</v>
      </c>
      <c r="D49" s="17">
        <v>4983</v>
      </c>
      <c r="E49" s="17">
        <v>5023</v>
      </c>
      <c r="F49" s="17">
        <f>AVERAGE(Table143690117171105106[[#This Row],[Teste 1]:[Teste 3]])</f>
        <v>4958.666666666667</v>
      </c>
      <c r="G49" s="16"/>
      <c r="H49" s="16" t="s">
        <v>10</v>
      </c>
      <c r="I49" s="16" t="s">
        <v>11</v>
      </c>
      <c r="J49" s="17">
        <v>5025</v>
      </c>
      <c r="K49" s="17">
        <v>4987</v>
      </c>
      <c r="L49" s="17">
        <v>5016</v>
      </c>
      <c r="M49" s="17">
        <f>AVERAGE(Table143690117171105106121[[#This Row],[Teste 1]:[Teste 3]])</f>
        <v>5009.333333333333</v>
      </c>
      <c r="N49" s="16"/>
      <c r="O49" s="16" t="s">
        <v>10</v>
      </c>
      <c r="P49" s="16" t="s">
        <v>11</v>
      </c>
      <c r="Q49" s="17">
        <v>5049</v>
      </c>
      <c r="R49" s="17">
        <v>5054</v>
      </c>
      <c r="S49" s="17">
        <v>4953</v>
      </c>
      <c r="T49" s="17">
        <f>AVERAGE(Table143690117171105106139[[#This Row],[Teste 1]:[Teste 3]])</f>
        <v>5018.666666666667</v>
      </c>
    </row>
    <row r="50" spans="1:20" x14ac:dyDescent="0.25">
      <c r="A50" s="16" t="s">
        <v>71</v>
      </c>
      <c r="B50" s="16" t="s">
        <v>4</v>
      </c>
      <c r="C50" s="17">
        <v>95130</v>
      </c>
      <c r="D50" s="17">
        <v>95017</v>
      </c>
      <c r="E50" s="17">
        <v>94977</v>
      </c>
      <c r="F50" s="17">
        <f>AVERAGE(Table143690117171105106[[#This Row],[Teste 1]:[Teste 3]])</f>
        <v>95041.333333333328</v>
      </c>
      <c r="G50" s="16"/>
      <c r="H50" s="16" t="s">
        <v>71</v>
      </c>
      <c r="I50" s="16" t="s">
        <v>4</v>
      </c>
      <c r="J50" s="17">
        <v>94975</v>
      </c>
      <c r="K50" s="17">
        <v>95013</v>
      </c>
      <c r="L50" s="17">
        <v>94984</v>
      </c>
      <c r="M50" s="17">
        <f>AVERAGE(Table143690117171105106121[[#This Row],[Teste 1]:[Teste 3]])</f>
        <v>94990.666666666672</v>
      </c>
      <c r="N50" s="16"/>
      <c r="O50" s="16" t="s">
        <v>71</v>
      </c>
      <c r="P50" s="16" t="s">
        <v>4</v>
      </c>
      <c r="Q50" s="17">
        <v>94951</v>
      </c>
      <c r="R50" s="17">
        <v>94946</v>
      </c>
      <c r="S50" s="17">
        <v>95047</v>
      </c>
      <c r="T50" s="17">
        <f>AVERAGE(Table143690117171105106139[[#This Row],[Teste 1]:[Teste 3]])</f>
        <v>94981.333333333328</v>
      </c>
    </row>
    <row r="51" spans="1:20" x14ac:dyDescent="0.25">
      <c r="A51" s="16" t="s">
        <v>71</v>
      </c>
      <c r="B51" s="16" t="s">
        <v>5</v>
      </c>
      <c r="C51" s="17">
        <v>13812.8154525386</v>
      </c>
      <c r="D51" s="17">
        <v>10938.1851142427</v>
      </c>
      <c r="E51" s="17">
        <v>10197.7467386841</v>
      </c>
      <c r="F51" s="17">
        <f>AVERAGE(Table143690117171105106[[#This Row],[Teste 1]:[Teste 3]])</f>
        <v>11649.582435155135</v>
      </c>
      <c r="G51" s="16"/>
      <c r="H51" s="16" t="s">
        <v>71</v>
      </c>
      <c r="I51" s="16" t="s">
        <v>5</v>
      </c>
      <c r="J51" s="17">
        <v>5596.98</v>
      </c>
      <c r="K51" s="17">
        <v>5273.9</v>
      </c>
      <c r="L51" s="17">
        <v>5751.93</v>
      </c>
      <c r="M51" s="17">
        <f>AVERAGE(Table143690117171105106121[[#This Row],[Teste 1]:[Teste 3]])</f>
        <v>5540.9366666666656</v>
      </c>
      <c r="N51" s="16"/>
      <c r="O51" s="16" t="s">
        <v>71</v>
      </c>
      <c r="P51" s="16" t="s">
        <v>5</v>
      </c>
      <c r="Q51" s="17">
        <v>2433.4692104348501</v>
      </c>
      <c r="R51" s="17">
        <v>2293.0009057780198</v>
      </c>
      <c r="S51" s="17">
        <v>2500.8383957410501</v>
      </c>
      <c r="T51" s="17">
        <f>AVERAGE(Table143690117171105106139[[#This Row],[Teste 1]:[Teste 3]])</f>
        <v>2409.1028373179729</v>
      </c>
    </row>
    <row r="52" spans="1:20" x14ac:dyDescent="0.25">
      <c r="A52" s="16" t="s">
        <v>71</v>
      </c>
      <c r="B52" s="16" t="s">
        <v>6</v>
      </c>
      <c r="C52" s="17">
        <v>1214</v>
      </c>
      <c r="D52" s="17">
        <v>978</v>
      </c>
      <c r="E52" s="17">
        <v>868</v>
      </c>
      <c r="F52" s="17">
        <f>AVERAGE(Table143690117171105106[[#This Row],[Teste 1]:[Teste 3]])</f>
        <v>1020</v>
      </c>
      <c r="G52" s="16"/>
      <c r="H52" s="16" t="s">
        <v>71</v>
      </c>
      <c r="I52" s="16" t="s">
        <v>6</v>
      </c>
      <c r="J52" s="17">
        <v>391</v>
      </c>
      <c r="K52" s="17">
        <v>407</v>
      </c>
      <c r="L52" s="17">
        <v>444</v>
      </c>
      <c r="M52" s="17">
        <f>AVERAGE(Table143690117171105106121[[#This Row],[Teste 1]:[Teste 3]])</f>
        <v>414</v>
      </c>
      <c r="N52" s="16"/>
      <c r="O52" s="16" t="s">
        <v>71</v>
      </c>
      <c r="P52" s="16" t="s">
        <v>6</v>
      </c>
      <c r="Q52" s="17">
        <v>170</v>
      </c>
      <c r="R52" s="17">
        <v>177</v>
      </c>
      <c r="S52" s="17">
        <v>193</v>
      </c>
      <c r="T52" s="17">
        <f>AVERAGE(Table143690117171105106139[[#This Row],[Teste 1]:[Teste 3]])</f>
        <v>180</v>
      </c>
    </row>
    <row r="53" spans="1:20" x14ac:dyDescent="0.25">
      <c r="A53" s="16" t="s">
        <v>71</v>
      </c>
      <c r="B53" s="16" t="s">
        <v>7</v>
      </c>
      <c r="C53" s="17">
        <v>271871</v>
      </c>
      <c r="D53" s="17">
        <v>119615</v>
      </c>
      <c r="E53" s="17">
        <v>95807</v>
      </c>
      <c r="F53" s="17">
        <f>AVERAGE(Table143690117171105106[[#This Row],[Teste 1]:[Teste 3]])</f>
        <v>162431</v>
      </c>
      <c r="G53" s="16"/>
      <c r="H53" s="16" t="s">
        <v>71</v>
      </c>
      <c r="I53" s="16" t="s">
        <v>7</v>
      </c>
      <c r="J53" s="17">
        <v>86625</v>
      </c>
      <c r="K53" s="17">
        <v>124971</v>
      </c>
      <c r="L53" s="17">
        <v>323249</v>
      </c>
      <c r="M53" s="17">
        <f>AVERAGE(Table143690117171105106121[[#This Row],[Teste 1]:[Teste 3]])</f>
        <v>178281.66666666666</v>
      </c>
      <c r="N53" s="16"/>
      <c r="O53" s="16" t="s">
        <v>71</v>
      </c>
      <c r="P53" s="16" t="s">
        <v>7</v>
      </c>
      <c r="Q53" s="17">
        <v>37663</v>
      </c>
      <c r="R53" s="17">
        <v>54335</v>
      </c>
      <c r="S53" s="17">
        <v>140543</v>
      </c>
      <c r="T53" s="17">
        <f>AVERAGE(Table143690117171105106139[[#This Row],[Teste 1]:[Teste 3]])</f>
        <v>77513.666666666672</v>
      </c>
    </row>
    <row r="54" spans="1:20" x14ac:dyDescent="0.25">
      <c r="A54" s="16" t="s">
        <v>71</v>
      </c>
      <c r="B54" s="16" t="s">
        <v>8</v>
      </c>
      <c r="C54" s="17">
        <v>24511</v>
      </c>
      <c r="D54" s="17">
        <v>18879</v>
      </c>
      <c r="E54" s="17">
        <v>18511</v>
      </c>
      <c r="F54" s="17">
        <f>AVERAGE(Table143690117171105106[[#This Row],[Teste 1]:[Teste 3]])</f>
        <v>20633.666666666668</v>
      </c>
      <c r="G54" s="16"/>
      <c r="H54" s="16" t="s">
        <v>71</v>
      </c>
      <c r="I54" s="16" t="s">
        <v>8</v>
      </c>
      <c r="J54" s="17">
        <v>9989</v>
      </c>
      <c r="K54" s="17">
        <v>9409</v>
      </c>
      <c r="L54" s="17">
        <v>10293</v>
      </c>
      <c r="M54" s="17">
        <f>AVERAGE(Table143690117171105106121[[#This Row],[Teste 1]:[Teste 3]])</f>
        <v>9897</v>
      </c>
      <c r="N54" s="16"/>
      <c r="O54" s="16" t="s">
        <v>71</v>
      </c>
      <c r="P54" s="16" t="s">
        <v>8</v>
      </c>
      <c r="Q54" s="17">
        <v>4343</v>
      </c>
      <c r="R54" s="17">
        <v>4091</v>
      </c>
      <c r="S54" s="17">
        <v>4475</v>
      </c>
      <c r="T54" s="17">
        <f>AVERAGE(Table143690117171105106139[[#This Row],[Teste 1]:[Teste 3]])</f>
        <v>4303</v>
      </c>
    </row>
    <row r="55" spans="1:20" x14ac:dyDescent="0.25">
      <c r="A55" s="16" t="s">
        <v>71</v>
      </c>
      <c r="B55" s="16" t="s">
        <v>9</v>
      </c>
      <c r="C55" s="17">
        <v>29231</v>
      </c>
      <c r="D55" s="17">
        <v>21135</v>
      </c>
      <c r="E55" s="17">
        <v>20831</v>
      </c>
      <c r="F55" s="17">
        <f>AVERAGE(Table143690117171105106[[#This Row],[Teste 1]:[Teste 3]])</f>
        <v>23732.333333333332</v>
      </c>
      <c r="G55" s="16"/>
      <c r="H55" s="16" t="s">
        <v>71</v>
      </c>
      <c r="I55" s="16" t="s">
        <v>9</v>
      </c>
      <c r="J55" s="17">
        <v>13301</v>
      </c>
      <c r="K55" s="17">
        <v>12445</v>
      </c>
      <c r="L55" s="17">
        <v>14304</v>
      </c>
      <c r="M55" s="17">
        <f>AVERAGE(Table143690117171105106121[[#This Row],[Teste 1]:[Teste 3]])</f>
        <v>13350</v>
      </c>
      <c r="N55" s="16"/>
      <c r="O55" s="16" t="s">
        <v>71</v>
      </c>
      <c r="P55" s="16" t="s">
        <v>9</v>
      </c>
      <c r="Q55" s="17">
        <v>5783</v>
      </c>
      <c r="R55" s="17">
        <v>5411</v>
      </c>
      <c r="S55" s="17">
        <v>6219</v>
      </c>
      <c r="T55" s="17">
        <f>AVERAGE(Table143690117171105106139[[#This Row],[Teste 1]:[Teste 3]])</f>
        <v>5804.333333333333</v>
      </c>
    </row>
    <row r="56" spans="1:20" x14ac:dyDescent="0.25">
      <c r="A56" s="16" t="s">
        <v>71</v>
      </c>
      <c r="B56" s="16" t="s">
        <v>11</v>
      </c>
      <c r="C56" s="17">
        <v>95130</v>
      </c>
      <c r="D56" s="17">
        <v>95017</v>
      </c>
      <c r="E56" s="17">
        <v>94977</v>
      </c>
      <c r="F56" s="17">
        <f>AVERAGE(Table143690117171105106[[#This Row],[Teste 1]:[Teste 3]])</f>
        <v>95041.333333333328</v>
      </c>
      <c r="G56" s="16"/>
      <c r="H56" s="16" t="s">
        <v>71</v>
      </c>
      <c r="I56" s="16" t="s">
        <v>11</v>
      </c>
      <c r="J56" s="17">
        <v>94975</v>
      </c>
      <c r="K56" s="17">
        <v>95013</v>
      </c>
      <c r="L56" s="17">
        <v>94984</v>
      </c>
      <c r="M56" s="17">
        <f>AVERAGE(Table143690117171105106121[[#This Row],[Teste 1]:[Teste 3]])</f>
        <v>94990.666666666672</v>
      </c>
      <c r="N56" s="16"/>
      <c r="O56" s="16" t="s">
        <v>71</v>
      </c>
      <c r="P56" s="16" t="s">
        <v>11</v>
      </c>
      <c r="Q56" s="17">
        <v>94951</v>
      </c>
      <c r="R56" s="17">
        <v>94946</v>
      </c>
      <c r="S56" s="17">
        <v>95047</v>
      </c>
      <c r="T56" s="17">
        <f>AVERAGE(Table143690117171105106139[[#This Row],[Teste 1]:[Teste 3]])</f>
        <v>94981.333333333328</v>
      </c>
    </row>
    <row r="57" spans="1:20" x14ac:dyDescent="0.25">
      <c r="A57" s="16"/>
      <c r="B57" s="16"/>
      <c r="C57" s="17"/>
      <c r="D57" s="17"/>
      <c r="E57" s="17"/>
      <c r="F57" s="17"/>
      <c r="G57" s="16"/>
      <c r="H57" s="16"/>
      <c r="I57" s="16"/>
      <c r="J57" s="17"/>
      <c r="K57" s="17"/>
      <c r="L57" s="17"/>
      <c r="M57" s="17"/>
      <c r="N57" s="16"/>
      <c r="O57" s="16"/>
      <c r="P57" s="16"/>
      <c r="Q57" s="17"/>
      <c r="R57" s="17"/>
      <c r="S57" s="17"/>
      <c r="T57" s="17"/>
    </row>
    <row r="58" spans="1:20" x14ac:dyDescent="0.25">
      <c r="A58" s="16"/>
      <c r="B58" s="16"/>
      <c r="C58" s="17"/>
      <c r="D58" s="17"/>
      <c r="E58" s="17"/>
      <c r="F58" s="17"/>
      <c r="G58" s="16"/>
      <c r="H58" s="16"/>
      <c r="I58" s="16"/>
      <c r="J58" s="17"/>
      <c r="K58" s="17"/>
      <c r="L58" s="17"/>
      <c r="M58" s="17"/>
      <c r="N58" s="16"/>
      <c r="O58" s="16"/>
      <c r="P58" s="16"/>
      <c r="Q58" s="17"/>
      <c r="R58" s="17"/>
      <c r="S58" s="17"/>
      <c r="T58" s="17"/>
    </row>
    <row r="59" spans="1:20" x14ac:dyDescent="0.25">
      <c r="A59" s="16"/>
      <c r="B59" s="16"/>
      <c r="C59" s="17"/>
      <c r="D59" s="17"/>
      <c r="E59" s="17"/>
      <c r="F59" s="17"/>
      <c r="G59" s="16"/>
      <c r="H59" s="16"/>
      <c r="I59" s="16"/>
      <c r="J59" s="17"/>
      <c r="K59" s="17"/>
      <c r="L59" s="17"/>
      <c r="M59" s="17"/>
      <c r="N59" s="16"/>
      <c r="O59" s="16"/>
      <c r="P59" s="16"/>
      <c r="Q59" s="17"/>
      <c r="R59" s="17"/>
      <c r="S59" s="17"/>
      <c r="T59" s="17"/>
    </row>
    <row r="61" spans="1:20" ht="15.75" x14ac:dyDescent="0.25">
      <c r="A61" s="2" t="s">
        <v>73</v>
      </c>
      <c r="H61" s="2" t="s">
        <v>73</v>
      </c>
      <c r="O61" s="2" t="s">
        <v>73</v>
      </c>
    </row>
    <row r="62" spans="1:20" ht="15.75" x14ac:dyDescent="0.25">
      <c r="A62" s="16" t="s">
        <v>59</v>
      </c>
      <c r="B62" s="21" t="s">
        <v>62</v>
      </c>
      <c r="C62" s="16" t="s">
        <v>82</v>
      </c>
      <c r="D62" s="16" t="s">
        <v>64</v>
      </c>
      <c r="E62" s="16" t="s">
        <v>63</v>
      </c>
      <c r="F62" s="16" t="s">
        <v>18</v>
      </c>
      <c r="G62" s="16"/>
      <c r="H62" s="16" t="s">
        <v>12</v>
      </c>
      <c r="I62" s="21" t="s">
        <v>62</v>
      </c>
      <c r="J62" s="16" t="s">
        <v>82</v>
      </c>
      <c r="K62" s="16" t="s">
        <v>64</v>
      </c>
      <c r="L62" s="16" t="s">
        <v>63</v>
      </c>
      <c r="M62" s="16" t="s">
        <v>18</v>
      </c>
      <c r="N62" s="16"/>
      <c r="O62" s="16" t="s">
        <v>13</v>
      </c>
      <c r="P62" s="21" t="s">
        <v>62</v>
      </c>
      <c r="Q62" s="16" t="s">
        <v>82</v>
      </c>
      <c r="R62" s="16" t="s">
        <v>64</v>
      </c>
      <c r="S62" s="16" t="s">
        <v>63</v>
      </c>
      <c r="T62" s="16" t="s">
        <v>18</v>
      </c>
    </row>
    <row r="63" spans="1:20" x14ac:dyDescent="0.25">
      <c r="A63" s="16" t="s">
        <v>0</v>
      </c>
      <c r="B63" s="16" t="s">
        <v>1</v>
      </c>
      <c r="C63" s="17">
        <v>197528</v>
      </c>
      <c r="D63" s="17">
        <v>202795</v>
      </c>
      <c r="E63" s="17">
        <v>205307</v>
      </c>
      <c r="F63" s="17">
        <f>AVERAGE(Table143690117171105107[[#This Row],[Teste 1]:[Teste 3]])</f>
        <v>201876.66666666666</v>
      </c>
      <c r="G63" s="16"/>
      <c r="H63" s="16" t="s">
        <v>0</v>
      </c>
      <c r="I63" s="16" t="s">
        <v>1</v>
      </c>
      <c r="J63" s="17">
        <v>161911</v>
      </c>
      <c r="K63" s="17">
        <v>161824</v>
      </c>
      <c r="L63" s="17">
        <v>169510</v>
      </c>
      <c r="M63" s="17">
        <f>AVERAGE(Table143690117171105107123[[#This Row],[Teste 1]:[Teste 3]])</f>
        <v>164415</v>
      </c>
      <c r="N63" s="16"/>
      <c r="O63" s="16" t="s">
        <v>0</v>
      </c>
      <c r="P63" s="16" t="s">
        <v>1</v>
      </c>
      <c r="Q63" s="17">
        <v>70396</v>
      </c>
      <c r="R63" s="17">
        <v>70358</v>
      </c>
      <c r="S63" s="17">
        <v>73700</v>
      </c>
      <c r="T63" s="17">
        <f>AVERAGE(Table143690117171105107141[[#This Row],[Teste 1]:[Teste 3]])</f>
        <v>71484.666666666672</v>
      </c>
    </row>
    <row r="64" spans="1:20" x14ac:dyDescent="0.25">
      <c r="A64" s="16" t="s">
        <v>0</v>
      </c>
      <c r="B64" s="16" t="s">
        <v>2</v>
      </c>
      <c r="C64" s="17">
        <v>506.25734073144002</v>
      </c>
      <c r="D64" s="17">
        <v>493.108804457703</v>
      </c>
      <c r="E64" s="17">
        <v>487.075452858402</v>
      </c>
      <c r="F64" s="17">
        <f>AVERAGE(Table143690117171105107[[#This Row],[Teste 1]:[Teste 3]])</f>
        <v>495.48053268251505</v>
      </c>
      <c r="G64" s="16"/>
      <c r="H64" s="16" t="s">
        <v>0</v>
      </c>
      <c r="I64" s="16" t="s">
        <v>2</v>
      </c>
      <c r="J64" s="17">
        <v>617.62</v>
      </c>
      <c r="K64" s="17">
        <v>617.96</v>
      </c>
      <c r="L64" s="17">
        <v>589.94000000000005</v>
      </c>
      <c r="M64" s="17">
        <f>AVERAGE(Table143690117171105107123[[#This Row],[Teste 1]:[Teste 3]])</f>
        <v>608.50666666666666</v>
      </c>
      <c r="N64" s="16"/>
      <c r="O64" s="16" t="s">
        <v>0</v>
      </c>
      <c r="P64" s="16" t="s">
        <v>2</v>
      </c>
      <c r="Q64" s="17">
        <v>1420.5352576850901</v>
      </c>
      <c r="R64" s="17">
        <v>1421.3024815941301</v>
      </c>
      <c r="S64" s="17">
        <v>1356.8521031207599</v>
      </c>
      <c r="T64" s="17">
        <f>AVERAGE(Table143690117171105107141[[#This Row],[Teste 1]:[Teste 3]])</f>
        <v>1399.5632807999934</v>
      </c>
    </row>
    <row r="65" spans="1:20" x14ac:dyDescent="0.25">
      <c r="A65" s="16" t="s">
        <v>3</v>
      </c>
      <c r="B65" s="16" t="s">
        <v>4</v>
      </c>
      <c r="C65" s="17">
        <v>6</v>
      </c>
      <c r="D65" s="17">
        <v>6</v>
      </c>
      <c r="E65" s="17">
        <v>6</v>
      </c>
      <c r="F65" s="17">
        <f>AVERAGE(Table143690117171105107[[#This Row],[Teste 1]:[Teste 3]])</f>
        <v>6</v>
      </c>
      <c r="G65" s="16"/>
      <c r="H65" s="16" t="s">
        <v>3</v>
      </c>
      <c r="I65" s="16" t="s">
        <v>4</v>
      </c>
      <c r="J65" s="17">
        <v>6</v>
      </c>
      <c r="K65" s="17">
        <v>6</v>
      </c>
      <c r="L65" s="17">
        <v>6</v>
      </c>
      <c r="M65" s="17">
        <f>AVERAGE(Table143690117171105107123[[#This Row],[Teste 1]:[Teste 3]])</f>
        <v>6</v>
      </c>
      <c r="N65" s="16"/>
      <c r="O65" s="16" t="s">
        <v>3</v>
      </c>
      <c r="P65" s="16" t="s">
        <v>4</v>
      </c>
      <c r="Q65" s="17">
        <v>6</v>
      </c>
      <c r="R65" s="17">
        <v>6</v>
      </c>
      <c r="S65" s="17">
        <v>6</v>
      </c>
      <c r="T65" s="17">
        <f>AVERAGE(Table143690117171105107141[[#This Row],[Teste 1]:[Teste 3]])</f>
        <v>6</v>
      </c>
    </row>
    <row r="66" spans="1:20" x14ac:dyDescent="0.25">
      <c r="A66" s="16" t="s">
        <v>3</v>
      </c>
      <c r="B66" s="16" t="s">
        <v>5</v>
      </c>
      <c r="C66" s="17">
        <v>2.5</v>
      </c>
      <c r="D66" s="17">
        <v>3.6666666666666599</v>
      </c>
      <c r="E66" s="17">
        <v>2.6666666666666599</v>
      </c>
      <c r="F66" s="17">
        <f>AVERAGE(Table143690117171105107[[#This Row],[Teste 1]:[Teste 3]])</f>
        <v>2.9444444444444398</v>
      </c>
      <c r="G66" s="16"/>
      <c r="H66" s="16" t="s">
        <v>3</v>
      </c>
      <c r="I66" s="16" t="s">
        <v>5</v>
      </c>
      <c r="J66" s="17">
        <v>3</v>
      </c>
      <c r="K66" s="17">
        <v>3</v>
      </c>
      <c r="L66" s="17">
        <v>4.67</v>
      </c>
      <c r="M66" s="17">
        <f>AVERAGE(Table143690117171105107123[[#This Row],[Teste 1]:[Teste 3]])</f>
        <v>3.5566666666666666</v>
      </c>
      <c r="N66" s="16"/>
      <c r="O66" s="16" t="s">
        <v>3</v>
      </c>
      <c r="P66" s="16" t="s">
        <v>5</v>
      </c>
      <c r="Q66" s="17">
        <v>227.166666666666</v>
      </c>
      <c r="R66" s="17">
        <v>204.5</v>
      </c>
      <c r="S66" s="17">
        <v>239.166666666666</v>
      </c>
      <c r="T66" s="17">
        <f>AVERAGE(Table143690117171105107141[[#This Row],[Teste 1]:[Teste 3]])</f>
        <v>223.61111111111066</v>
      </c>
    </row>
    <row r="67" spans="1:20" x14ac:dyDescent="0.25">
      <c r="A67" s="16" t="s">
        <v>3</v>
      </c>
      <c r="B67" s="16" t="s">
        <v>6</v>
      </c>
      <c r="C67" s="17">
        <v>1</v>
      </c>
      <c r="D67" s="17">
        <v>0</v>
      </c>
      <c r="E67" s="17">
        <v>1</v>
      </c>
      <c r="F67" s="17">
        <f>AVERAGE(Table143690117171105107[[#This Row],[Teste 1]:[Teste 3]])</f>
        <v>0.66666666666666663</v>
      </c>
      <c r="G67" s="16"/>
      <c r="H67" s="16" t="s">
        <v>3</v>
      </c>
      <c r="I67" s="16" t="s">
        <v>6</v>
      </c>
      <c r="J67" s="17">
        <v>1</v>
      </c>
      <c r="K67" s="17">
        <v>1</v>
      </c>
      <c r="L67" s="17">
        <v>1</v>
      </c>
      <c r="M67" s="17">
        <f>AVERAGE(Table143690117171105107123[[#This Row],[Teste 1]:[Teste 3]])</f>
        <v>1</v>
      </c>
      <c r="N67" s="16"/>
      <c r="O67" s="16" t="s">
        <v>3</v>
      </c>
      <c r="P67" s="16" t="s">
        <v>6</v>
      </c>
      <c r="Q67" s="17">
        <v>4</v>
      </c>
      <c r="R67" s="17">
        <v>2</v>
      </c>
      <c r="S67" s="17">
        <v>2</v>
      </c>
      <c r="T67" s="17">
        <f>AVERAGE(Table143690117171105107141[[#This Row],[Teste 1]:[Teste 3]])</f>
        <v>2.6666666666666665</v>
      </c>
    </row>
    <row r="68" spans="1:20" x14ac:dyDescent="0.25">
      <c r="A68" s="16" t="s">
        <v>3</v>
      </c>
      <c r="B68" s="16" t="s">
        <v>7</v>
      </c>
      <c r="C68" s="17">
        <v>8</v>
      </c>
      <c r="D68" s="17">
        <v>13</v>
      </c>
      <c r="E68" s="17">
        <v>9</v>
      </c>
      <c r="F68" s="17">
        <f>AVERAGE(Table143690117171105107[[#This Row],[Teste 1]:[Teste 3]])</f>
        <v>10</v>
      </c>
      <c r="G68" s="16"/>
      <c r="H68" s="16" t="s">
        <v>3</v>
      </c>
      <c r="I68" s="16" t="s">
        <v>7</v>
      </c>
      <c r="J68" s="17">
        <v>11</v>
      </c>
      <c r="K68" s="17">
        <v>11</v>
      </c>
      <c r="L68" s="17">
        <v>14</v>
      </c>
      <c r="M68" s="17">
        <f>AVERAGE(Table143690117171105107123[[#This Row],[Teste 1]:[Teste 3]])</f>
        <v>12</v>
      </c>
      <c r="N68" s="16"/>
      <c r="O68" s="16" t="s">
        <v>3</v>
      </c>
      <c r="P68" s="16" t="s">
        <v>7</v>
      </c>
      <c r="Q68" s="17">
        <v>1329</v>
      </c>
      <c r="R68" s="17">
        <v>1188</v>
      </c>
      <c r="S68" s="17">
        <v>1395</v>
      </c>
      <c r="T68" s="17">
        <f>AVERAGE(Table143690117171105107141[[#This Row],[Teste 1]:[Teste 3]])</f>
        <v>1304</v>
      </c>
    </row>
    <row r="69" spans="1:20" x14ac:dyDescent="0.25">
      <c r="A69" s="16" t="s">
        <v>3</v>
      </c>
      <c r="B69" s="16" t="s">
        <v>8</v>
      </c>
      <c r="C69" s="17">
        <v>8</v>
      </c>
      <c r="D69" s="17">
        <v>13</v>
      </c>
      <c r="E69" s="17">
        <v>9</v>
      </c>
      <c r="F69" s="17">
        <f>AVERAGE(Table143690117171105107[[#This Row],[Teste 1]:[Teste 3]])</f>
        <v>10</v>
      </c>
      <c r="G69" s="16"/>
      <c r="H69" s="16" t="s">
        <v>3</v>
      </c>
      <c r="I69" s="16" t="s">
        <v>8</v>
      </c>
      <c r="J69" s="17">
        <v>11</v>
      </c>
      <c r="K69" s="17">
        <v>11</v>
      </c>
      <c r="L69" s="17">
        <v>14</v>
      </c>
      <c r="M69" s="17">
        <f>AVERAGE(Table143690117171105107123[[#This Row],[Teste 1]:[Teste 3]])</f>
        <v>12</v>
      </c>
      <c r="N69" s="16"/>
      <c r="O69" s="16" t="s">
        <v>3</v>
      </c>
      <c r="P69" s="16" t="s">
        <v>8</v>
      </c>
      <c r="Q69" s="17">
        <v>1329</v>
      </c>
      <c r="R69" s="17">
        <v>1188</v>
      </c>
      <c r="S69" s="17">
        <v>1395</v>
      </c>
      <c r="T69" s="17">
        <f>AVERAGE(Table143690117171105107141[[#This Row],[Teste 1]:[Teste 3]])</f>
        <v>1304</v>
      </c>
    </row>
    <row r="70" spans="1:20" x14ac:dyDescent="0.25">
      <c r="A70" s="16" t="s">
        <v>3</v>
      </c>
      <c r="B70" s="16" t="s">
        <v>9</v>
      </c>
      <c r="C70" s="17">
        <v>8</v>
      </c>
      <c r="D70" s="17">
        <v>13</v>
      </c>
      <c r="E70" s="17">
        <v>9</v>
      </c>
      <c r="F70" s="17">
        <f>AVERAGE(Table143690117171105107[[#This Row],[Teste 1]:[Teste 3]])</f>
        <v>10</v>
      </c>
      <c r="G70" s="16"/>
      <c r="H70" s="16" t="s">
        <v>3</v>
      </c>
      <c r="I70" s="16" t="s">
        <v>9</v>
      </c>
      <c r="J70" s="17">
        <v>11</v>
      </c>
      <c r="K70" s="17">
        <v>11</v>
      </c>
      <c r="L70" s="17">
        <v>14</v>
      </c>
      <c r="M70" s="17">
        <f>AVERAGE(Table143690117171105107123[[#This Row],[Teste 1]:[Teste 3]])</f>
        <v>12</v>
      </c>
      <c r="N70" s="16"/>
      <c r="O70" s="16" t="s">
        <v>3</v>
      </c>
      <c r="P70" s="16" t="s">
        <v>9</v>
      </c>
      <c r="Q70" s="17">
        <v>1329</v>
      </c>
      <c r="R70" s="17">
        <v>1188</v>
      </c>
      <c r="S70" s="17">
        <v>1395</v>
      </c>
      <c r="T70" s="17">
        <f>AVERAGE(Table143690117171105107141[[#This Row],[Teste 1]:[Teste 3]])</f>
        <v>1304</v>
      </c>
    </row>
    <row r="71" spans="1:20" x14ac:dyDescent="0.25">
      <c r="A71" s="16" t="s">
        <v>10</v>
      </c>
      <c r="B71" s="16" t="s">
        <v>4</v>
      </c>
      <c r="C71" s="17">
        <v>5039</v>
      </c>
      <c r="D71" s="17">
        <v>5185</v>
      </c>
      <c r="E71" s="17">
        <v>4986</v>
      </c>
      <c r="F71" s="17">
        <f>AVERAGE(Table143690117171105107[[#This Row],[Teste 1]:[Teste 3]])</f>
        <v>5070</v>
      </c>
      <c r="G71" s="16"/>
      <c r="H71" s="16" t="s">
        <v>10</v>
      </c>
      <c r="I71" s="16" t="s">
        <v>4</v>
      </c>
      <c r="J71" s="17">
        <v>4970</v>
      </c>
      <c r="K71" s="17">
        <v>5039</v>
      </c>
      <c r="L71" s="17">
        <v>5023</v>
      </c>
      <c r="M71" s="17">
        <f>AVERAGE(Table143690117171105107123[[#This Row],[Teste 1]:[Teste 3]])</f>
        <v>5010.666666666667</v>
      </c>
      <c r="N71" s="16"/>
      <c r="O71" s="16" t="s">
        <v>10</v>
      </c>
      <c r="P71" s="16" t="s">
        <v>4</v>
      </c>
      <c r="Q71" s="17">
        <v>4914</v>
      </c>
      <c r="R71" s="17">
        <v>4970</v>
      </c>
      <c r="S71" s="17">
        <v>4950</v>
      </c>
      <c r="T71" s="17">
        <f>AVERAGE(Table143690117171105107141[[#This Row],[Teste 1]:[Teste 3]])</f>
        <v>4944.666666666667</v>
      </c>
    </row>
    <row r="72" spans="1:20" x14ac:dyDescent="0.25">
      <c r="A72" s="16" t="s">
        <v>10</v>
      </c>
      <c r="B72" s="16" t="s">
        <v>5</v>
      </c>
      <c r="C72" s="17">
        <v>1155.2137328834999</v>
      </c>
      <c r="D72" s="17">
        <v>1161.32979749276</v>
      </c>
      <c r="E72" s="17">
        <v>1184.3509827517</v>
      </c>
      <c r="F72" s="17">
        <f>AVERAGE(Table143690117171105107[[#This Row],[Teste 1]:[Teste 3]])</f>
        <v>1166.9648377093199</v>
      </c>
      <c r="G72" s="16"/>
      <c r="H72" s="16" t="s">
        <v>10</v>
      </c>
      <c r="I72" s="16" t="s">
        <v>5</v>
      </c>
      <c r="J72" s="17">
        <v>3493.8</v>
      </c>
      <c r="K72" s="17">
        <v>3534.07</v>
      </c>
      <c r="L72" s="17">
        <v>3915.29</v>
      </c>
      <c r="M72" s="17">
        <f>AVERAGE(Table143690117171105107123[[#This Row],[Teste 1]:[Teste 3]])</f>
        <v>3647.72</v>
      </c>
      <c r="N72" s="16"/>
      <c r="O72" s="16" t="s">
        <v>10</v>
      </c>
      <c r="P72" s="16" t="s">
        <v>5</v>
      </c>
      <c r="Q72" s="17">
        <v>1519.04517704517</v>
      </c>
      <c r="R72" s="17">
        <v>1536.5525150905401</v>
      </c>
      <c r="S72" s="17">
        <v>1702.2979797979799</v>
      </c>
      <c r="T72" s="17">
        <f>AVERAGE(Table143690117171105107141[[#This Row],[Teste 1]:[Teste 3]])</f>
        <v>1585.9652239778968</v>
      </c>
    </row>
    <row r="73" spans="1:20" x14ac:dyDescent="0.25">
      <c r="A73" s="16" t="s">
        <v>10</v>
      </c>
      <c r="B73" s="16" t="s">
        <v>6</v>
      </c>
      <c r="C73" s="17">
        <v>418</v>
      </c>
      <c r="D73" s="17">
        <v>429</v>
      </c>
      <c r="E73" s="17">
        <v>457</v>
      </c>
      <c r="F73" s="17">
        <f>AVERAGE(Table143690117171105107[[#This Row],[Teste 1]:[Teste 3]])</f>
        <v>434.66666666666669</v>
      </c>
      <c r="G73" s="16"/>
      <c r="H73" s="16" t="s">
        <v>10</v>
      </c>
      <c r="I73" s="16" t="s">
        <v>6</v>
      </c>
      <c r="J73" s="17">
        <v>819</v>
      </c>
      <c r="K73" s="17">
        <v>810</v>
      </c>
      <c r="L73" s="17">
        <v>584</v>
      </c>
      <c r="M73" s="17">
        <f>AVERAGE(Table143690117171105107123[[#This Row],[Teste 1]:[Teste 3]])</f>
        <v>737.66666666666663</v>
      </c>
      <c r="N73" s="16"/>
      <c r="O73" s="16" t="s">
        <v>10</v>
      </c>
      <c r="P73" s="16" t="s">
        <v>6</v>
      </c>
      <c r="Q73" s="17">
        <v>356</v>
      </c>
      <c r="R73" s="17">
        <v>352</v>
      </c>
      <c r="S73" s="17">
        <v>254</v>
      </c>
      <c r="T73" s="17">
        <f>AVERAGE(Table143690117171105107141[[#This Row],[Teste 1]:[Teste 3]])</f>
        <v>320.66666666666669</v>
      </c>
    </row>
    <row r="74" spans="1:20" x14ac:dyDescent="0.25">
      <c r="A74" s="16" t="s">
        <v>10</v>
      </c>
      <c r="B74" s="16" t="s">
        <v>7</v>
      </c>
      <c r="C74" s="17">
        <v>32735</v>
      </c>
      <c r="D74" s="17">
        <v>24447</v>
      </c>
      <c r="E74" s="17">
        <v>26415</v>
      </c>
      <c r="F74" s="17">
        <f>AVERAGE(Table143690117171105107[[#This Row],[Teste 1]:[Teste 3]])</f>
        <v>27865.666666666668</v>
      </c>
      <c r="G74" s="16"/>
      <c r="H74" s="16" t="s">
        <v>10</v>
      </c>
      <c r="I74" s="16" t="s">
        <v>7</v>
      </c>
      <c r="J74" s="17">
        <v>39153</v>
      </c>
      <c r="K74" s="17">
        <v>42023</v>
      </c>
      <c r="L74" s="17">
        <v>93691</v>
      </c>
      <c r="M74" s="17">
        <f>AVERAGE(Table143690117171105107123[[#This Row],[Teste 1]:[Teste 3]])</f>
        <v>58289</v>
      </c>
      <c r="N74" s="16"/>
      <c r="O74" s="16" t="s">
        <v>10</v>
      </c>
      <c r="P74" s="16" t="s">
        <v>7</v>
      </c>
      <c r="Q74" s="17">
        <v>17023</v>
      </c>
      <c r="R74" s="17">
        <v>18271</v>
      </c>
      <c r="S74" s="17">
        <v>40735</v>
      </c>
      <c r="T74" s="17">
        <f>AVERAGE(Table143690117171105107141[[#This Row],[Teste 1]:[Teste 3]])</f>
        <v>25343</v>
      </c>
    </row>
    <row r="75" spans="1:20" x14ac:dyDescent="0.25">
      <c r="A75" s="16" t="s">
        <v>10</v>
      </c>
      <c r="B75" s="16" t="s">
        <v>8</v>
      </c>
      <c r="C75" s="17">
        <v>2375</v>
      </c>
      <c r="D75" s="17">
        <v>2403</v>
      </c>
      <c r="E75" s="17">
        <v>2467</v>
      </c>
      <c r="F75" s="17">
        <f>AVERAGE(Table143690117171105107[[#This Row],[Teste 1]:[Teste 3]])</f>
        <v>2415</v>
      </c>
      <c r="G75" s="16"/>
      <c r="H75" s="16" t="s">
        <v>10</v>
      </c>
      <c r="I75" s="16" t="s">
        <v>8</v>
      </c>
      <c r="J75" s="17">
        <v>7970</v>
      </c>
      <c r="K75" s="17">
        <v>8480</v>
      </c>
      <c r="L75" s="17">
        <v>9262</v>
      </c>
      <c r="M75" s="17">
        <f>AVERAGE(Table143690117171105107123[[#This Row],[Teste 1]:[Teste 3]])</f>
        <v>8570.6666666666661</v>
      </c>
      <c r="N75" s="16"/>
      <c r="O75" s="16" t="s">
        <v>10</v>
      </c>
      <c r="P75" s="16" t="s">
        <v>8</v>
      </c>
      <c r="Q75" s="17">
        <v>3465</v>
      </c>
      <c r="R75" s="17">
        <v>3687</v>
      </c>
      <c r="S75" s="17">
        <v>4027</v>
      </c>
      <c r="T75" s="17">
        <f>AVERAGE(Table143690117171105107141[[#This Row],[Teste 1]:[Teste 3]])</f>
        <v>3726.3333333333335</v>
      </c>
    </row>
    <row r="76" spans="1:20" x14ac:dyDescent="0.25">
      <c r="A76" s="16" t="s">
        <v>10</v>
      </c>
      <c r="B76" s="16" t="s">
        <v>9</v>
      </c>
      <c r="C76" s="17">
        <v>3973</v>
      </c>
      <c r="D76" s="17">
        <v>4057</v>
      </c>
      <c r="E76" s="17">
        <v>4115</v>
      </c>
      <c r="F76" s="17">
        <f>AVERAGE(Table143690117171105107[[#This Row],[Teste 1]:[Teste 3]])</f>
        <v>4048.3333333333335</v>
      </c>
      <c r="G76" s="16"/>
      <c r="H76" s="16" t="s">
        <v>10</v>
      </c>
      <c r="I76" s="16" t="s">
        <v>9</v>
      </c>
      <c r="J76" s="17">
        <v>13761</v>
      </c>
      <c r="K76" s="17">
        <v>13844</v>
      </c>
      <c r="L76" s="17">
        <v>19741</v>
      </c>
      <c r="M76" s="17">
        <f>AVERAGE(Table143690117171105107123[[#This Row],[Teste 1]:[Teste 3]])</f>
        <v>15782</v>
      </c>
      <c r="N76" s="16"/>
      <c r="O76" s="16" t="s">
        <v>10</v>
      </c>
      <c r="P76" s="16" t="s">
        <v>9</v>
      </c>
      <c r="Q76" s="17">
        <v>5983</v>
      </c>
      <c r="R76" s="17">
        <v>6019</v>
      </c>
      <c r="S76" s="17">
        <v>8583</v>
      </c>
      <c r="T76" s="17">
        <f>AVERAGE(Table143690117171105107141[[#This Row],[Teste 1]:[Teste 3]])</f>
        <v>6861.666666666667</v>
      </c>
    </row>
    <row r="77" spans="1:20" x14ac:dyDescent="0.25">
      <c r="A77" s="16" t="s">
        <v>10</v>
      </c>
      <c r="B77" s="16" t="s">
        <v>11</v>
      </c>
      <c r="C77" s="17">
        <v>5039</v>
      </c>
      <c r="D77" s="17">
        <v>5185</v>
      </c>
      <c r="E77" s="17">
        <v>4986</v>
      </c>
      <c r="F77" s="17">
        <f>AVERAGE(Table143690117171105107[[#This Row],[Teste 1]:[Teste 3]])</f>
        <v>5070</v>
      </c>
      <c r="G77" s="16"/>
      <c r="H77" s="16" t="s">
        <v>10</v>
      </c>
      <c r="I77" s="16" t="s">
        <v>11</v>
      </c>
      <c r="J77" s="17">
        <v>4970</v>
      </c>
      <c r="K77" s="17">
        <v>5039</v>
      </c>
      <c r="L77" s="17">
        <v>5023</v>
      </c>
      <c r="M77" s="17">
        <f>AVERAGE(Table143690117171105107123[[#This Row],[Teste 1]:[Teste 3]])</f>
        <v>5010.666666666667</v>
      </c>
      <c r="N77" s="16"/>
      <c r="O77" s="16" t="s">
        <v>10</v>
      </c>
      <c r="P77" s="16" t="s">
        <v>11</v>
      </c>
      <c r="Q77" s="17">
        <v>4914</v>
      </c>
      <c r="R77" s="17">
        <v>4970</v>
      </c>
      <c r="S77" s="17">
        <v>4950</v>
      </c>
      <c r="T77" s="17">
        <f>AVERAGE(Table143690117171105107141[[#This Row],[Teste 1]:[Teste 3]])</f>
        <v>4944.666666666667</v>
      </c>
    </row>
    <row r="78" spans="1:20" x14ac:dyDescent="0.25">
      <c r="A78" s="16" t="s">
        <v>71</v>
      </c>
      <c r="B78" s="16" t="s">
        <v>4</v>
      </c>
      <c r="C78" s="17">
        <v>94961</v>
      </c>
      <c r="D78" s="17">
        <v>94815</v>
      </c>
      <c r="E78" s="17">
        <v>95014</v>
      </c>
      <c r="F78" s="17">
        <f>AVERAGE(Table143690117171105107[[#This Row],[Teste 1]:[Teste 3]])</f>
        <v>94930</v>
      </c>
      <c r="G78" s="16"/>
      <c r="H78" s="16" t="s">
        <v>71</v>
      </c>
      <c r="I78" s="16" t="s">
        <v>4</v>
      </c>
      <c r="J78" s="17">
        <v>95030</v>
      </c>
      <c r="K78" s="17">
        <v>94961</v>
      </c>
      <c r="L78" s="17">
        <v>94977</v>
      </c>
      <c r="M78" s="17">
        <f>AVERAGE(Table143690117171105107123[[#This Row],[Teste 1]:[Teste 3]])</f>
        <v>94989.333333333328</v>
      </c>
      <c r="N78" s="16"/>
      <c r="O78" s="16" t="s">
        <v>71</v>
      </c>
      <c r="P78" s="16" t="s">
        <v>4</v>
      </c>
      <c r="Q78" s="17">
        <v>95086</v>
      </c>
      <c r="R78" s="17">
        <v>95030</v>
      </c>
      <c r="S78" s="17">
        <v>95050</v>
      </c>
      <c r="T78" s="17">
        <f>AVERAGE(Table143690117171105107141[[#This Row],[Teste 1]:[Teste 3]])</f>
        <v>95055.333333333328</v>
      </c>
    </row>
    <row r="79" spans="1:20" x14ac:dyDescent="0.25">
      <c r="A79" s="16" t="s">
        <v>71</v>
      </c>
      <c r="B79" s="16" t="s">
        <v>5</v>
      </c>
      <c r="C79" s="17">
        <v>12230.284011330899</v>
      </c>
      <c r="D79" s="17">
        <v>12433.6018667932</v>
      </c>
      <c r="E79" s="17">
        <v>12696.656303281599</v>
      </c>
      <c r="F79" s="17">
        <f>AVERAGE(Table143690117171105107[[#This Row],[Teste 1]:[Teste 3]])</f>
        <v>12453.514060468566</v>
      </c>
      <c r="G79" s="16"/>
      <c r="H79" s="16" t="s">
        <v>71</v>
      </c>
      <c r="I79" s="16" t="s">
        <v>5</v>
      </c>
      <c r="J79" s="17">
        <v>9869.73</v>
      </c>
      <c r="K79" s="17">
        <v>9855.59</v>
      </c>
      <c r="L79" s="17">
        <v>10329.08</v>
      </c>
      <c r="M79" s="17">
        <f>AVERAGE(Table143690117171105107123[[#This Row],[Teste 1]:[Teste 3]])</f>
        <v>10018.133333333333</v>
      </c>
      <c r="N79" s="16"/>
      <c r="O79" s="16" t="s">
        <v>71</v>
      </c>
      <c r="P79" s="16" t="s">
        <v>5</v>
      </c>
      <c r="Q79" s="17">
        <v>4291.1887238920499</v>
      </c>
      <c r="R79" s="17">
        <v>4285.0393454698496</v>
      </c>
      <c r="S79" s="17">
        <v>4490.9062914255601</v>
      </c>
      <c r="T79" s="17">
        <f>AVERAGE(Table143690117171105107141[[#This Row],[Teste 1]:[Teste 3]])</f>
        <v>4355.7114535958199</v>
      </c>
    </row>
    <row r="80" spans="1:20" x14ac:dyDescent="0.25">
      <c r="A80" s="16" t="s">
        <v>71</v>
      </c>
      <c r="B80" s="16" t="s">
        <v>6</v>
      </c>
      <c r="C80" s="17">
        <v>768</v>
      </c>
      <c r="D80" s="17">
        <v>1016</v>
      </c>
      <c r="E80" s="17">
        <v>1019</v>
      </c>
      <c r="F80" s="17">
        <f>AVERAGE(Table143690117171105107[[#This Row],[Teste 1]:[Teste 3]])</f>
        <v>934.33333333333337</v>
      </c>
      <c r="G80" s="16"/>
      <c r="H80" s="16" t="s">
        <v>71</v>
      </c>
      <c r="I80" s="16" t="s">
        <v>6</v>
      </c>
      <c r="J80" s="17">
        <v>550</v>
      </c>
      <c r="K80" s="17">
        <v>529</v>
      </c>
      <c r="L80" s="17">
        <v>653</v>
      </c>
      <c r="M80" s="17">
        <f>AVERAGE(Table143690117171105107123[[#This Row],[Teste 1]:[Teste 3]])</f>
        <v>577.33333333333337</v>
      </c>
      <c r="N80" s="16"/>
      <c r="O80" s="16" t="s">
        <v>71</v>
      </c>
      <c r="P80" s="16" t="s">
        <v>6</v>
      </c>
      <c r="Q80" s="17">
        <v>239</v>
      </c>
      <c r="R80" s="17">
        <v>230</v>
      </c>
      <c r="S80" s="17">
        <v>284</v>
      </c>
      <c r="T80" s="17">
        <f>AVERAGE(Table143690117171105107141[[#This Row],[Teste 1]:[Teste 3]])</f>
        <v>251</v>
      </c>
    </row>
    <row r="81" spans="1:20" x14ac:dyDescent="0.25">
      <c r="A81" s="16" t="s">
        <v>71</v>
      </c>
      <c r="B81" s="16" t="s">
        <v>7</v>
      </c>
      <c r="C81" s="17">
        <v>126463</v>
      </c>
      <c r="D81" s="17">
        <v>127103</v>
      </c>
      <c r="E81" s="17">
        <v>134143</v>
      </c>
      <c r="F81" s="17">
        <f>AVERAGE(Table143690117171105107[[#This Row],[Teste 1]:[Teste 3]])</f>
        <v>129236.33333333333</v>
      </c>
      <c r="G81" s="16"/>
      <c r="H81" s="16" t="s">
        <v>71</v>
      </c>
      <c r="I81" s="16" t="s">
        <v>7</v>
      </c>
      <c r="J81" s="17">
        <v>258187</v>
      </c>
      <c r="K81" s="17">
        <v>220798</v>
      </c>
      <c r="L81" s="17">
        <v>128945</v>
      </c>
      <c r="M81" s="17">
        <f>AVERAGE(Table143690117171105107123[[#This Row],[Teste 1]:[Teste 3]])</f>
        <v>202643.33333333334</v>
      </c>
      <c r="N81" s="16"/>
      <c r="O81" s="16" t="s">
        <v>71</v>
      </c>
      <c r="P81" s="16" t="s">
        <v>7</v>
      </c>
      <c r="Q81" s="17">
        <v>112255</v>
      </c>
      <c r="R81" s="17">
        <v>95999</v>
      </c>
      <c r="S81" s="17">
        <v>56063</v>
      </c>
      <c r="T81" s="17">
        <f>AVERAGE(Table143690117171105107141[[#This Row],[Teste 1]:[Teste 3]])</f>
        <v>88105.666666666672</v>
      </c>
    </row>
    <row r="82" spans="1:20" x14ac:dyDescent="0.25">
      <c r="A82" s="16" t="s">
        <v>71</v>
      </c>
      <c r="B82" s="16" t="s">
        <v>8</v>
      </c>
      <c r="C82" s="17">
        <v>20239</v>
      </c>
      <c r="D82" s="17">
        <v>19999</v>
      </c>
      <c r="E82" s="17">
        <v>20559</v>
      </c>
      <c r="F82" s="17">
        <f>AVERAGE(Table143690117171105107[[#This Row],[Teste 1]:[Teste 3]])</f>
        <v>20265.666666666668</v>
      </c>
      <c r="G82" s="16"/>
      <c r="H82" s="16" t="s">
        <v>71</v>
      </c>
      <c r="I82" s="16" t="s">
        <v>8</v>
      </c>
      <c r="J82" s="17">
        <v>19391</v>
      </c>
      <c r="K82" s="17">
        <v>19631</v>
      </c>
      <c r="L82" s="17">
        <v>19557</v>
      </c>
      <c r="M82" s="17">
        <f>AVERAGE(Table143690117171105107123[[#This Row],[Teste 1]:[Teste 3]])</f>
        <v>19526.333333333332</v>
      </c>
      <c r="N82" s="16"/>
      <c r="O82" s="16" t="s">
        <v>71</v>
      </c>
      <c r="P82" s="16" t="s">
        <v>8</v>
      </c>
      <c r="Q82" s="17">
        <v>8431</v>
      </c>
      <c r="R82" s="17">
        <v>8535</v>
      </c>
      <c r="S82" s="17">
        <v>8503</v>
      </c>
      <c r="T82" s="17">
        <f>AVERAGE(Table143690117171105107141[[#This Row],[Teste 1]:[Teste 3]])</f>
        <v>8489.6666666666661</v>
      </c>
    </row>
    <row r="83" spans="1:20" x14ac:dyDescent="0.25">
      <c r="A83" s="16" t="s">
        <v>71</v>
      </c>
      <c r="B83" s="16" t="s">
        <v>9</v>
      </c>
      <c r="C83" s="17">
        <v>24527</v>
      </c>
      <c r="D83" s="17">
        <v>23615</v>
      </c>
      <c r="E83" s="17">
        <v>25023</v>
      </c>
      <c r="F83" s="17">
        <f>AVERAGE(Table143690117171105107[[#This Row],[Teste 1]:[Teste 3]])</f>
        <v>24388.333333333332</v>
      </c>
      <c r="G83" s="16"/>
      <c r="H83" s="16" t="s">
        <v>71</v>
      </c>
      <c r="I83" s="16" t="s">
        <v>9</v>
      </c>
      <c r="J83" s="17">
        <v>26034</v>
      </c>
      <c r="K83" s="17">
        <v>26457</v>
      </c>
      <c r="L83" s="17">
        <v>30376</v>
      </c>
      <c r="M83" s="17">
        <f>AVERAGE(Table143690117171105107123[[#This Row],[Teste 1]:[Teste 3]])</f>
        <v>27622.333333333332</v>
      </c>
      <c r="N83" s="16"/>
      <c r="O83" s="16" t="s">
        <v>71</v>
      </c>
      <c r="P83" s="16" t="s">
        <v>9</v>
      </c>
      <c r="Q83" s="17">
        <v>11319</v>
      </c>
      <c r="R83" s="17">
        <v>11503</v>
      </c>
      <c r="S83" s="17">
        <v>13207</v>
      </c>
      <c r="T83" s="17">
        <f>AVERAGE(Table143690117171105107141[[#This Row],[Teste 1]:[Teste 3]])</f>
        <v>12009.666666666666</v>
      </c>
    </row>
    <row r="84" spans="1:20" x14ac:dyDescent="0.25">
      <c r="A84" s="16" t="s">
        <v>71</v>
      </c>
      <c r="B84" s="16" t="s">
        <v>11</v>
      </c>
      <c r="C84" s="17">
        <v>94961</v>
      </c>
      <c r="D84" s="17">
        <v>94815</v>
      </c>
      <c r="E84" s="17">
        <v>95014</v>
      </c>
      <c r="F84" s="17">
        <f>AVERAGE(Table143690117171105107[[#This Row],[Teste 1]:[Teste 3]])</f>
        <v>94930</v>
      </c>
      <c r="G84" s="16"/>
      <c r="H84" s="16" t="s">
        <v>71</v>
      </c>
      <c r="I84" s="16" t="s">
        <v>11</v>
      </c>
      <c r="J84" s="17">
        <v>95030</v>
      </c>
      <c r="K84" s="17">
        <v>94961</v>
      </c>
      <c r="L84" s="17">
        <v>94977</v>
      </c>
      <c r="M84" s="17">
        <f>AVERAGE(Table143690117171105107123[[#This Row],[Teste 1]:[Teste 3]])</f>
        <v>94989.333333333328</v>
      </c>
      <c r="N84" s="16"/>
      <c r="O84" s="16" t="s">
        <v>71</v>
      </c>
      <c r="P84" s="16" t="s">
        <v>11</v>
      </c>
      <c r="Q84" s="17">
        <v>95086</v>
      </c>
      <c r="R84" s="17">
        <v>95030</v>
      </c>
      <c r="S84" s="17">
        <v>95050</v>
      </c>
      <c r="T84" s="17">
        <f>AVERAGE(Table143690117171105107141[[#This Row],[Teste 1]:[Teste 3]])</f>
        <v>95055.333333333328</v>
      </c>
    </row>
    <row r="85" spans="1:20" x14ac:dyDescent="0.25">
      <c r="A85" s="16"/>
      <c r="B85" s="16"/>
      <c r="C85" s="17"/>
      <c r="D85" s="17"/>
      <c r="E85" s="17"/>
      <c r="F85" s="17"/>
      <c r="G85" s="16"/>
      <c r="H85" s="16"/>
      <c r="I85" s="16"/>
      <c r="J85" s="17"/>
      <c r="K85" s="17"/>
      <c r="L85" s="17"/>
      <c r="M85" s="17"/>
      <c r="N85" s="16"/>
      <c r="O85" s="16"/>
      <c r="P85" s="16"/>
      <c r="Q85" s="17"/>
      <c r="R85" s="17"/>
      <c r="S85" s="17"/>
      <c r="T85" s="17"/>
    </row>
    <row r="86" spans="1:20" x14ac:dyDescent="0.25">
      <c r="A86" s="16"/>
      <c r="B86" s="16"/>
      <c r="C86" s="17"/>
      <c r="D86" s="17"/>
      <c r="E86" s="17"/>
      <c r="F86" s="17"/>
      <c r="G86" s="16"/>
      <c r="H86" s="16"/>
      <c r="I86" s="16"/>
      <c r="J86" s="17"/>
      <c r="K86" s="17"/>
      <c r="L86" s="17"/>
      <c r="M86" s="17"/>
      <c r="N86" s="16"/>
      <c r="O86" s="16"/>
      <c r="P86" s="16"/>
      <c r="Q86" s="17"/>
      <c r="R86" s="17"/>
      <c r="S86" s="17"/>
      <c r="T86" s="17"/>
    </row>
    <row r="87" spans="1:20" x14ac:dyDescent="0.25">
      <c r="A87" s="16"/>
      <c r="B87" s="16"/>
      <c r="C87" s="17"/>
      <c r="D87" s="17"/>
      <c r="E87" s="17"/>
      <c r="F87" s="17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7"/>
      <c r="R87" s="17"/>
      <c r="S87" s="17"/>
      <c r="T87" s="17"/>
    </row>
    <row r="90" spans="1:20" ht="15.75" x14ac:dyDescent="0.25">
      <c r="A90" s="2" t="s">
        <v>66</v>
      </c>
      <c r="H90" s="2" t="s">
        <v>66</v>
      </c>
      <c r="O90" s="2" t="s">
        <v>66</v>
      </c>
    </row>
    <row r="91" spans="1:20" ht="15.75" x14ac:dyDescent="0.25">
      <c r="A91" s="2" t="s">
        <v>65</v>
      </c>
      <c r="H91" s="2" t="s">
        <v>65</v>
      </c>
      <c r="O91" s="2" t="s">
        <v>65</v>
      </c>
    </row>
    <row r="92" spans="1:20" ht="15.75" x14ac:dyDescent="0.25">
      <c r="A92" s="16" t="s">
        <v>59</v>
      </c>
      <c r="B92" s="21" t="s">
        <v>66</v>
      </c>
      <c r="C92" s="16" t="s">
        <v>82</v>
      </c>
      <c r="D92" s="16" t="s">
        <v>64</v>
      </c>
      <c r="E92" s="16" t="s">
        <v>63</v>
      </c>
      <c r="F92" s="16" t="s">
        <v>18</v>
      </c>
      <c r="G92" s="16"/>
      <c r="H92" s="16" t="s">
        <v>12</v>
      </c>
      <c r="I92" s="21" t="s">
        <v>66</v>
      </c>
      <c r="J92" s="16" t="s">
        <v>82</v>
      </c>
      <c r="K92" s="16" t="s">
        <v>64</v>
      </c>
      <c r="L92" s="16" t="s">
        <v>63</v>
      </c>
      <c r="M92" s="16" t="s">
        <v>18</v>
      </c>
      <c r="N92" s="16"/>
      <c r="O92" s="16" t="s">
        <v>13</v>
      </c>
      <c r="P92" s="21" t="s">
        <v>66</v>
      </c>
      <c r="Q92" s="16" t="s">
        <v>82</v>
      </c>
      <c r="R92" s="16" t="s">
        <v>64</v>
      </c>
      <c r="S92" s="16" t="s">
        <v>63</v>
      </c>
      <c r="T92" s="16" t="s">
        <v>18</v>
      </c>
    </row>
    <row r="93" spans="1:20" x14ac:dyDescent="0.25">
      <c r="A93" s="16" t="s">
        <v>0</v>
      </c>
      <c r="B93" s="16" t="s">
        <v>1</v>
      </c>
      <c r="C93" s="17">
        <v>7481472</v>
      </c>
      <c r="D93" s="17">
        <v>7376015</v>
      </c>
      <c r="E93" s="17">
        <v>7374695</v>
      </c>
      <c r="F93" s="17">
        <f>AVERAGE(Table143690117171105108[[#This Row],[Teste 1]:[Teste 3]])</f>
        <v>7410727.333333333</v>
      </c>
      <c r="G93" s="16"/>
      <c r="H93" s="16" t="s">
        <v>0</v>
      </c>
      <c r="I93" s="16" t="s">
        <v>1</v>
      </c>
      <c r="J93" s="17">
        <v>4988725</v>
      </c>
      <c r="K93" s="17">
        <v>4743432</v>
      </c>
      <c r="L93" s="17">
        <v>4648073</v>
      </c>
      <c r="M93" s="17">
        <f>AVERAGE(Table143690117171105108124[[#This Row],[Teste 1]:[Teste 3]])</f>
        <v>4793410</v>
      </c>
      <c r="N93" s="16"/>
      <c r="O93" s="16" t="s">
        <v>0</v>
      </c>
      <c r="P93" s="16" t="s">
        <v>1</v>
      </c>
      <c r="Q93" s="17">
        <v>6485342</v>
      </c>
      <c r="R93" s="17">
        <v>6166461</v>
      </c>
      <c r="S93" s="17">
        <v>6042495</v>
      </c>
      <c r="T93" s="17">
        <f>AVERAGE(Table143690117171105108142[[#This Row],[Teste 1]:[Teste 3]])</f>
        <v>6231432.666666667</v>
      </c>
    </row>
    <row r="94" spans="1:20" x14ac:dyDescent="0.25">
      <c r="A94" s="16" t="s">
        <v>0</v>
      </c>
      <c r="B94" s="16" t="s">
        <v>2</v>
      </c>
      <c r="C94" s="17">
        <v>133.66353573200499</v>
      </c>
      <c r="D94" s="17">
        <v>135.574561602708</v>
      </c>
      <c r="E94" s="17">
        <v>135.59882815492699</v>
      </c>
      <c r="F94" s="17">
        <f>AVERAGE(Table143690117171105108[[#This Row],[Teste 1]:[Teste 3]])</f>
        <v>134.94564182987997</v>
      </c>
      <c r="G94" s="16"/>
      <c r="H94" s="16" t="s">
        <v>0</v>
      </c>
      <c r="I94" s="16" t="s">
        <v>2</v>
      </c>
      <c r="J94" s="17">
        <v>200.45</v>
      </c>
      <c r="K94" s="17">
        <v>210.82</v>
      </c>
      <c r="L94" s="17">
        <v>215.14</v>
      </c>
      <c r="M94" s="17">
        <f>AVERAGE(Table143690117171105108124[[#This Row],[Teste 1]:[Teste 3]])</f>
        <v>208.80333333333331</v>
      </c>
      <c r="N94" s="16"/>
      <c r="O94" s="16" t="s">
        <v>0</v>
      </c>
      <c r="P94" s="16" t="s">
        <v>2</v>
      </c>
      <c r="Q94" s="17">
        <v>154.19387289058901</v>
      </c>
      <c r="R94" s="17">
        <v>162.167570669789</v>
      </c>
      <c r="S94" s="17">
        <v>165.49455150562801</v>
      </c>
      <c r="T94" s="17">
        <f>AVERAGE(Table143690117171105108142[[#This Row],[Teste 1]:[Teste 3]])</f>
        <v>160.61866502200201</v>
      </c>
    </row>
    <row r="95" spans="1:20" x14ac:dyDescent="0.25">
      <c r="A95" s="16" t="s">
        <v>3</v>
      </c>
      <c r="B95" s="16" t="s">
        <v>4</v>
      </c>
      <c r="C95" s="17">
        <v>1</v>
      </c>
      <c r="D95" s="17">
        <v>1</v>
      </c>
      <c r="E95" s="17">
        <v>1</v>
      </c>
      <c r="F95" s="17">
        <f>AVERAGE(Table143690117171105108[[#This Row],[Teste 1]:[Teste 3]])</f>
        <v>1</v>
      </c>
      <c r="G95" s="16"/>
      <c r="H95" s="16" t="s">
        <v>3</v>
      </c>
      <c r="I95" s="16" t="s">
        <v>4</v>
      </c>
      <c r="J95" s="17">
        <v>1</v>
      </c>
      <c r="K95" s="17">
        <v>1</v>
      </c>
      <c r="L95" s="17">
        <v>1</v>
      </c>
      <c r="M95" s="17">
        <f>AVERAGE(Table143690117171105108124[[#This Row],[Teste 1]:[Teste 3]])</f>
        <v>1</v>
      </c>
      <c r="N95" s="16"/>
      <c r="O95" s="16" t="s">
        <v>3</v>
      </c>
      <c r="P95" s="16" t="s">
        <v>4</v>
      </c>
      <c r="Q95" s="17">
        <v>1</v>
      </c>
      <c r="R95" s="17">
        <v>1</v>
      </c>
      <c r="S95" s="17">
        <v>1</v>
      </c>
      <c r="T95" s="17">
        <f>AVERAGE(Table143690117171105108142[[#This Row],[Teste 1]:[Teste 3]])</f>
        <v>1</v>
      </c>
    </row>
    <row r="96" spans="1:20" x14ac:dyDescent="0.25">
      <c r="A96" s="16" t="s">
        <v>3</v>
      </c>
      <c r="B96" s="16" t="s">
        <v>5</v>
      </c>
      <c r="C96" s="17">
        <v>9</v>
      </c>
      <c r="D96" s="17">
        <v>3</v>
      </c>
      <c r="E96" s="17">
        <v>2</v>
      </c>
      <c r="F96" s="17">
        <f>AVERAGE(Table143690117171105108[[#This Row],[Teste 1]:[Teste 3]])</f>
        <v>4.666666666666667</v>
      </c>
      <c r="G96" s="16"/>
      <c r="H96" s="16" t="s">
        <v>3</v>
      </c>
      <c r="I96" s="16" t="s">
        <v>5</v>
      </c>
      <c r="J96" s="17">
        <v>4</v>
      </c>
      <c r="K96" s="17">
        <v>3</v>
      </c>
      <c r="L96" s="17">
        <v>3</v>
      </c>
      <c r="M96" s="17">
        <f>AVERAGE(Table143690117171105108124[[#This Row],[Teste 1]:[Teste 3]])</f>
        <v>3.3333333333333335</v>
      </c>
      <c r="N96" s="16"/>
      <c r="O96" s="16" t="s">
        <v>3</v>
      </c>
      <c r="P96" s="16" t="s">
        <v>5</v>
      </c>
      <c r="Q96" s="17">
        <v>3669</v>
      </c>
      <c r="R96" s="17">
        <v>2151</v>
      </c>
      <c r="S96" s="17">
        <v>2034</v>
      </c>
      <c r="T96" s="17">
        <f>AVERAGE(Table143690117171105108142[[#This Row],[Teste 1]:[Teste 3]])</f>
        <v>2618</v>
      </c>
    </row>
    <row r="97" spans="1:20" x14ac:dyDescent="0.25">
      <c r="A97" s="16" t="s">
        <v>3</v>
      </c>
      <c r="B97" s="16" t="s">
        <v>6</v>
      </c>
      <c r="C97" s="17">
        <v>9</v>
      </c>
      <c r="D97" s="17">
        <v>3</v>
      </c>
      <c r="E97" s="17">
        <v>2</v>
      </c>
      <c r="F97" s="17">
        <f>AVERAGE(Table143690117171105108[[#This Row],[Teste 1]:[Teste 3]])</f>
        <v>4.666666666666667</v>
      </c>
      <c r="G97" s="16"/>
      <c r="H97" s="16" t="s">
        <v>3</v>
      </c>
      <c r="I97" s="16" t="s">
        <v>6</v>
      </c>
      <c r="J97" s="17">
        <v>4</v>
      </c>
      <c r="K97" s="17">
        <v>3</v>
      </c>
      <c r="L97" s="17">
        <v>3</v>
      </c>
      <c r="M97" s="17">
        <f>AVERAGE(Table143690117171105108124[[#This Row],[Teste 1]:[Teste 3]])</f>
        <v>3.3333333333333335</v>
      </c>
      <c r="N97" s="16"/>
      <c r="O97" s="16" t="s">
        <v>3</v>
      </c>
      <c r="P97" s="16" t="s">
        <v>6</v>
      </c>
      <c r="Q97" s="17">
        <v>3669</v>
      </c>
      <c r="R97" s="17">
        <v>2151</v>
      </c>
      <c r="S97" s="17">
        <v>2034</v>
      </c>
      <c r="T97" s="17">
        <f>AVERAGE(Table143690117171105108142[[#This Row],[Teste 1]:[Teste 3]])</f>
        <v>2618</v>
      </c>
    </row>
    <row r="98" spans="1:20" x14ac:dyDescent="0.25">
      <c r="A98" s="16" t="s">
        <v>3</v>
      </c>
      <c r="B98" s="16" t="s">
        <v>7</v>
      </c>
      <c r="C98" s="17">
        <v>9</v>
      </c>
      <c r="D98" s="17">
        <v>3</v>
      </c>
      <c r="E98" s="17">
        <v>2</v>
      </c>
      <c r="F98" s="17">
        <f>AVERAGE(Table143690117171105108[[#This Row],[Teste 1]:[Teste 3]])</f>
        <v>4.666666666666667</v>
      </c>
      <c r="G98" s="16"/>
      <c r="H98" s="16" t="s">
        <v>3</v>
      </c>
      <c r="I98" s="16" t="s">
        <v>7</v>
      </c>
      <c r="J98" s="17">
        <v>4</v>
      </c>
      <c r="K98" s="17">
        <v>3</v>
      </c>
      <c r="L98" s="17">
        <v>3</v>
      </c>
      <c r="M98" s="17">
        <f>AVERAGE(Table143690117171105108124[[#This Row],[Teste 1]:[Teste 3]])</f>
        <v>3.3333333333333335</v>
      </c>
      <c r="N98" s="16"/>
      <c r="O98" s="16" t="s">
        <v>3</v>
      </c>
      <c r="P98" s="16" t="s">
        <v>7</v>
      </c>
      <c r="Q98" s="17">
        <v>3669</v>
      </c>
      <c r="R98" s="17">
        <v>2151</v>
      </c>
      <c r="S98" s="17">
        <v>2034</v>
      </c>
      <c r="T98" s="17">
        <f>AVERAGE(Table143690117171105108142[[#This Row],[Teste 1]:[Teste 3]])</f>
        <v>2618</v>
      </c>
    </row>
    <row r="99" spans="1:20" x14ac:dyDescent="0.25">
      <c r="A99" s="16" t="s">
        <v>3</v>
      </c>
      <c r="B99" s="16" t="s">
        <v>8</v>
      </c>
      <c r="C99" s="17">
        <v>9</v>
      </c>
      <c r="D99" s="17">
        <v>3</v>
      </c>
      <c r="E99" s="17">
        <v>2</v>
      </c>
      <c r="F99" s="17">
        <f>AVERAGE(Table143690117171105108[[#This Row],[Teste 1]:[Teste 3]])</f>
        <v>4.666666666666667</v>
      </c>
      <c r="G99" s="16"/>
      <c r="H99" s="16" t="s">
        <v>3</v>
      </c>
      <c r="I99" s="16" t="s">
        <v>8</v>
      </c>
      <c r="J99" s="17">
        <v>4</v>
      </c>
      <c r="K99" s="17">
        <v>3</v>
      </c>
      <c r="L99" s="17">
        <v>3</v>
      </c>
      <c r="M99" s="17">
        <f>AVERAGE(Table143690117171105108124[[#This Row],[Teste 1]:[Teste 3]])</f>
        <v>3.3333333333333335</v>
      </c>
      <c r="N99" s="16"/>
      <c r="O99" s="16" t="s">
        <v>3</v>
      </c>
      <c r="P99" s="16" t="s">
        <v>8</v>
      </c>
      <c r="Q99" s="17">
        <v>3669</v>
      </c>
      <c r="R99" s="17">
        <v>2151</v>
      </c>
      <c r="S99" s="17">
        <v>2034</v>
      </c>
      <c r="T99" s="17">
        <f>AVERAGE(Table143690117171105108142[[#This Row],[Teste 1]:[Teste 3]])</f>
        <v>2618</v>
      </c>
    </row>
    <row r="100" spans="1:20" x14ac:dyDescent="0.25">
      <c r="A100" s="16" t="s">
        <v>3</v>
      </c>
      <c r="B100" s="16" t="s">
        <v>9</v>
      </c>
      <c r="C100" s="17">
        <v>9</v>
      </c>
      <c r="D100" s="17">
        <v>3</v>
      </c>
      <c r="E100" s="17">
        <v>2</v>
      </c>
      <c r="F100" s="17">
        <f>AVERAGE(Table143690117171105108[[#This Row],[Teste 1]:[Teste 3]])</f>
        <v>4.666666666666667</v>
      </c>
      <c r="G100" s="16"/>
      <c r="H100" s="16" t="s">
        <v>3</v>
      </c>
      <c r="I100" s="16" t="s">
        <v>9</v>
      </c>
      <c r="J100" s="17">
        <v>4</v>
      </c>
      <c r="K100" s="17">
        <v>3</v>
      </c>
      <c r="L100" s="17">
        <v>3</v>
      </c>
      <c r="M100" s="17">
        <f>AVERAGE(Table143690117171105108124[[#This Row],[Teste 1]:[Teste 3]])</f>
        <v>3.3333333333333335</v>
      </c>
      <c r="N100" s="16"/>
      <c r="O100" s="16" t="s">
        <v>3</v>
      </c>
      <c r="P100" s="16" t="s">
        <v>9</v>
      </c>
      <c r="Q100" s="17">
        <v>3669</v>
      </c>
      <c r="R100" s="17">
        <v>2151</v>
      </c>
      <c r="S100" s="17">
        <v>2034</v>
      </c>
      <c r="T100" s="17">
        <f>AVERAGE(Table143690117171105108142[[#This Row],[Teste 1]:[Teste 3]])</f>
        <v>2618</v>
      </c>
    </row>
    <row r="101" spans="1:20" x14ac:dyDescent="0.25">
      <c r="A101" s="16" t="s">
        <v>10</v>
      </c>
      <c r="B101" s="16" t="s">
        <v>4</v>
      </c>
      <c r="C101" s="17">
        <v>50150</v>
      </c>
      <c r="D101" s="17">
        <v>50493</v>
      </c>
      <c r="E101" s="17">
        <v>50261</v>
      </c>
      <c r="F101" s="17">
        <f>AVERAGE(Table143690117171105108[[#This Row],[Teste 1]:[Teste 3]])</f>
        <v>50301.333333333336</v>
      </c>
      <c r="G101" s="16"/>
      <c r="H101" s="16" t="s">
        <v>10</v>
      </c>
      <c r="I101" s="16" t="s">
        <v>4</v>
      </c>
      <c r="J101" s="17">
        <v>50110</v>
      </c>
      <c r="K101" s="17">
        <v>50011</v>
      </c>
      <c r="L101" s="17">
        <v>50114</v>
      </c>
      <c r="M101" s="17">
        <f>AVERAGE(Table143690117171105108124[[#This Row],[Teste 1]:[Teste 3]])</f>
        <v>50078.333333333336</v>
      </c>
      <c r="N101" s="16"/>
      <c r="O101" s="16" t="s">
        <v>10</v>
      </c>
      <c r="P101" s="16" t="s">
        <v>4</v>
      </c>
      <c r="Q101" s="17">
        <v>49697</v>
      </c>
      <c r="R101" s="17">
        <v>49893</v>
      </c>
      <c r="S101" s="17">
        <v>50075</v>
      </c>
      <c r="T101" s="17">
        <f>AVERAGE(Table143690117171105108142[[#This Row],[Teste 1]:[Teste 3]])</f>
        <v>49888.333333333336</v>
      </c>
    </row>
    <row r="102" spans="1:20" x14ac:dyDescent="0.25">
      <c r="A102" s="16" t="s">
        <v>10</v>
      </c>
      <c r="B102" s="16" t="s">
        <v>5</v>
      </c>
      <c r="C102" s="17">
        <v>794.197587238285</v>
      </c>
      <c r="D102" s="17">
        <v>786.685837640861</v>
      </c>
      <c r="E102" s="17">
        <v>788.96806669186799</v>
      </c>
      <c r="F102" s="17">
        <f>AVERAGE(Table143690117171105108[[#This Row],[Teste 1]:[Teste 3]])</f>
        <v>789.95049719033796</v>
      </c>
      <c r="G102" s="16"/>
      <c r="H102" s="16" t="s">
        <v>10</v>
      </c>
      <c r="I102" s="16" t="s">
        <v>5</v>
      </c>
      <c r="J102" s="17">
        <v>387.99</v>
      </c>
      <c r="K102" s="17">
        <v>382.76</v>
      </c>
      <c r="L102" s="17">
        <v>391.22</v>
      </c>
      <c r="M102" s="17">
        <f>AVERAGE(Table143690117171105108124[[#This Row],[Teste 1]:[Teste 3]])</f>
        <v>387.32333333333332</v>
      </c>
      <c r="N102" s="16"/>
      <c r="O102" s="16" t="s">
        <v>10</v>
      </c>
      <c r="P102" s="16" t="s">
        <v>5</v>
      </c>
      <c r="Q102" s="17">
        <v>504.38292049821899</v>
      </c>
      <c r="R102" s="17">
        <v>497.58661535686298</v>
      </c>
      <c r="S102" s="17">
        <v>508.580948577134</v>
      </c>
      <c r="T102" s="17">
        <f>AVERAGE(Table143690117171105108142[[#This Row],[Teste 1]:[Teste 3]])</f>
        <v>503.51682814407195</v>
      </c>
    </row>
    <row r="103" spans="1:20" x14ac:dyDescent="0.25">
      <c r="A103" s="16" t="s">
        <v>10</v>
      </c>
      <c r="B103" s="16" t="s">
        <v>6</v>
      </c>
      <c r="C103" s="17">
        <v>382</v>
      </c>
      <c r="D103" s="17">
        <v>332</v>
      </c>
      <c r="E103" s="17">
        <v>357</v>
      </c>
      <c r="F103" s="17">
        <f>AVERAGE(Table143690117171105108[[#This Row],[Teste 1]:[Teste 3]])</f>
        <v>357</v>
      </c>
      <c r="G103" s="16"/>
      <c r="H103" s="16" t="s">
        <v>10</v>
      </c>
      <c r="I103" s="16" t="s">
        <v>6</v>
      </c>
      <c r="J103" s="17">
        <v>155</v>
      </c>
      <c r="K103" s="17">
        <v>156</v>
      </c>
      <c r="L103" s="17">
        <v>161</v>
      </c>
      <c r="M103" s="17">
        <f>AVERAGE(Table143690117171105108124[[#This Row],[Teste 1]:[Teste 3]])</f>
        <v>157.33333333333334</v>
      </c>
      <c r="N103" s="16"/>
      <c r="O103" s="16" t="s">
        <v>10</v>
      </c>
      <c r="P103" s="16" t="s">
        <v>6</v>
      </c>
      <c r="Q103" s="17">
        <v>202</v>
      </c>
      <c r="R103" s="17">
        <v>203</v>
      </c>
      <c r="S103" s="17">
        <v>210</v>
      </c>
      <c r="T103" s="17">
        <f>AVERAGE(Table143690117171105108142[[#This Row],[Teste 1]:[Teste 3]])</f>
        <v>205</v>
      </c>
    </row>
    <row r="104" spans="1:20" x14ac:dyDescent="0.25">
      <c r="A104" s="16" t="s">
        <v>10</v>
      </c>
      <c r="B104" s="16" t="s">
        <v>7</v>
      </c>
      <c r="C104" s="17">
        <v>22255</v>
      </c>
      <c r="D104" s="17">
        <v>60511</v>
      </c>
      <c r="E104" s="17">
        <v>21951</v>
      </c>
      <c r="F104" s="17">
        <f>AVERAGE(Table143690117171105108[[#This Row],[Teste 1]:[Teste 3]])</f>
        <v>34905.666666666664</v>
      </c>
      <c r="G104" s="16"/>
      <c r="H104" s="16" t="s">
        <v>10</v>
      </c>
      <c r="I104" s="16" t="s">
        <v>7</v>
      </c>
      <c r="J104" s="17">
        <v>49082</v>
      </c>
      <c r="K104" s="17">
        <v>25033</v>
      </c>
      <c r="L104" s="17">
        <v>16725</v>
      </c>
      <c r="M104" s="17">
        <f>AVERAGE(Table143690117171105108124[[#This Row],[Teste 1]:[Teste 3]])</f>
        <v>30280</v>
      </c>
      <c r="N104" s="16"/>
      <c r="O104" s="16" t="s">
        <v>10</v>
      </c>
      <c r="P104" s="16" t="s">
        <v>7</v>
      </c>
      <c r="Q104" s="17">
        <v>63807</v>
      </c>
      <c r="R104" s="17">
        <v>32543</v>
      </c>
      <c r="S104" s="17">
        <v>21743</v>
      </c>
      <c r="T104" s="17">
        <f>AVERAGE(Table143690117171105108142[[#This Row],[Teste 1]:[Teste 3]])</f>
        <v>39364.333333333336</v>
      </c>
    </row>
    <row r="105" spans="1:20" x14ac:dyDescent="0.25">
      <c r="A105" s="16" t="s">
        <v>10</v>
      </c>
      <c r="B105" s="16" t="s">
        <v>8</v>
      </c>
      <c r="C105" s="17">
        <v>1145</v>
      </c>
      <c r="D105" s="17">
        <v>1098</v>
      </c>
      <c r="E105" s="17">
        <v>1097</v>
      </c>
      <c r="F105" s="17">
        <f>AVERAGE(Table143690117171105108[[#This Row],[Teste 1]:[Teste 3]])</f>
        <v>1113.3333333333333</v>
      </c>
      <c r="G105" s="16"/>
      <c r="H105" s="16" t="s">
        <v>10</v>
      </c>
      <c r="I105" s="16" t="s">
        <v>8</v>
      </c>
      <c r="J105" s="17">
        <v>599</v>
      </c>
      <c r="K105" s="17">
        <v>573</v>
      </c>
      <c r="L105" s="17">
        <v>597</v>
      </c>
      <c r="M105" s="17">
        <f>AVERAGE(Table143690117171105108124[[#This Row],[Teste 1]:[Teste 3]])</f>
        <v>589.66666666666663</v>
      </c>
      <c r="N105" s="16"/>
      <c r="O105" s="16" t="s">
        <v>10</v>
      </c>
      <c r="P105" s="16" t="s">
        <v>8</v>
      </c>
      <c r="Q105" s="17">
        <v>779</v>
      </c>
      <c r="R105" s="17">
        <v>745</v>
      </c>
      <c r="S105" s="17">
        <v>776</v>
      </c>
      <c r="T105" s="17">
        <f>AVERAGE(Table143690117171105108142[[#This Row],[Teste 1]:[Teste 3]])</f>
        <v>766.66666666666663</v>
      </c>
    </row>
    <row r="106" spans="1:20" x14ac:dyDescent="0.25">
      <c r="A106" s="16" t="s">
        <v>10</v>
      </c>
      <c r="B106" s="16" t="s">
        <v>9</v>
      </c>
      <c r="C106" s="17">
        <v>2243</v>
      </c>
      <c r="D106" s="17">
        <v>1712</v>
      </c>
      <c r="E106" s="17">
        <v>1970</v>
      </c>
      <c r="F106" s="17">
        <f>AVERAGE(Table143690117171105108[[#This Row],[Teste 1]:[Teste 3]])</f>
        <v>1975</v>
      </c>
      <c r="G106" s="16"/>
      <c r="H106" s="16" t="s">
        <v>10</v>
      </c>
      <c r="I106" s="16" t="s">
        <v>9</v>
      </c>
      <c r="J106" s="17">
        <v>811.54</v>
      </c>
      <c r="K106" s="17">
        <v>730.77</v>
      </c>
      <c r="L106" s="17">
        <v>762.31</v>
      </c>
      <c r="M106" s="17">
        <f>AVERAGE(Table143690117171105108124[[#This Row],[Teste 1]:[Teste 3]])</f>
        <v>768.20666666666659</v>
      </c>
      <c r="N106" s="16"/>
      <c r="O106" s="16" t="s">
        <v>10</v>
      </c>
      <c r="P106" s="16" t="s">
        <v>9</v>
      </c>
      <c r="Q106" s="17">
        <v>1055</v>
      </c>
      <c r="R106" s="17">
        <v>950</v>
      </c>
      <c r="S106" s="17">
        <v>991</v>
      </c>
      <c r="T106" s="17">
        <f>AVERAGE(Table143690117171105108142[[#This Row],[Teste 1]:[Teste 3]])</f>
        <v>998.66666666666663</v>
      </c>
    </row>
    <row r="107" spans="1:20" x14ac:dyDescent="0.25">
      <c r="A107" s="16" t="s">
        <v>10</v>
      </c>
      <c r="B107" s="16" t="s">
        <v>11</v>
      </c>
      <c r="C107" s="17">
        <v>50150</v>
      </c>
      <c r="D107" s="17">
        <v>50493</v>
      </c>
      <c r="E107" s="17">
        <v>50261</v>
      </c>
      <c r="F107" s="17">
        <f>AVERAGE(Table143690117171105108[[#This Row],[Teste 1]:[Teste 3]])</f>
        <v>50301.333333333336</v>
      </c>
      <c r="G107" s="16"/>
      <c r="H107" s="16" t="s">
        <v>10</v>
      </c>
      <c r="I107" s="16" t="s">
        <v>11</v>
      </c>
      <c r="J107" s="17">
        <v>50110</v>
      </c>
      <c r="K107" s="17">
        <v>50011</v>
      </c>
      <c r="L107" s="17">
        <v>50114</v>
      </c>
      <c r="M107" s="17">
        <f>AVERAGE(Table143690117171105108124[[#This Row],[Teste 1]:[Teste 3]])</f>
        <v>50078.333333333336</v>
      </c>
      <c r="N107" s="16"/>
      <c r="O107" s="16" t="s">
        <v>10</v>
      </c>
      <c r="P107" s="16" t="s">
        <v>11</v>
      </c>
      <c r="Q107" s="17">
        <v>49697</v>
      </c>
      <c r="R107" s="17">
        <v>49893</v>
      </c>
      <c r="S107" s="17">
        <v>50075</v>
      </c>
      <c r="T107" s="17">
        <f>AVERAGE(Table143690117171105108142[[#This Row],[Teste 1]:[Teste 3]])</f>
        <v>49888.333333333336</v>
      </c>
    </row>
    <row r="108" spans="1:20" x14ac:dyDescent="0.25">
      <c r="A108" s="16" t="s">
        <v>71</v>
      </c>
      <c r="B108" s="16" t="s">
        <v>4</v>
      </c>
      <c r="C108" s="17">
        <v>949850</v>
      </c>
      <c r="D108" s="17">
        <v>949507</v>
      </c>
      <c r="E108" s="17">
        <v>949739</v>
      </c>
      <c r="F108" s="17">
        <f>AVERAGE(Table143690117171105108[[#This Row],[Teste 1]:[Teste 3]])</f>
        <v>949698.66666666663</v>
      </c>
      <c r="G108" s="16"/>
      <c r="H108" s="16" t="s">
        <v>71</v>
      </c>
      <c r="I108" s="16" t="s">
        <v>4</v>
      </c>
      <c r="J108" s="17">
        <v>949890</v>
      </c>
      <c r="K108" s="17">
        <v>949989</v>
      </c>
      <c r="L108" s="17">
        <v>949886</v>
      </c>
      <c r="M108" s="17">
        <f>AVERAGE(Table143690117171105108124[[#This Row],[Teste 1]:[Teste 3]])</f>
        <v>949921.66666666663</v>
      </c>
      <c r="N108" s="16"/>
      <c r="O108" s="16" t="s">
        <v>71</v>
      </c>
      <c r="P108" s="16" t="s">
        <v>4</v>
      </c>
      <c r="Q108" s="17">
        <v>950303</v>
      </c>
      <c r="R108" s="17">
        <v>950107</v>
      </c>
      <c r="S108" s="17">
        <v>949925</v>
      </c>
      <c r="T108" s="17">
        <f>AVERAGE(Table143690117171105108142[[#This Row],[Teste 1]:[Teste 3]])</f>
        <v>950111.66666666663</v>
      </c>
    </row>
    <row r="109" spans="1:20" x14ac:dyDescent="0.25">
      <c r="A109" s="16" t="s">
        <v>71</v>
      </c>
      <c r="B109" s="16" t="s">
        <v>5</v>
      </c>
      <c r="C109" s="17">
        <v>7820.2240185292403</v>
      </c>
      <c r="D109" s="17">
        <v>7715.8696218142604</v>
      </c>
      <c r="E109" s="17">
        <v>7712.0908533818201</v>
      </c>
      <c r="F109" s="17">
        <f>AVERAGE(Table143690117171105108[[#This Row],[Teste 1]:[Teste 3]])</f>
        <v>7749.3948312417733</v>
      </c>
      <c r="G109" s="16"/>
      <c r="H109" s="16" t="s">
        <v>71</v>
      </c>
      <c r="I109" s="16" t="s">
        <v>5</v>
      </c>
      <c r="J109" s="17">
        <v>5223.63</v>
      </c>
      <c r="K109" s="17">
        <v>4966.8100000000004</v>
      </c>
      <c r="L109" s="17">
        <v>4865.8900000000003</v>
      </c>
      <c r="M109" s="17">
        <f>AVERAGE(Table143690117171105108124[[#This Row],[Teste 1]:[Teste 3]])</f>
        <v>5018.7766666666676</v>
      </c>
      <c r="N109" s="16"/>
      <c r="O109" s="16" t="s">
        <v>71</v>
      </c>
      <c r="P109" s="16" t="s">
        <v>5</v>
      </c>
      <c r="Q109" s="17">
        <v>6790.7127547740001</v>
      </c>
      <c r="R109" s="17">
        <v>6456.8591506009298</v>
      </c>
      <c r="S109" s="17">
        <v>6325.6690980866897</v>
      </c>
      <c r="T109" s="17">
        <f>AVERAGE(Table143690117171105108142[[#This Row],[Teste 1]:[Teste 3]])</f>
        <v>6524.4136678205396</v>
      </c>
    </row>
    <row r="110" spans="1:20" x14ac:dyDescent="0.25">
      <c r="A110" s="16" t="s">
        <v>71</v>
      </c>
      <c r="B110" s="16" t="s">
        <v>6</v>
      </c>
      <c r="C110" s="17">
        <v>896</v>
      </c>
      <c r="D110" s="17">
        <v>977</v>
      </c>
      <c r="E110" s="17">
        <v>968</v>
      </c>
      <c r="F110" s="17">
        <f>AVERAGE(Table143690117171105108[[#This Row],[Teste 1]:[Teste 3]])</f>
        <v>947</v>
      </c>
      <c r="G110" s="16"/>
      <c r="H110" s="16" t="s">
        <v>71</v>
      </c>
      <c r="I110" s="16" t="s">
        <v>6</v>
      </c>
      <c r="J110" s="17">
        <v>123</v>
      </c>
      <c r="K110" s="17">
        <v>132</v>
      </c>
      <c r="L110" s="17">
        <v>128</v>
      </c>
      <c r="M110" s="17">
        <f>AVERAGE(Table143690117171105108124[[#This Row],[Teste 1]:[Teste 3]])</f>
        <v>127.66666666666667</v>
      </c>
      <c r="N110" s="16"/>
      <c r="O110" s="16" t="s">
        <v>71</v>
      </c>
      <c r="P110" s="16" t="s">
        <v>6</v>
      </c>
      <c r="Q110" s="17">
        <v>160</v>
      </c>
      <c r="R110" s="17">
        <v>172</v>
      </c>
      <c r="S110" s="17">
        <v>166</v>
      </c>
      <c r="T110" s="17">
        <f>AVERAGE(Table143690117171105108142[[#This Row],[Teste 1]:[Teste 3]])</f>
        <v>166</v>
      </c>
    </row>
    <row r="111" spans="1:20" x14ac:dyDescent="0.25">
      <c r="A111" s="16" t="s">
        <v>71</v>
      </c>
      <c r="B111" s="16" t="s">
        <v>7</v>
      </c>
      <c r="C111" s="17">
        <v>115455</v>
      </c>
      <c r="D111" s="17">
        <v>141183</v>
      </c>
      <c r="E111" s="17">
        <v>106239</v>
      </c>
      <c r="F111" s="17">
        <f>AVERAGE(Table143690117171105108[[#This Row],[Teste 1]:[Teste 3]])</f>
        <v>120959</v>
      </c>
      <c r="G111" s="16"/>
      <c r="H111" s="16" t="s">
        <v>71</v>
      </c>
      <c r="I111" s="16" t="s">
        <v>7</v>
      </c>
      <c r="J111" s="17">
        <v>107027</v>
      </c>
      <c r="K111" s="17">
        <v>61341</v>
      </c>
      <c r="L111" s="17">
        <v>111753</v>
      </c>
      <c r="M111" s="17">
        <f>AVERAGE(Table143690117171105108124[[#This Row],[Teste 1]:[Teste 3]])</f>
        <v>93373.666666666672</v>
      </c>
      <c r="N111" s="16"/>
      <c r="O111" s="16" t="s">
        <v>71</v>
      </c>
      <c r="P111" s="16" t="s">
        <v>7</v>
      </c>
      <c r="Q111" s="17">
        <v>139135</v>
      </c>
      <c r="R111" s="17">
        <v>79743</v>
      </c>
      <c r="S111" s="17">
        <v>145279</v>
      </c>
      <c r="T111" s="17">
        <f>AVERAGE(Table143690117171105108142[[#This Row],[Teste 1]:[Teste 3]])</f>
        <v>121385.66666666667</v>
      </c>
    </row>
    <row r="112" spans="1:20" x14ac:dyDescent="0.25">
      <c r="A112" s="16" t="s">
        <v>71</v>
      </c>
      <c r="B112" s="16" t="s">
        <v>8</v>
      </c>
      <c r="C112" s="17">
        <v>17087</v>
      </c>
      <c r="D112" s="17">
        <v>16943</v>
      </c>
      <c r="E112" s="17">
        <v>16943</v>
      </c>
      <c r="F112" s="17">
        <f>AVERAGE(Table143690117171105108[[#This Row],[Teste 1]:[Teste 3]])</f>
        <v>16991</v>
      </c>
      <c r="G112" s="16"/>
      <c r="H112" s="16" t="s">
        <v>71</v>
      </c>
      <c r="I112" s="16" t="s">
        <v>8</v>
      </c>
      <c r="J112" s="17">
        <v>11741</v>
      </c>
      <c r="K112" s="17">
        <v>10959</v>
      </c>
      <c r="L112" s="17">
        <v>10812</v>
      </c>
      <c r="M112" s="17">
        <f>AVERAGE(Table143690117171105108124[[#This Row],[Teste 1]:[Teste 3]])</f>
        <v>11170.666666666666</v>
      </c>
      <c r="N112" s="16"/>
      <c r="O112" s="16" t="s">
        <v>71</v>
      </c>
      <c r="P112" s="16" t="s">
        <v>8</v>
      </c>
      <c r="Q112" s="17">
        <v>15263</v>
      </c>
      <c r="R112" s="17">
        <v>14247</v>
      </c>
      <c r="S112" s="17">
        <v>14055</v>
      </c>
      <c r="T112" s="17">
        <f>AVERAGE(Table143690117171105108142[[#This Row],[Teste 1]:[Teste 3]])</f>
        <v>14521.666666666666</v>
      </c>
    </row>
    <row r="113" spans="1:20" x14ac:dyDescent="0.25">
      <c r="A113" s="16" t="s">
        <v>71</v>
      </c>
      <c r="B113" s="16" t="s">
        <v>9</v>
      </c>
      <c r="C113" s="17">
        <v>19999</v>
      </c>
      <c r="D113" s="17">
        <v>19807</v>
      </c>
      <c r="E113" s="17">
        <v>19855</v>
      </c>
      <c r="F113" s="17">
        <f>AVERAGE(Table143690117171105108[[#This Row],[Teste 1]:[Teste 3]])</f>
        <v>19887</v>
      </c>
      <c r="G113" s="16"/>
      <c r="H113" s="16" t="s">
        <v>71</v>
      </c>
      <c r="I113" s="16" t="s">
        <v>9</v>
      </c>
      <c r="J113" s="17">
        <v>13809</v>
      </c>
      <c r="K113" s="17">
        <v>12689</v>
      </c>
      <c r="L113" s="17">
        <v>12541</v>
      </c>
      <c r="M113" s="17">
        <f>AVERAGE(Table143690117171105108124[[#This Row],[Teste 1]:[Teste 3]])</f>
        <v>13013</v>
      </c>
      <c r="N113" s="16"/>
      <c r="O113" s="16" t="s">
        <v>71</v>
      </c>
      <c r="P113" s="16" t="s">
        <v>9</v>
      </c>
      <c r="Q113" s="17">
        <v>17951</v>
      </c>
      <c r="R113" s="17">
        <v>16495</v>
      </c>
      <c r="S113" s="17">
        <v>16303</v>
      </c>
      <c r="T113" s="17">
        <f>AVERAGE(Table143690117171105108142[[#This Row],[Teste 1]:[Teste 3]])</f>
        <v>16916.333333333332</v>
      </c>
    </row>
    <row r="114" spans="1:20" x14ac:dyDescent="0.25">
      <c r="A114" s="16" t="s">
        <v>71</v>
      </c>
      <c r="B114" s="16" t="s">
        <v>11</v>
      </c>
      <c r="C114" s="17">
        <v>949850</v>
      </c>
      <c r="D114" s="17">
        <v>949507</v>
      </c>
      <c r="E114" s="17">
        <v>949739</v>
      </c>
      <c r="F114" s="17">
        <f>AVERAGE(Table143690117171105108[[#This Row],[Teste 1]:[Teste 3]])</f>
        <v>949698.66666666663</v>
      </c>
      <c r="G114" s="16"/>
      <c r="H114" s="16" t="s">
        <v>71</v>
      </c>
      <c r="I114" s="16" t="s">
        <v>11</v>
      </c>
      <c r="J114" s="17">
        <v>949890</v>
      </c>
      <c r="K114" s="17">
        <v>949989</v>
      </c>
      <c r="L114" s="17">
        <v>949886</v>
      </c>
      <c r="M114" s="17">
        <f>AVERAGE(Table143690117171105108124[[#This Row],[Teste 1]:[Teste 3]])</f>
        <v>949921.66666666663</v>
      </c>
      <c r="N114" s="16"/>
      <c r="O114" s="16" t="s">
        <v>71</v>
      </c>
      <c r="P114" s="16" t="s">
        <v>11</v>
      </c>
      <c r="Q114" s="17">
        <v>950303</v>
      </c>
      <c r="R114" s="17">
        <v>950107</v>
      </c>
      <c r="S114" s="17">
        <v>949925</v>
      </c>
      <c r="T114" s="17">
        <f>AVERAGE(Table143690117171105108142[[#This Row],[Teste 1]:[Teste 3]])</f>
        <v>950111.66666666663</v>
      </c>
    </row>
    <row r="115" spans="1:20" x14ac:dyDescent="0.25">
      <c r="A115" s="16"/>
      <c r="B115" s="16"/>
      <c r="C115" s="17"/>
      <c r="D115" s="17"/>
      <c r="E115" s="17"/>
      <c r="F115" s="17"/>
      <c r="G115" s="16"/>
      <c r="H115" s="16"/>
      <c r="I115" s="16"/>
      <c r="J115" s="17"/>
      <c r="K115" s="17"/>
      <c r="L115" s="17"/>
      <c r="M115" s="17"/>
      <c r="N115" s="16"/>
      <c r="O115" s="16"/>
      <c r="P115" s="16"/>
      <c r="Q115" s="17"/>
      <c r="R115" s="17"/>
      <c r="S115" s="17"/>
      <c r="T115" s="17"/>
    </row>
    <row r="116" spans="1:20" x14ac:dyDescent="0.25">
      <c r="A116" s="16"/>
      <c r="B116" s="16"/>
      <c r="C116" s="17"/>
      <c r="D116" s="17"/>
      <c r="E116" s="17"/>
      <c r="F116" s="17"/>
      <c r="G116" s="16"/>
      <c r="H116" s="16"/>
      <c r="I116" s="16"/>
      <c r="J116" s="17"/>
      <c r="K116" s="17"/>
      <c r="L116" s="17"/>
      <c r="M116" s="17"/>
      <c r="N116" s="16"/>
      <c r="O116" s="16"/>
      <c r="P116" s="16"/>
      <c r="Q116" s="17"/>
      <c r="R116" s="17"/>
      <c r="S116" s="17"/>
      <c r="T116" s="17"/>
    </row>
    <row r="117" spans="1:20" x14ac:dyDescent="0.25">
      <c r="A117" s="16"/>
      <c r="B117" s="16"/>
      <c r="C117" s="17"/>
      <c r="D117" s="17"/>
      <c r="E117" s="17"/>
      <c r="F117" s="17"/>
      <c r="G117" s="16"/>
      <c r="H117" s="16"/>
      <c r="I117" s="16"/>
      <c r="J117" s="17"/>
      <c r="K117" s="17"/>
      <c r="L117" s="17"/>
      <c r="M117" s="17"/>
      <c r="N117" s="16"/>
      <c r="O117" s="16"/>
      <c r="P117" s="16"/>
      <c r="Q117" s="17"/>
      <c r="R117" s="17"/>
      <c r="S117" s="17"/>
      <c r="T117" s="17"/>
    </row>
    <row r="119" spans="1:20" ht="15.75" customHeight="1" x14ac:dyDescent="0.25">
      <c r="A119" s="2" t="s">
        <v>74</v>
      </c>
      <c r="H119" s="2" t="s">
        <v>74</v>
      </c>
      <c r="O119" s="2" t="s">
        <v>74</v>
      </c>
    </row>
    <row r="120" spans="1:20" ht="15.75" x14ac:dyDescent="0.25">
      <c r="A120" s="16" t="s">
        <v>59</v>
      </c>
      <c r="B120" s="21" t="s">
        <v>66</v>
      </c>
      <c r="C120" s="16" t="s">
        <v>82</v>
      </c>
      <c r="D120" s="16" t="s">
        <v>64</v>
      </c>
      <c r="E120" s="16" t="s">
        <v>63</v>
      </c>
      <c r="F120" s="16" t="s">
        <v>18</v>
      </c>
      <c r="G120" s="16"/>
      <c r="H120" s="16" t="s">
        <v>12</v>
      </c>
      <c r="I120" s="21" t="s">
        <v>66</v>
      </c>
      <c r="J120" s="16" t="s">
        <v>82</v>
      </c>
      <c r="K120" s="16" t="s">
        <v>64</v>
      </c>
      <c r="L120" s="16" t="s">
        <v>63</v>
      </c>
      <c r="M120" s="16" t="s">
        <v>18</v>
      </c>
      <c r="N120" s="16"/>
      <c r="O120" s="16" t="s">
        <v>13</v>
      </c>
      <c r="P120" s="21" t="s">
        <v>66</v>
      </c>
      <c r="Q120" s="16" t="s">
        <v>82</v>
      </c>
      <c r="R120" s="16" t="s">
        <v>64</v>
      </c>
      <c r="S120" s="16" t="s">
        <v>63</v>
      </c>
      <c r="T120" s="16" t="s">
        <v>18</v>
      </c>
    </row>
    <row r="121" spans="1:20" x14ac:dyDescent="0.25">
      <c r="A121" s="16" t="s">
        <v>0</v>
      </c>
      <c r="B121" s="16" t="s">
        <v>1</v>
      </c>
      <c r="C121" s="17">
        <v>3191056</v>
      </c>
      <c r="D121" s="17">
        <v>3330578</v>
      </c>
      <c r="E121" s="17">
        <v>3343725</v>
      </c>
      <c r="F121" s="17">
        <f>AVERAGE(Table143690117171105106109[[#This Row],[Teste 1]:[Teste 3]])</f>
        <v>3288453</v>
      </c>
      <c r="G121" s="16"/>
      <c r="H121" s="16" t="s">
        <v>0</v>
      </c>
      <c r="I121" s="16" t="s">
        <v>1</v>
      </c>
      <c r="J121" s="17">
        <v>2882451</v>
      </c>
      <c r="K121" s="17">
        <v>3221341</v>
      </c>
      <c r="L121" s="17">
        <v>2317006</v>
      </c>
      <c r="M121" s="17">
        <f>AVERAGE(Table143690117171105106109126[[#This Row],[Teste 1]:[Teste 3]])</f>
        <v>2806932.6666666665</v>
      </c>
      <c r="N121" s="16"/>
      <c r="O121" s="16" t="s">
        <v>0</v>
      </c>
      <c r="P121" s="16" t="s">
        <v>1</v>
      </c>
      <c r="Q121" s="17">
        <v>4611922</v>
      </c>
      <c r="R121" s="17">
        <v>5154146</v>
      </c>
      <c r="S121" s="17">
        <v>3707209</v>
      </c>
      <c r="T121" s="17">
        <f>AVERAGE(Table143690117171105106109143[[#This Row],[Teste 1]:[Teste 3]])</f>
        <v>4491092.333333333</v>
      </c>
    </row>
    <row r="122" spans="1:20" x14ac:dyDescent="0.25">
      <c r="A122" s="16" t="s">
        <v>0</v>
      </c>
      <c r="B122" s="16" t="s">
        <v>2</v>
      </c>
      <c r="C122" s="17">
        <v>313.37588560025199</v>
      </c>
      <c r="D122" s="17">
        <v>300.24818514984401</v>
      </c>
      <c r="E122" s="17">
        <v>299.06765658060903</v>
      </c>
      <c r="F122" s="17">
        <f>AVERAGE(Table143690117171105106109[[#This Row],[Teste 1]:[Teste 3]])</f>
        <v>304.23057577690173</v>
      </c>
      <c r="G122" s="16"/>
      <c r="H122" s="16" t="s">
        <v>0</v>
      </c>
      <c r="I122" s="16" t="s">
        <v>2</v>
      </c>
      <c r="J122" s="17">
        <v>346.93</v>
      </c>
      <c r="K122" s="17">
        <v>310.43</v>
      </c>
      <c r="L122" s="17">
        <v>431.59</v>
      </c>
      <c r="M122" s="17">
        <f>AVERAGE(Table143690117171105106109126[[#This Row],[Teste 1]:[Teste 3]])</f>
        <v>362.98333333333335</v>
      </c>
      <c r="N122" s="16"/>
      <c r="O122" s="16" t="s">
        <v>0</v>
      </c>
      <c r="P122" s="16" t="s">
        <v>2</v>
      </c>
      <c r="Q122" s="17">
        <v>216.82933926462701</v>
      </c>
      <c r="R122" s="17">
        <v>194.018562920025</v>
      </c>
      <c r="S122" s="17">
        <v>269.744705518356</v>
      </c>
      <c r="T122" s="17">
        <f>AVERAGE(Table143690117171105106109143[[#This Row],[Teste 1]:[Teste 3]])</f>
        <v>226.86420256766937</v>
      </c>
    </row>
    <row r="123" spans="1:20" x14ac:dyDescent="0.25">
      <c r="A123" s="16" t="s">
        <v>3</v>
      </c>
      <c r="B123" s="16" t="s">
        <v>4</v>
      </c>
      <c r="C123" s="17">
        <v>3</v>
      </c>
      <c r="D123" s="17">
        <v>3</v>
      </c>
      <c r="E123" s="17">
        <v>3</v>
      </c>
      <c r="F123" s="17">
        <f>AVERAGE(Table143690117171105106109[[#This Row],[Teste 1]:[Teste 3]])</f>
        <v>3</v>
      </c>
      <c r="G123" s="16"/>
      <c r="H123" s="16" t="s">
        <v>3</v>
      </c>
      <c r="I123" s="16" t="s">
        <v>4</v>
      </c>
      <c r="J123" s="17">
        <v>3</v>
      </c>
      <c r="K123" s="17">
        <v>3</v>
      </c>
      <c r="L123" s="17">
        <v>3</v>
      </c>
      <c r="M123" s="17">
        <f>AVERAGE(Table143690117171105106109126[[#This Row],[Teste 1]:[Teste 3]])</f>
        <v>3</v>
      </c>
      <c r="N123" s="16"/>
      <c r="O123" s="16" t="s">
        <v>3</v>
      </c>
      <c r="P123" s="16" t="s">
        <v>4</v>
      </c>
      <c r="Q123" s="17">
        <v>3</v>
      </c>
      <c r="R123" s="17">
        <v>3</v>
      </c>
      <c r="S123" s="17">
        <v>3</v>
      </c>
      <c r="T123" s="17">
        <f>AVERAGE(Table143690117171105106109143[[#This Row],[Teste 1]:[Teste 3]])</f>
        <v>3</v>
      </c>
    </row>
    <row r="124" spans="1:20" x14ac:dyDescent="0.25">
      <c r="A124" s="16" t="s">
        <v>3</v>
      </c>
      <c r="B124" s="16" t="s">
        <v>5</v>
      </c>
      <c r="C124" s="17">
        <v>1</v>
      </c>
      <c r="D124" s="17">
        <v>1</v>
      </c>
      <c r="E124" s="17">
        <v>1.6666666666666601</v>
      </c>
      <c r="F124" s="17">
        <f>AVERAGE(Table143690117171105106109[[#This Row],[Teste 1]:[Teste 3]])</f>
        <v>1.2222222222222199</v>
      </c>
      <c r="G124" s="16"/>
      <c r="H124" s="16" t="s">
        <v>3</v>
      </c>
      <c r="I124" s="16" t="s">
        <v>5</v>
      </c>
      <c r="J124" s="17">
        <v>1.3332999999999999</v>
      </c>
      <c r="K124" s="17">
        <v>1.67</v>
      </c>
      <c r="L124" s="17">
        <v>1.333</v>
      </c>
      <c r="M124" s="17">
        <f>AVERAGE(Table143690117171105106109126[[#This Row],[Teste 1]:[Teste 3]])</f>
        <v>1.4454333333333331</v>
      </c>
      <c r="N124" s="16"/>
      <c r="O124" s="16" t="s">
        <v>3</v>
      </c>
      <c r="P124" s="16" t="s">
        <v>5</v>
      </c>
      <c r="Q124" s="17">
        <v>1014.66666666666</v>
      </c>
      <c r="R124" s="17">
        <v>735.33333333333303</v>
      </c>
      <c r="S124" s="17">
        <v>604</v>
      </c>
      <c r="T124" s="17">
        <f>AVERAGE(Table143690117171105106109143[[#This Row],[Teste 1]:[Teste 3]])</f>
        <v>784.66666666666436</v>
      </c>
    </row>
    <row r="125" spans="1:20" x14ac:dyDescent="0.25">
      <c r="A125" s="16" t="s">
        <v>3</v>
      </c>
      <c r="B125" s="16" t="s">
        <v>6</v>
      </c>
      <c r="C125" s="17">
        <v>1</v>
      </c>
      <c r="D125" s="17">
        <v>0</v>
      </c>
      <c r="E125" s="17">
        <v>1</v>
      </c>
      <c r="F125" s="17">
        <f>AVERAGE(Table143690117171105106109[[#This Row],[Teste 1]:[Teste 3]])</f>
        <v>0.66666666666666663</v>
      </c>
      <c r="G125" s="16"/>
      <c r="H125" s="16" t="s">
        <v>3</v>
      </c>
      <c r="I125" s="16" t="s">
        <v>6</v>
      </c>
      <c r="J125" s="17">
        <v>3</v>
      </c>
      <c r="K125" s="17">
        <v>7</v>
      </c>
      <c r="L125" s="17">
        <v>3</v>
      </c>
      <c r="M125" s="17">
        <f>AVERAGE(Table143690117171105106109126[[#This Row],[Teste 1]:[Teste 3]])</f>
        <v>4.333333333333333</v>
      </c>
      <c r="N125" s="16"/>
      <c r="O125" s="16" t="s">
        <v>3</v>
      </c>
      <c r="P125" s="16" t="s">
        <v>6</v>
      </c>
      <c r="Q125" s="17">
        <v>1</v>
      </c>
      <c r="R125" s="17">
        <v>1</v>
      </c>
      <c r="S125" s="17">
        <v>1</v>
      </c>
      <c r="T125" s="17">
        <f>AVERAGE(Table143690117171105106109143[[#This Row],[Teste 1]:[Teste 3]])</f>
        <v>1</v>
      </c>
    </row>
    <row r="126" spans="1:20" x14ac:dyDescent="0.25">
      <c r="A126" s="16" t="s">
        <v>3</v>
      </c>
      <c r="B126" s="16" t="s">
        <v>7</v>
      </c>
      <c r="C126" s="17">
        <v>1</v>
      </c>
      <c r="D126" s="17">
        <v>2</v>
      </c>
      <c r="E126" s="17">
        <v>3</v>
      </c>
      <c r="F126" s="17">
        <f>AVERAGE(Table143690117171105106109[[#This Row],[Teste 1]:[Teste 3]])</f>
        <v>2</v>
      </c>
      <c r="G126" s="16"/>
      <c r="H126" s="16" t="s">
        <v>3</v>
      </c>
      <c r="I126" s="16" t="s">
        <v>7</v>
      </c>
      <c r="J126" s="17">
        <v>3</v>
      </c>
      <c r="K126" s="17">
        <v>7</v>
      </c>
      <c r="L126" s="17">
        <v>3</v>
      </c>
      <c r="M126" s="17">
        <f>AVERAGE(Table143690117171105106109126[[#This Row],[Teste 1]:[Teste 3]])</f>
        <v>4.333333333333333</v>
      </c>
      <c r="N126" s="16"/>
      <c r="O126" s="16" t="s">
        <v>3</v>
      </c>
      <c r="P126" s="16" t="s">
        <v>7</v>
      </c>
      <c r="Q126" s="17">
        <v>3035</v>
      </c>
      <c r="R126" s="17">
        <v>2199</v>
      </c>
      <c r="S126" s="17">
        <v>1803</v>
      </c>
      <c r="T126" s="17">
        <f>AVERAGE(Table143690117171105106109143[[#This Row],[Teste 1]:[Teste 3]])</f>
        <v>2345.6666666666665</v>
      </c>
    </row>
    <row r="127" spans="1:20" x14ac:dyDescent="0.25">
      <c r="A127" s="16" t="s">
        <v>3</v>
      </c>
      <c r="B127" s="16" t="s">
        <v>8</v>
      </c>
      <c r="C127" s="17">
        <v>1</v>
      </c>
      <c r="D127" s="17">
        <v>2</v>
      </c>
      <c r="E127" s="17">
        <v>3</v>
      </c>
      <c r="F127" s="17">
        <f>AVERAGE(Table143690117171105106109[[#This Row],[Teste 1]:[Teste 3]])</f>
        <v>2</v>
      </c>
      <c r="G127" s="16"/>
      <c r="H127" s="16" t="s">
        <v>3</v>
      </c>
      <c r="I127" s="16" t="s">
        <v>8</v>
      </c>
      <c r="J127" s="17">
        <v>3</v>
      </c>
      <c r="K127" s="17">
        <v>7</v>
      </c>
      <c r="L127" s="17">
        <v>3</v>
      </c>
      <c r="M127" s="17">
        <f>AVERAGE(Table143690117171105106109126[[#This Row],[Teste 1]:[Teste 3]])</f>
        <v>4.333333333333333</v>
      </c>
      <c r="N127" s="16"/>
      <c r="O127" s="16" t="s">
        <v>3</v>
      </c>
      <c r="P127" s="16" t="s">
        <v>8</v>
      </c>
      <c r="Q127" s="17">
        <v>3035</v>
      </c>
      <c r="R127" s="17">
        <v>2199</v>
      </c>
      <c r="S127" s="17">
        <v>1803</v>
      </c>
      <c r="T127" s="17">
        <f>AVERAGE(Table143690117171105106109143[[#This Row],[Teste 1]:[Teste 3]])</f>
        <v>2345.6666666666665</v>
      </c>
    </row>
    <row r="128" spans="1:20" x14ac:dyDescent="0.25">
      <c r="A128" s="16" t="s">
        <v>3</v>
      </c>
      <c r="B128" s="16" t="s">
        <v>9</v>
      </c>
      <c r="C128" s="17">
        <v>1</v>
      </c>
      <c r="D128" s="17">
        <v>2</v>
      </c>
      <c r="E128" s="17">
        <v>3</v>
      </c>
      <c r="F128" s="17">
        <f>AVERAGE(Table143690117171105106109[[#This Row],[Teste 1]:[Teste 3]])</f>
        <v>2</v>
      </c>
      <c r="G128" s="16"/>
      <c r="H128" s="16" t="s">
        <v>3</v>
      </c>
      <c r="I128" s="16" t="s">
        <v>9</v>
      </c>
      <c r="J128" s="17">
        <v>3</v>
      </c>
      <c r="K128" s="17">
        <v>7</v>
      </c>
      <c r="L128" s="17">
        <v>3</v>
      </c>
      <c r="M128" s="17">
        <f>AVERAGE(Table143690117171105106109126[[#This Row],[Teste 1]:[Teste 3]])</f>
        <v>4.333333333333333</v>
      </c>
      <c r="N128" s="16"/>
      <c r="O128" s="16" t="s">
        <v>3</v>
      </c>
      <c r="P128" s="16" t="s">
        <v>9</v>
      </c>
      <c r="Q128" s="17">
        <v>3035</v>
      </c>
      <c r="R128" s="17">
        <v>2199</v>
      </c>
      <c r="S128" s="17">
        <v>1803</v>
      </c>
      <c r="T128" s="17">
        <f>AVERAGE(Table143690117171105106109143[[#This Row],[Teste 1]:[Teste 3]])</f>
        <v>2345.6666666666665</v>
      </c>
    </row>
    <row r="129" spans="1:20" x14ac:dyDescent="0.25">
      <c r="A129" s="16" t="s">
        <v>10</v>
      </c>
      <c r="B129" s="16" t="s">
        <v>4</v>
      </c>
      <c r="C129" s="17">
        <v>50110</v>
      </c>
      <c r="D129" s="17">
        <v>50030</v>
      </c>
      <c r="E129" s="17">
        <v>49942</v>
      </c>
      <c r="F129" s="17">
        <f>AVERAGE(Table143690117171105106109[[#This Row],[Teste 1]:[Teste 3]])</f>
        <v>50027.333333333336</v>
      </c>
      <c r="G129" s="16"/>
      <c r="H129" s="16" t="s">
        <v>10</v>
      </c>
      <c r="I129" s="16" t="s">
        <v>4</v>
      </c>
      <c r="J129" s="17">
        <v>49750</v>
      </c>
      <c r="K129" s="17">
        <v>50378</v>
      </c>
      <c r="L129" s="17">
        <v>49846</v>
      </c>
      <c r="M129" s="17">
        <f>AVERAGE(Table143690117171105106109126[[#This Row],[Teste 1]:[Teste 3]])</f>
        <v>49991.333333333336</v>
      </c>
      <c r="N129" s="16"/>
      <c r="O129" s="16" t="s">
        <v>10</v>
      </c>
      <c r="P129" s="16" t="s">
        <v>4</v>
      </c>
      <c r="Q129" s="17">
        <v>50011</v>
      </c>
      <c r="R129" s="17">
        <v>49694</v>
      </c>
      <c r="S129" s="17">
        <v>50114</v>
      </c>
      <c r="T129" s="17">
        <f>AVERAGE(Table143690117171105106109143[[#This Row],[Teste 1]:[Teste 3]])</f>
        <v>49939.666666666664</v>
      </c>
    </row>
    <row r="130" spans="1:20" x14ac:dyDescent="0.25">
      <c r="A130" s="16" t="s">
        <v>10</v>
      </c>
      <c r="B130" s="16" t="s">
        <v>5</v>
      </c>
      <c r="C130" s="17">
        <v>712.097844741568</v>
      </c>
      <c r="D130" s="17">
        <v>739.91623026184197</v>
      </c>
      <c r="E130" s="17">
        <v>730.07869128188702</v>
      </c>
      <c r="F130" s="17">
        <f>AVERAGE(Table143690117171105106109[[#This Row],[Teste 1]:[Teste 3]])</f>
        <v>727.36425542843233</v>
      </c>
      <c r="G130" s="16"/>
      <c r="H130" s="16" t="s">
        <v>10</v>
      </c>
      <c r="I130" s="16" t="s">
        <v>5</v>
      </c>
      <c r="J130" s="17">
        <v>367.47</v>
      </c>
      <c r="K130" s="17">
        <v>457.22</v>
      </c>
      <c r="L130" s="17">
        <v>361.68</v>
      </c>
      <c r="M130" s="17">
        <f>AVERAGE(Table143690117171105106109126[[#This Row],[Teste 1]:[Teste 3]])</f>
        <v>395.45666666666671</v>
      </c>
      <c r="N130" s="16"/>
      <c r="O130" s="16" t="s">
        <v>10</v>
      </c>
      <c r="P130" s="16" t="s">
        <v>5</v>
      </c>
      <c r="Q130" s="17">
        <v>587.95542980544201</v>
      </c>
      <c r="R130" s="17">
        <v>731.54916086448998</v>
      </c>
      <c r="S130" s="17">
        <v>578.68146625693396</v>
      </c>
      <c r="T130" s="17">
        <f>AVERAGE(Table143690117171105106109143[[#This Row],[Teste 1]:[Teste 3]])</f>
        <v>632.72868564228872</v>
      </c>
    </row>
    <row r="131" spans="1:20" x14ac:dyDescent="0.25">
      <c r="A131" s="16" t="s">
        <v>10</v>
      </c>
      <c r="B131" s="16" t="s">
        <v>6</v>
      </c>
      <c r="C131" s="17">
        <v>343</v>
      </c>
      <c r="D131" s="17">
        <v>385</v>
      </c>
      <c r="E131" s="17">
        <v>360</v>
      </c>
      <c r="F131" s="17">
        <f>AVERAGE(Table143690117171105106109[[#This Row],[Teste 1]:[Teste 3]])</f>
        <v>362.66666666666669</v>
      </c>
      <c r="G131" s="16"/>
      <c r="H131" s="16" t="s">
        <v>10</v>
      </c>
      <c r="I131" s="16" t="s">
        <v>6</v>
      </c>
      <c r="J131" s="17">
        <v>133</v>
      </c>
      <c r="K131" s="17">
        <v>131</v>
      </c>
      <c r="L131" s="17">
        <v>133</v>
      </c>
      <c r="M131" s="17">
        <f>AVERAGE(Table143690117171105106109126[[#This Row],[Teste 1]:[Teste 3]])</f>
        <v>132.33333333333334</v>
      </c>
      <c r="N131" s="16"/>
      <c r="O131" s="16" t="s">
        <v>10</v>
      </c>
      <c r="P131" s="16" t="s">
        <v>6</v>
      </c>
      <c r="Q131" s="17">
        <v>212</v>
      </c>
      <c r="R131" s="17">
        <v>210</v>
      </c>
      <c r="S131" s="17">
        <v>213</v>
      </c>
      <c r="T131" s="17">
        <f>AVERAGE(Table143690117171105106109143[[#This Row],[Teste 1]:[Teste 3]])</f>
        <v>211.66666666666666</v>
      </c>
    </row>
    <row r="132" spans="1:20" x14ac:dyDescent="0.25">
      <c r="A132" s="16" t="s">
        <v>10</v>
      </c>
      <c r="B132" s="16" t="s">
        <v>7</v>
      </c>
      <c r="C132" s="17">
        <v>25423</v>
      </c>
      <c r="D132" s="17">
        <v>17199</v>
      </c>
      <c r="E132" s="17">
        <v>10839</v>
      </c>
      <c r="F132" s="17">
        <f>AVERAGE(Table143690117171105106109[[#This Row],[Teste 1]:[Teste 3]])</f>
        <v>17820.333333333332</v>
      </c>
      <c r="G132" s="16"/>
      <c r="H132" s="16" t="s">
        <v>10</v>
      </c>
      <c r="I132" s="16" t="s">
        <v>7</v>
      </c>
      <c r="J132" s="17">
        <v>24599</v>
      </c>
      <c r="K132" s="17">
        <v>27199</v>
      </c>
      <c r="L132" s="17">
        <v>33400</v>
      </c>
      <c r="M132" s="17">
        <f>AVERAGE(Table143690117171105106109126[[#This Row],[Teste 1]:[Teste 3]])</f>
        <v>28399.333333333332</v>
      </c>
      <c r="N132" s="16"/>
      <c r="O132" s="16" t="s">
        <v>10</v>
      </c>
      <c r="P132" s="16" t="s">
        <v>7</v>
      </c>
      <c r="Q132" s="17">
        <v>39359</v>
      </c>
      <c r="R132" s="17">
        <v>43519</v>
      </c>
      <c r="S132" s="17">
        <v>53439</v>
      </c>
      <c r="T132" s="17">
        <f>AVERAGE(Table143690117171105106109143[[#This Row],[Teste 1]:[Teste 3]])</f>
        <v>45439</v>
      </c>
    </row>
    <row r="133" spans="1:20" x14ac:dyDescent="0.25">
      <c r="A133" s="16" t="s">
        <v>10</v>
      </c>
      <c r="B133" s="16" t="s">
        <v>8</v>
      </c>
      <c r="C133" s="17">
        <v>997</v>
      </c>
      <c r="D133" s="17">
        <v>1034</v>
      </c>
      <c r="E133" s="17">
        <v>1039</v>
      </c>
      <c r="F133" s="17">
        <f>AVERAGE(Table143690117171105106109[[#This Row],[Teste 1]:[Teste 3]])</f>
        <v>1023.3333333333334</v>
      </c>
      <c r="G133" s="16"/>
      <c r="H133" s="16" t="s">
        <v>10</v>
      </c>
      <c r="I133" s="16" t="s">
        <v>8</v>
      </c>
      <c r="J133" s="17">
        <v>553</v>
      </c>
      <c r="K133" s="17">
        <v>814</v>
      </c>
      <c r="L133" s="17">
        <v>547</v>
      </c>
      <c r="M133" s="17">
        <f>AVERAGE(Table143690117171105106109126[[#This Row],[Teste 1]:[Teste 3]])</f>
        <v>638</v>
      </c>
      <c r="N133" s="16"/>
      <c r="O133" s="16" t="s">
        <v>10</v>
      </c>
      <c r="P133" s="16" t="s">
        <v>8</v>
      </c>
      <c r="Q133" s="17">
        <v>885</v>
      </c>
      <c r="R133" s="17">
        <v>1302</v>
      </c>
      <c r="S133" s="17">
        <v>875</v>
      </c>
      <c r="T133" s="17">
        <f>AVERAGE(Table143690117171105106109143[[#This Row],[Teste 1]:[Teste 3]])</f>
        <v>1020.6666666666666</v>
      </c>
    </row>
    <row r="134" spans="1:20" x14ac:dyDescent="0.25">
      <c r="A134" s="16" t="s">
        <v>10</v>
      </c>
      <c r="B134" s="16" t="s">
        <v>9</v>
      </c>
      <c r="C134" s="17">
        <v>1232</v>
      </c>
      <c r="D134" s="17">
        <v>1350</v>
      </c>
      <c r="E134" s="17">
        <v>1357</v>
      </c>
      <c r="F134" s="17">
        <f>AVERAGE(Table143690117171105106109[[#This Row],[Teste 1]:[Teste 3]])</f>
        <v>1313</v>
      </c>
      <c r="G134" s="16"/>
      <c r="H134" s="16" t="s">
        <v>10</v>
      </c>
      <c r="I134" s="16" t="s">
        <v>9</v>
      </c>
      <c r="J134" s="17">
        <v>830</v>
      </c>
      <c r="K134" s="17">
        <v>978</v>
      </c>
      <c r="L134" s="17">
        <v>754</v>
      </c>
      <c r="M134" s="17">
        <f>AVERAGE(Table143690117171105106109126[[#This Row],[Teste 1]:[Teste 3]])</f>
        <v>854</v>
      </c>
      <c r="N134" s="16"/>
      <c r="O134" s="16" t="s">
        <v>10</v>
      </c>
      <c r="P134" s="16" t="s">
        <v>9</v>
      </c>
      <c r="Q134" s="17">
        <v>1328</v>
      </c>
      <c r="R134" s="17">
        <v>1564</v>
      </c>
      <c r="S134" s="17">
        <v>1206</v>
      </c>
      <c r="T134" s="17">
        <f>AVERAGE(Table143690117171105106109143[[#This Row],[Teste 1]:[Teste 3]])</f>
        <v>1366</v>
      </c>
    </row>
    <row r="135" spans="1:20" x14ac:dyDescent="0.25">
      <c r="A135" s="16" t="s">
        <v>10</v>
      </c>
      <c r="B135" s="16" t="s">
        <v>11</v>
      </c>
      <c r="C135" s="17">
        <v>50110</v>
      </c>
      <c r="D135" s="17">
        <v>50030</v>
      </c>
      <c r="E135" s="17">
        <v>49942</v>
      </c>
      <c r="F135" s="17">
        <f>AVERAGE(Table143690117171105106109[[#This Row],[Teste 1]:[Teste 3]])</f>
        <v>50027.333333333336</v>
      </c>
      <c r="G135" s="16"/>
      <c r="H135" s="16" t="s">
        <v>10</v>
      </c>
      <c r="I135" s="16" t="s">
        <v>11</v>
      </c>
      <c r="J135" s="17">
        <v>49750</v>
      </c>
      <c r="K135" s="17">
        <v>50378</v>
      </c>
      <c r="L135" s="17">
        <v>49846</v>
      </c>
      <c r="M135" s="17">
        <f>AVERAGE(Table143690117171105106109126[[#This Row],[Teste 1]:[Teste 3]])</f>
        <v>49991.333333333336</v>
      </c>
      <c r="N135" s="16"/>
      <c r="O135" s="16" t="s">
        <v>10</v>
      </c>
      <c r="P135" s="16" t="s">
        <v>11</v>
      </c>
      <c r="Q135" s="17">
        <v>50011</v>
      </c>
      <c r="R135" s="17">
        <v>49694</v>
      </c>
      <c r="S135" s="17">
        <v>50114</v>
      </c>
      <c r="T135" s="17">
        <f>AVERAGE(Table143690117171105106109143[[#This Row],[Teste 1]:[Teste 3]])</f>
        <v>49939.666666666664</v>
      </c>
    </row>
    <row r="136" spans="1:20" x14ac:dyDescent="0.25">
      <c r="A136" s="16" t="s">
        <v>71</v>
      </c>
      <c r="B136" s="16" t="s">
        <v>4</v>
      </c>
      <c r="C136" s="17">
        <v>949890</v>
      </c>
      <c r="D136" s="17">
        <v>949970</v>
      </c>
      <c r="E136" s="17">
        <v>950058</v>
      </c>
      <c r="F136" s="17">
        <f>AVERAGE(Table143690117171105106109[[#This Row],[Teste 1]:[Teste 3]])</f>
        <v>949972.66666666663</v>
      </c>
      <c r="G136" s="16"/>
      <c r="H136" s="16" t="s">
        <v>71</v>
      </c>
      <c r="I136" s="16" t="s">
        <v>4</v>
      </c>
      <c r="J136" s="17">
        <v>950250</v>
      </c>
      <c r="K136" s="17">
        <v>949622</v>
      </c>
      <c r="L136" s="17">
        <v>950154</v>
      </c>
      <c r="M136" s="17">
        <f>AVERAGE(Table143690117171105106109126[[#This Row],[Teste 1]:[Teste 3]])</f>
        <v>950008.66666666663</v>
      </c>
      <c r="N136" s="16"/>
      <c r="O136" s="16" t="s">
        <v>71</v>
      </c>
      <c r="P136" s="16" t="s">
        <v>4</v>
      </c>
      <c r="Q136" s="17">
        <v>949989</v>
      </c>
      <c r="R136" s="17">
        <v>950306</v>
      </c>
      <c r="S136" s="17">
        <v>949886</v>
      </c>
      <c r="T136" s="17">
        <f>AVERAGE(Table143690117171105106109143[[#This Row],[Teste 1]:[Teste 3]])</f>
        <v>950060.33333333337</v>
      </c>
    </row>
    <row r="137" spans="1:20" x14ac:dyDescent="0.25">
      <c r="A137" s="16" t="s">
        <v>71</v>
      </c>
      <c r="B137" s="16" t="s">
        <v>5</v>
      </c>
      <c r="C137" s="17">
        <v>10021.3348724589</v>
      </c>
      <c r="D137" s="17">
        <v>10455.132575765499</v>
      </c>
      <c r="E137" s="17">
        <v>10235.351036463</v>
      </c>
      <c r="F137" s="17">
        <f>AVERAGE(Table143690117171105106109[[#This Row],[Teste 1]:[Teste 3]])</f>
        <v>10237.272828229134</v>
      </c>
      <c r="G137" s="16"/>
      <c r="H137" s="16" t="s">
        <v>71</v>
      </c>
      <c r="I137" s="16" t="s">
        <v>5</v>
      </c>
      <c r="J137" s="17">
        <v>9066.4699999999993</v>
      </c>
      <c r="K137" s="17">
        <v>10131.01</v>
      </c>
      <c r="L137" s="17">
        <v>7287.39</v>
      </c>
      <c r="M137" s="17">
        <f>AVERAGE(Table143690117171105106109126[[#This Row],[Teste 1]:[Teste 3]])</f>
        <v>8828.2899999999991</v>
      </c>
      <c r="N137" s="16"/>
      <c r="O137" s="16" t="s">
        <v>71</v>
      </c>
      <c r="P137" s="16" t="s">
        <v>5</v>
      </c>
      <c r="Q137" s="17">
        <v>14506.3575862457</v>
      </c>
      <c r="R137" s="17">
        <v>16209.6255784978</v>
      </c>
      <c r="S137" s="17">
        <v>11659.8321967057</v>
      </c>
      <c r="T137" s="17">
        <f>AVERAGE(Table143690117171105106109143[[#This Row],[Teste 1]:[Teste 3]])</f>
        <v>14125.271787149732</v>
      </c>
    </row>
    <row r="138" spans="1:20" x14ac:dyDescent="0.25">
      <c r="A138" s="16" t="s">
        <v>71</v>
      </c>
      <c r="B138" s="16" t="s">
        <v>6</v>
      </c>
      <c r="C138" s="17">
        <v>951</v>
      </c>
      <c r="D138" s="17">
        <v>870</v>
      </c>
      <c r="E138" s="17">
        <v>959</v>
      </c>
      <c r="F138" s="17">
        <f>AVERAGE(Table143690117171105106109[[#This Row],[Teste 1]:[Teste 3]])</f>
        <v>926.66666666666663</v>
      </c>
      <c r="G138" s="16"/>
      <c r="H138" s="16" t="s">
        <v>71</v>
      </c>
      <c r="I138" s="16" t="s">
        <v>6</v>
      </c>
      <c r="J138" s="17">
        <v>114</v>
      </c>
      <c r="K138" s="17">
        <v>124</v>
      </c>
      <c r="L138" s="17">
        <v>117</v>
      </c>
      <c r="M138" s="17">
        <f>AVERAGE(Table143690117171105106109126[[#This Row],[Teste 1]:[Teste 3]])</f>
        <v>118.33333333333333</v>
      </c>
      <c r="N138" s="16"/>
      <c r="O138" s="16" t="s">
        <v>71</v>
      </c>
      <c r="P138" s="16" t="s">
        <v>6</v>
      </c>
      <c r="Q138" s="17">
        <v>183</v>
      </c>
      <c r="R138" s="17">
        <v>198</v>
      </c>
      <c r="S138" s="17">
        <v>187</v>
      </c>
      <c r="T138" s="17">
        <f>AVERAGE(Table143690117171105106109143[[#This Row],[Teste 1]:[Teste 3]])</f>
        <v>189.33333333333334</v>
      </c>
    </row>
    <row r="139" spans="1:20" x14ac:dyDescent="0.25">
      <c r="A139" s="16" t="s">
        <v>71</v>
      </c>
      <c r="B139" s="16" t="s">
        <v>7</v>
      </c>
      <c r="C139" s="17">
        <v>100863</v>
      </c>
      <c r="D139" s="17">
        <v>122943</v>
      </c>
      <c r="E139" s="17">
        <v>129023</v>
      </c>
      <c r="F139" s="17">
        <f>AVERAGE(Table143690117171105106109[[#This Row],[Teste 1]:[Teste 3]])</f>
        <v>117609.66666666667</v>
      </c>
      <c r="G139" s="16"/>
      <c r="H139" s="16" t="s">
        <v>71</v>
      </c>
      <c r="I139" s="16" t="s">
        <v>7</v>
      </c>
      <c r="J139" s="17">
        <v>131840</v>
      </c>
      <c r="K139" s="17">
        <v>134399</v>
      </c>
      <c r="L139" s="17">
        <v>66999</v>
      </c>
      <c r="M139" s="17">
        <f>AVERAGE(Table143690117171105106109126[[#This Row],[Teste 1]:[Teste 3]])</f>
        <v>111079.33333333333</v>
      </c>
      <c r="N139" s="16"/>
      <c r="O139" s="16" t="s">
        <v>71</v>
      </c>
      <c r="P139" s="16" t="s">
        <v>7</v>
      </c>
      <c r="Q139" s="17">
        <v>210943</v>
      </c>
      <c r="R139" s="17">
        <v>215039</v>
      </c>
      <c r="S139" s="17">
        <v>107199</v>
      </c>
      <c r="T139" s="17">
        <f>AVERAGE(Table143690117171105106109143[[#This Row],[Teste 1]:[Teste 3]])</f>
        <v>177727</v>
      </c>
    </row>
    <row r="140" spans="1:20" x14ac:dyDescent="0.25">
      <c r="A140" s="16" t="s">
        <v>71</v>
      </c>
      <c r="B140" s="16" t="s">
        <v>8</v>
      </c>
      <c r="C140" s="17">
        <v>18495</v>
      </c>
      <c r="D140" s="17">
        <v>18879</v>
      </c>
      <c r="E140" s="17">
        <v>18687</v>
      </c>
      <c r="F140" s="17">
        <f>AVERAGE(Table143690117171105106109[[#This Row],[Teste 1]:[Teste 3]])</f>
        <v>18687</v>
      </c>
      <c r="G140" s="16"/>
      <c r="H140" s="16" t="s">
        <v>71</v>
      </c>
      <c r="I140" s="16" t="s">
        <v>8</v>
      </c>
      <c r="J140" s="17">
        <v>21139</v>
      </c>
      <c r="K140" s="17">
        <v>28259</v>
      </c>
      <c r="L140" s="17">
        <v>18529</v>
      </c>
      <c r="M140" s="17">
        <f>AVERAGE(Table143690117171105106109126[[#This Row],[Teste 1]:[Teste 3]])</f>
        <v>22642.333333333332</v>
      </c>
      <c r="N140" s="16"/>
      <c r="O140" s="16" t="s">
        <v>71</v>
      </c>
      <c r="P140" s="16" t="s">
        <v>8</v>
      </c>
      <c r="Q140" s="17">
        <v>33823</v>
      </c>
      <c r="R140" s="17">
        <v>45215</v>
      </c>
      <c r="S140" s="17">
        <v>29647</v>
      </c>
      <c r="T140" s="17">
        <f>AVERAGE(Table143690117171105106109143[[#This Row],[Teste 1]:[Teste 3]])</f>
        <v>36228.333333333336</v>
      </c>
    </row>
    <row r="141" spans="1:20" x14ac:dyDescent="0.25">
      <c r="A141" s="16" t="s">
        <v>71</v>
      </c>
      <c r="B141" s="16" t="s">
        <v>9</v>
      </c>
      <c r="C141" s="17">
        <v>20831</v>
      </c>
      <c r="D141" s="17">
        <v>21423</v>
      </c>
      <c r="E141" s="17">
        <v>21151</v>
      </c>
      <c r="F141" s="17">
        <f>AVERAGE(Table143690117171105106109[[#This Row],[Teste 1]:[Teste 3]])</f>
        <v>21135</v>
      </c>
      <c r="G141" s="16"/>
      <c r="H141" s="16" t="s">
        <v>71</v>
      </c>
      <c r="I141" s="16" t="s">
        <v>9</v>
      </c>
      <c r="J141" s="17">
        <v>25019</v>
      </c>
      <c r="K141" s="17">
        <v>36059</v>
      </c>
      <c r="L141" s="17">
        <v>22039</v>
      </c>
      <c r="M141" s="17">
        <f>AVERAGE(Table143690117171105106109126[[#This Row],[Teste 1]:[Teste 3]])</f>
        <v>27705.666666666668</v>
      </c>
      <c r="N141" s="16"/>
      <c r="O141" s="16" t="s">
        <v>71</v>
      </c>
      <c r="P141" s="16" t="s">
        <v>9</v>
      </c>
      <c r="Q141" s="17">
        <v>40031</v>
      </c>
      <c r="R141" s="17">
        <v>57695</v>
      </c>
      <c r="S141" s="17">
        <v>35263</v>
      </c>
      <c r="T141" s="17">
        <f>AVERAGE(Table143690117171105106109143[[#This Row],[Teste 1]:[Teste 3]])</f>
        <v>44329.666666666664</v>
      </c>
    </row>
    <row r="142" spans="1:20" x14ac:dyDescent="0.25">
      <c r="A142" s="16" t="s">
        <v>71</v>
      </c>
      <c r="B142" s="16" t="s">
        <v>11</v>
      </c>
      <c r="C142" s="17">
        <v>949890</v>
      </c>
      <c r="D142" s="17">
        <v>949970</v>
      </c>
      <c r="E142" s="17">
        <v>950058</v>
      </c>
      <c r="F142" s="17">
        <f>AVERAGE(Table143690117171105106109[[#This Row],[Teste 1]:[Teste 3]])</f>
        <v>949972.66666666663</v>
      </c>
      <c r="G142" s="16"/>
      <c r="H142" s="16" t="s">
        <v>71</v>
      </c>
      <c r="I142" s="16" t="s">
        <v>11</v>
      </c>
      <c r="J142" s="17">
        <v>950250</v>
      </c>
      <c r="K142" s="17">
        <v>949622</v>
      </c>
      <c r="L142" s="17">
        <v>950154</v>
      </c>
      <c r="M142" s="17">
        <f>AVERAGE(Table143690117171105106109126[[#This Row],[Teste 1]:[Teste 3]])</f>
        <v>950008.66666666663</v>
      </c>
      <c r="N142" s="16"/>
      <c r="O142" s="16" t="s">
        <v>71</v>
      </c>
      <c r="P142" s="16" t="s">
        <v>11</v>
      </c>
      <c r="Q142" s="17">
        <v>949989</v>
      </c>
      <c r="R142" s="17">
        <v>950306</v>
      </c>
      <c r="S142" s="17">
        <v>949886</v>
      </c>
      <c r="T142" s="17">
        <f>AVERAGE(Table143690117171105106109143[[#This Row],[Teste 1]:[Teste 3]])</f>
        <v>950060.33333333337</v>
      </c>
    </row>
    <row r="143" spans="1:20" x14ac:dyDescent="0.25">
      <c r="A143" s="16"/>
      <c r="B143" s="16"/>
      <c r="C143" s="17"/>
      <c r="D143" s="17"/>
      <c r="E143" s="17"/>
      <c r="F143" s="17"/>
      <c r="G143" s="16"/>
      <c r="H143" s="16"/>
      <c r="I143" s="16"/>
      <c r="J143" s="17"/>
      <c r="K143" s="17"/>
      <c r="L143" s="17"/>
      <c r="M143" s="17"/>
      <c r="N143" s="16"/>
      <c r="O143" s="16"/>
      <c r="P143" s="16"/>
      <c r="Q143" s="17"/>
      <c r="R143" s="17"/>
      <c r="S143" s="17"/>
      <c r="T143" s="17"/>
    </row>
    <row r="144" spans="1:20" x14ac:dyDescent="0.25">
      <c r="A144" s="16"/>
      <c r="B144" s="16"/>
      <c r="C144" s="17"/>
      <c r="D144" s="17"/>
      <c r="E144" s="17"/>
      <c r="F144" s="17"/>
      <c r="G144" s="16"/>
      <c r="H144" s="16"/>
      <c r="I144" s="16"/>
      <c r="J144" s="17"/>
      <c r="K144" s="17"/>
      <c r="L144" s="17"/>
      <c r="M144" s="17"/>
      <c r="N144" s="16"/>
      <c r="O144" s="16"/>
      <c r="P144" s="16"/>
      <c r="Q144" s="17"/>
      <c r="R144" s="17"/>
      <c r="S144" s="17"/>
      <c r="T144" s="17"/>
    </row>
    <row r="145" spans="1:20" x14ac:dyDescent="0.25">
      <c r="A145" s="16"/>
      <c r="B145" s="16"/>
      <c r="C145" s="17"/>
      <c r="D145" s="17"/>
      <c r="E145" s="17"/>
      <c r="F145" s="17"/>
      <c r="G145" s="16"/>
      <c r="H145" s="16"/>
      <c r="I145" s="16"/>
      <c r="J145" s="17"/>
      <c r="K145" s="17"/>
      <c r="L145" s="17"/>
      <c r="M145" s="17"/>
      <c r="N145" s="16"/>
      <c r="O145" s="16"/>
      <c r="P145" s="16"/>
      <c r="Q145" s="17"/>
      <c r="R145" s="17"/>
      <c r="S145" s="17"/>
      <c r="T145" s="17"/>
    </row>
    <row r="147" spans="1:20" ht="15.75" x14ac:dyDescent="0.25">
      <c r="A147" s="2" t="s">
        <v>73</v>
      </c>
      <c r="H147" s="2" t="s">
        <v>73</v>
      </c>
      <c r="O147" s="2" t="s">
        <v>73</v>
      </c>
    </row>
    <row r="148" spans="1:20" ht="15.75" x14ac:dyDescent="0.25">
      <c r="A148" s="16" t="s">
        <v>59</v>
      </c>
      <c r="B148" s="21" t="s">
        <v>66</v>
      </c>
      <c r="C148" s="16" t="s">
        <v>82</v>
      </c>
      <c r="D148" s="16" t="s">
        <v>64</v>
      </c>
      <c r="E148" s="16" t="s">
        <v>63</v>
      </c>
      <c r="F148" s="16" t="s">
        <v>18</v>
      </c>
      <c r="G148" s="16"/>
      <c r="H148" s="16" t="s">
        <v>12</v>
      </c>
      <c r="I148" s="21" t="s">
        <v>66</v>
      </c>
      <c r="J148" s="16" t="s">
        <v>82</v>
      </c>
      <c r="K148" s="16" t="s">
        <v>64</v>
      </c>
      <c r="L148" s="16" t="s">
        <v>63</v>
      </c>
      <c r="M148" s="16" t="s">
        <v>18</v>
      </c>
      <c r="N148" s="16"/>
      <c r="O148" s="16" t="s">
        <v>13</v>
      </c>
      <c r="P148" s="21" t="s">
        <v>66</v>
      </c>
      <c r="Q148" s="16" t="s">
        <v>82</v>
      </c>
      <c r="R148" s="16" t="s">
        <v>64</v>
      </c>
      <c r="S148" s="16" t="s">
        <v>63</v>
      </c>
      <c r="T148" s="16" t="s">
        <v>18</v>
      </c>
    </row>
    <row r="149" spans="1:20" x14ac:dyDescent="0.25">
      <c r="A149" s="16" t="s">
        <v>0</v>
      </c>
      <c r="B149" s="16" t="s">
        <v>1</v>
      </c>
      <c r="C149" s="17">
        <v>2223700</v>
      </c>
      <c r="D149" s="17">
        <v>2099939</v>
      </c>
      <c r="E149" s="17">
        <v>2363321</v>
      </c>
      <c r="F149" s="17">
        <f>AVERAGE(Table143690117171105107110[[#This Row],[Teste 1]:[Teste 3]])</f>
        <v>2228986.6666666665</v>
      </c>
      <c r="G149" s="16"/>
      <c r="H149" s="16" t="s">
        <v>0</v>
      </c>
      <c r="I149" s="16" t="s">
        <v>1</v>
      </c>
      <c r="J149" s="17">
        <v>1632977</v>
      </c>
      <c r="K149" s="17">
        <v>1554608</v>
      </c>
      <c r="L149" s="17">
        <v>1633754</v>
      </c>
      <c r="M149" s="17">
        <f>AVERAGE(Table143690117171105107110127[[#This Row],[Teste 1]:[Teste 3]])</f>
        <v>1607113</v>
      </c>
      <c r="N149" s="16"/>
      <c r="O149" s="16" t="s">
        <v>0</v>
      </c>
      <c r="P149" s="16" t="s">
        <v>1</v>
      </c>
      <c r="Q149" s="17">
        <v>4376377</v>
      </c>
      <c r="R149" s="17">
        <v>4166350</v>
      </c>
      <c r="S149" s="17">
        <v>4378461</v>
      </c>
      <c r="T149" s="17">
        <f>AVERAGE(Table143690117171105107110145[[#This Row],[Teste 1]:[Teste 3]])</f>
        <v>4307062.666666667</v>
      </c>
    </row>
    <row r="150" spans="1:20" x14ac:dyDescent="0.25">
      <c r="A150" s="16" t="s">
        <v>0</v>
      </c>
      <c r="B150" s="16" t="s">
        <v>2</v>
      </c>
      <c r="C150" s="17">
        <v>449.70094886900199</v>
      </c>
      <c r="D150" s="17">
        <v>476.20430879182601</v>
      </c>
      <c r="E150" s="17">
        <v>423.13337883427602</v>
      </c>
      <c r="F150" s="17">
        <f>AVERAGE(Table143690117171105107110[[#This Row],[Teste 1]:[Teste 3]])</f>
        <v>449.67954549836804</v>
      </c>
      <c r="G150" s="16"/>
      <c r="H150" s="16" t="s">
        <v>0</v>
      </c>
      <c r="I150" s="16" t="s">
        <v>2</v>
      </c>
      <c r="J150" s="17">
        <v>612.38</v>
      </c>
      <c r="K150" s="17">
        <v>643.25</v>
      </c>
      <c r="L150" s="17">
        <v>612.09</v>
      </c>
      <c r="M150" s="17">
        <f>AVERAGE(Table143690117171105107110127[[#This Row],[Teste 1]:[Teste 3]])</f>
        <v>622.57333333333338</v>
      </c>
      <c r="N150" s="16"/>
      <c r="O150" s="16" t="s">
        <v>0</v>
      </c>
      <c r="P150" s="16" t="s">
        <v>2</v>
      </c>
      <c r="Q150" s="17">
        <v>228.49950998279999</v>
      </c>
      <c r="R150" s="17">
        <v>240.01824138634501</v>
      </c>
      <c r="S150" s="17">
        <v>228.39075191031699</v>
      </c>
      <c r="T150" s="17">
        <f>AVERAGE(Table143690117171105107110145[[#This Row],[Teste 1]:[Teste 3]])</f>
        <v>232.30283442648735</v>
      </c>
    </row>
    <row r="151" spans="1:20" x14ac:dyDescent="0.25">
      <c r="A151" s="16" t="s">
        <v>3</v>
      </c>
      <c r="B151" s="16" t="s">
        <v>4</v>
      </c>
      <c r="C151" s="17">
        <v>6</v>
      </c>
      <c r="D151" s="17">
        <v>6</v>
      </c>
      <c r="E151" s="17">
        <v>6</v>
      </c>
      <c r="F151" s="17">
        <f>AVERAGE(Table143690117171105107110[[#This Row],[Teste 1]:[Teste 3]])</f>
        <v>6</v>
      </c>
      <c r="G151" s="16"/>
      <c r="H151" s="16" t="s">
        <v>3</v>
      </c>
      <c r="I151" s="16" t="s">
        <v>4</v>
      </c>
      <c r="J151" s="17">
        <v>6</v>
      </c>
      <c r="K151" s="17">
        <v>6</v>
      </c>
      <c r="L151" s="17">
        <v>6</v>
      </c>
      <c r="M151" s="17">
        <f>AVERAGE(Table143690117171105107110127[[#This Row],[Teste 1]:[Teste 3]])</f>
        <v>6</v>
      </c>
      <c r="N151" s="16"/>
      <c r="O151" s="16" t="s">
        <v>3</v>
      </c>
      <c r="P151" s="16" t="s">
        <v>4</v>
      </c>
      <c r="Q151" s="17">
        <v>6</v>
      </c>
      <c r="R151" s="17">
        <v>6</v>
      </c>
      <c r="S151" s="17">
        <v>6</v>
      </c>
      <c r="T151" s="17">
        <f>AVERAGE(Table143690117171105107110145[[#This Row],[Teste 1]:[Teste 3]])</f>
        <v>6</v>
      </c>
    </row>
    <row r="152" spans="1:20" x14ac:dyDescent="0.25">
      <c r="A152" s="16" t="s">
        <v>3</v>
      </c>
      <c r="B152" s="16" t="s">
        <v>5</v>
      </c>
      <c r="C152" s="17">
        <v>1.5</v>
      </c>
      <c r="D152" s="17">
        <v>1.1666666666666601</v>
      </c>
      <c r="E152" s="17">
        <v>1.3333333333333299</v>
      </c>
      <c r="F152" s="17">
        <f>AVERAGE(Table143690117171105107110[[#This Row],[Teste 1]:[Teste 3]])</f>
        <v>1.3333333333333299</v>
      </c>
      <c r="G152" s="16"/>
      <c r="H152" s="16" t="s">
        <v>3</v>
      </c>
      <c r="I152" s="16" t="s">
        <v>5</v>
      </c>
      <c r="J152" s="17">
        <v>1.3332999999999999</v>
      </c>
      <c r="K152" s="17">
        <v>0.33300000000000002</v>
      </c>
      <c r="L152" s="17">
        <v>1.33</v>
      </c>
      <c r="M152" s="17">
        <f>AVERAGE(Table143690117171105107110127[[#This Row],[Teste 1]:[Teste 3]])</f>
        <v>0.99876666666666658</v>
      </c>
      <c r="N152" s="16"/>
      <c r="O152" s="16" t="s">
        <v>3</v>
      </c>
      <c r="P152" s="16" t="s">
        <v>5</v>
      </c>
      <c r="Q152" s="17">
        <v>444.83333333333297</v>
      </c>
      <c r="R152" s="17">
        <v>366.5</v>
      </c>
      <c r="S152" s="17">
        <v>389.666666666666</v>
      </c>
      <c r="T152" s="17">
        <f>AVERAGE(Table143690117171105107110145[[#This Row],[Teste 1]:[Teste 3]])</f>
        <v>400.33333333333303</v>
      </c>
    </row>
    <row r="153" spans="1:20" x14ac:dyDescent="0.25">
      <c r="A153" s="16" t="s">
        <v>3</v>
      </c>
      <c r="B153" s="16" t="s">
        <v>6</v>
      </c>
      <c r="C153" s="17">
        <v>1</v>
      </c>
      <c r="D153" s="17">
        <v>0</v>
      </c>
      <c r="E153" s="17">
        <v>0</v>
      </c>
      <c r="F153" s="17">
        <f>AVERAGE(Table143690117171105107110[[#This Row],[Teste 1]:[Teste 3]])</f>
        <v>0.33333333333333331</v>
      </c>
      <c r="G153" s="16"/>
      <c r="H153" s="16" t="s">
        <v>3</v>
      </c>
      <c r="I153" s="16" t="s">
        <v>6</v>
      </c>
      <c r="J153" s="17">
        <v>1</v>
      </c>
      <c r="K153" s="17">
        <v>1</v>
      </c>
      <c r="L153" s="17">
        <v>1</v>
      </c>
      <c r="M153" s="17">
        <f>AVERAGE(Table143690117171105107110127[[#This Row],[Teste 1]:[Teste 3]])</f>
        <v>1</v>
      </c>
      <c r="N153" s="16"/>
      <c r="O153" s="16" t="s">
        <v>3</v>
      </c>
      <c r="P153" s="16" t="s">
        <v>6</v>
      </c>
      <c r="Q153" s="17">
        <v>2</v>
      </c>
      <c r="R153" s="17">
        <v>1</v>
      </c>
      <c r="S153" s="17">
        <v>2</v>
      </c>
      <c r="T153" s="17">
        <f>AVERAGE(Table143690117171105107110145[[#This Row],[Teste 1]:[Teste 3]])</f>
        <v>1.6666666666666667</v>
      </c>
    </row>
    <row r="154" spans="1:20" x14ac:dyDescent="0.25">
      <c r="A154" s="16" t="s">
        <v>3</v>
      </c>
      <c r="B154" s="16" t="s">
        <v>7</v>
      </c>
      <c r="C154" s="17">
        <v>4</v>
      </c>
      <c r="D154" s="17">
        <v>2</v>
      </c>
      <c r="E154" s="17">
        <v>3</v>
      </c>
      <c r="F154" s="17">
        <f>AVERAGE(Table143690117171105107110[[#This Row],[Teste 1]:[Teste 3]])</f>
        <v>3</v>
      </c>
      <c r="G154" s="16"/>
      <c r="H154" s="16" t="s">
        <v>3</v>
      </c>
      <c r="I154" s="16" t="s">
        <v>7</v>
      </c>
      <c r="J154" s="17">
        <v>27</v>
      </c>
      <c r="K154" s="17">
        <v>9</v>
      </c>
      <c r="L154" s="17">
        <v>22</v>
      </c>
      <c r="M154" s="17">
        <f>AVERAGE(Table143690117171105107110127[[#This Row],[Teste 1]:[Teste 3]])</f>
        <v>19.333333333333332</v>
      </c>
      <c r="N154" s="16"/>
      <c r="O154" s="16" t="s">
        <v>3</v>
      </c>
      <c r="P154" s="16" t="s">
        <v>7</v>
      </c>
      <c r="Q154" s="17">
        <v>2655</v>
      </c>
      <c r="R154" s="17">
        <v>2187</v>
      </c>
      <c r="S154" s="17">
        <v>2321</v>
      </c>
      <c r="T154" s="17">
        <f>AVERAGE(Table143690117171105107110145[[#This Row],[Teste 1]:[Teste 3]])</f>
        <v>2387.6666666666665</v>
      </c>
    </row>
    <row r="155" spans="1:20" x14ac:dyDescent="0.25">
      <c r="A155" s="16" t="s">
        <v>3</v>
      </c>
      <c r="B155" s="16" t="s">
        <v>8</v>
      </c>
      <c r="C155" s="17">
        <v>4</v>
      </c>
      <c r="D155" s="17">
        <v>2</v>
      </c>
      <c r="E155" s="17">
        <v>3</v>
      </c>
      <c r="F155" s="17">
        <f>AVERAGE(Table143690117171105107110[[#This Row],[Teste 1]:[Teste 3]])</f>
        <v>3</v>
      </c>
      <c r="G155" s="16"/>
      <c r="H155" s="16" t="s">
        <v>3</v>
      </c>
      <c r="I155" s="16" t="s">
        <v>8</v>
      </c>
      <c r="J155" s="17">
        <v>27</v>
      </c>
      <c r="K155" s="17">
        <v>9</v>
      </c>
      <c r="L155" s="17">
        <v>22</v>
      </c>
      <c r="M155" s="17">
        <f>AVERAGE(Table143690117171105107110127[[#This Row],[Teste 1]:[Teste 3]])</f>
        <v>19.333333333333332</v>
      </c>
      <c r="N155" s="16"/>
      <c r="O155" s="16" t="s">
        <v>3</v>
      </c>
      <c r="P155" s="16" t="s">
        <v>8</v>
      </c>
      <c r="Q155" s="17">
        <v>2655</v>
      </c>
      <c r="R155" s="17">
        <v>2187</v>
      </c>
      <c r="S155" s="17">
        <v>2321</v>
      </c>
      <c r="T155" s="17">
        <f>AVERAGE(Table143690117171105107110145[[#This Row],[Teste 1]:[Teste 3]])</f>
        <v>2387.6666666666665</v>
      </c>
    </row>
    <row r="156" spans="1:20" x14ac:dyDescent="0.25">
      <c r="A156" s="16" t="s">
        <v>3</v>
      </c>
      <c r="B156" s="16" t="s">
        <v>9</v>
      </c>
      <c r="C156" s="17">
        <v>4</v>
      </c>
      <c r="D156" s="17">
        <v>2</v>
      </c>
      <c r="E156" s="17">
        <v>3</v>
      </c>
      <c r="F156" s="17">
        <f>AVERAGE(Table143690117171105107110[[#This Row],[Teste 1]:[Teste 3]])</f>
        <v>3</v>
      </c>
      <c r="G156" s="16"/>
      <c r="H156" s="16" t="s">
        <v>3</v>
      </c>
      <c r="I156" s="16" t="s">
        <v>9</v>
      </c>
      <c r="J156" s="17">
        <v>27</v>
      </c>
      <c r="K156" s="17">
        <v>9</v>
      </c>
      <c r="L156" s="17">
        <v>22</v>
      </c>
      <c r="M156" s="17">
        <f>AVERAGE(Table143690117171105107110127[[#This Row],[Teste 1]:[Teste 3]])</f>
        <v>19.333333333333332</v>
      </c>
      <c r="N156" s="16"/>
      <c r="O156" s="16" t="s">
        <v>3</v>
      </c>
      <c r="P156" s="16" t="s">
        <v>9</v>
      </c>
      <c r="Q156" s="17">
        <v>2655</v>
      </c>
      <c r="R156" s="17">
        <v>2187</v>
      </c>
      <c r="S156" s="17">
        <v>2321</v>
      </c>
      <c r="T156" s="17">
        <f>AVERAGE(Table143690117171105107110145[[#This Row],[Teste 1]:[Teste 3]])</f>
        <v>2387.6666666666665</v>
      </c>
    </row>
    <row r="157" spans="1:20" x14ac:dyDescent="0.25">
      <c r="A157" s="16" t="s">
        <v>10</v>
      </c>
      <c r="B157" s="16" t="s">
        <v>4</v>
      </c>
      <c r="C157" s="17">
        <v>50114</v>
      </c>
      <c r="D157" s="17">
        <v>49750</v>
      </c>
      <c r="E157" s="17">
        <v>49846</v>
      </c>
      <c r="F157" s="17">
        <f>AVERAGE(Table143690117171105107110[[#This Row],[Teste 1]:[Teste 3]])</f>
        <v>49903.333333333336</v>
      </c>
      <c r="G157" s="16"/>
      <c r="H157" s="16" t="s">
        <v>10</v>
      </c>
      <c r="I157" s="16" t="s">
        <v>4</v>
      </c>
      <c r="J157" s="17">
        <v>50110</v>
      </c>
      <c r="K157" s="17">
        <v>50114</v>
      </c>
      <c r="L157" s="17">
        <v>50075</v>
      </c>
      <c r="M157" s="17">
        <f>AVERAGE(Table143690117171105107110127[[#This Row],[Teste 1]:[Teste 3]])</f>
        <v>50099.666666666664</v>
      </c>
      <c r="N157" s="16"/>
      <c r="O157" s="16" t="s">
        <v>10</v>
      </c>
      <c r="P157" s="16" t="s">
        <v>4</v>
      </c>
      <c r="Q157" s="17">
        <v>49754</v>
      </c>
      <c r="R157" s="17">
        <v>50378</v>
      </c>
      <c r="S157" s="17">
        <v>50034</v>
      </c>
      <c r="T157" s="17">
        <f>AVERAGE(Table143690117171105107110145[[#This Row],[Teste 1]:[Teste 3]])</f>
        <v>50055.333333333336</v>
      </c>
    </row>
    <row r="158" spans="1:20" x14ac:dyDescent="0.25">
      <c r="A158" s="16" t="s">
        <v>10</v>
      </c>
      <c r="B158" s="16" t="s">
        <v>5</v>
      </c>
      <c r="C158" s="17">
        <v>995.62032565749996</v>
      </c>
      <c r="D158" s="17">
        <v>941.36369849246205</v>
      </c>
      <c r="E158" s="17">
        <v>1303.3197046904399</v>
      </c>
      <c r="F158" s="17">
        <f>AVERAGE(Table143690117171105107110[[#This Row],[Teste 1]:[Teste 3]])</f>
        <v>1080.1012429468008</v>
      </c>
      <c r="G158" s="16"/>
      <c r="H158" s="16" t="s">
        <v>10</v>
      </c>
      <c r="I158" s="16" t="s">
        <v>5</v>
      </c>
      <c r="J158" s="17">
        <v>225.17</v>
      </c>
      <c r="K158" s="17">
        <v>225.01</v>
      </c>
      <c r="L158" s="17">
        <v>231.44</v>
      </c>
      <c r="M158" s="17">
        <f>AVERAGE(Table143690117171105107110127[[#This Row],[Teste 1]:[Teste 3]])</f>
        <v>227.20666666666662</v>
      </c>
      <c r="N158" s="16"/>
      <c r="O158" s="16" t="s">
        <v>10</v>
      </c>
      <c r="P158" s="16" t="s">
        <v>5</v>
      </c>
      <c r="Q158" s="17">
        <v>603.45467701089296</v>
      </c>
      <c r="R158" s="17">
        <v>603.02324427329302</v>
      </c>
      <c r="S158" s="17">
        <v>620.26633888955496</v>
      </c>
      <c r="T158" s="17">
        <f>AVERAGE(Table143690117171105107110145[[#This Row],[Teste 1]:[Teste 3]])</f>
        <v>608.9147533912469</v>
      </c>
    </row>
    <row r="159" spans="1:20" x14ac:dyDescent="0.25">
      <c r="A159" s="16" t="s">
        <v>10</v>
      </c>
      <c r="B159" s="16" t="s">
        <v>6</v>
      </c>
      <c r="C159" s="17">
        <v>369</v>
      </c>
      <c r="D159" s="17">
        <v>372</v>
      </c>
      <c r="E159" s="17">
        <v>428</v>
      </c>
      <c r="F159" s="17">
        <f>AVERAGE(Table143690117171105107110[[#This Row],[Teste 1]:[Teste 3]])</f>
        <v>389.66666666666669</v>
      </c>
      <c r="G159" s="16"/>
      <c r="H159" s="16" t="s">
        <v>10</v>
      </c>
      <c r="I159" s="16" t="s">
        <v>6</v>
      </c>
      <c r="J159" s="17">
        <v>80</v>
      </c>
      <c r="K159" s="17">
        <v>80</v>
      </c>
      <c r="L159" s="17">
        <v>83</v>
      </c>
      <c r="M159" s="17">
        <f>AVERAGE(Table143690117171105107110127[[#This Row],[Teste 1]:[Teste 3]])</f>
        <v>81</v>
      </c>
      <c r="N159" s="16"/>
      <c r="O159" s="16" t="s">
        <v>10</v>
      </c>
      <c r="P159" s="16" t="s">
        <v>6</v>
      </c>
      <c r="Q159" s="17">
        <v>213</v>
      </c>
      <c r="R159" s="17">
        <v>215</v>
      </c>
      <c r="S159" s="17">
        <v>221</v>
      </c>
      <c r="T159" s="17">
        <f>AVERAGE(Table143690117171105107110145[[#This Row],[Teste 1]:[Teste 3]])</f>
        <v>216.33333333333334</v>
      </c>
    </row>
    <row r="160" spans="1:20" x14ac:dyDescent="0.25">
      <c r="A160" s="16" t="s">
        <v>10</v>
      </c>
      <c r="B160" s="16" t="s">
        <v>7</v>
      </c>
      <c r="C160" s="17">
        <v>47967</v>
      </c>
      <c r="D160" s="17">
        <v>30911</v>
      </c>
      <c r="E160" s="17">
        <v>48543</v>
      </c>
      <c r="F160" s="17">
        <f>AVERAGE(Table143690117171105107110[[#This Row],[Teste 1]:[Teste 3]])</f>
        <v>42473.666666666664</v>
      </c>
      <c r="G160" s="16"/>
      <c r="H160" s="16" t="s">
        <v>10</v>
      </c>
      <c r="I160" s="16" t="s">
        <v>7</v>
      </c>
      <c r="J160" s="17">
        <v>27104</v>
      </c>
      <c r="K160" s="17">
        <v>24059</v>
      </c>
      <c r="L160" s="17">
        <v>30113</v>
      </c>
      <c r="M160" s="17">
        <f>AVERAGE(Table143690117171105107110127[[#This Row],[Teste 1]:[Teste 3]])</f>
        <v>27092</v>
      </c>
      <c r="N160" s="16"/>
      <c r="O160" s="16" t="s">
        <v>10</v>
      </c>
      <c r="P160" s="16" t="s">
        <v>7</v>
      </c>
      <c r="Q160" s="17">
        <v>72639</v>
      </c>
      <c r="R160" s="17">
        <v>64479</v>
      </c>
      <c r="S160" s="17">
        <v>80703</v>
      </c>
      <c r="T160" s="17">
        <f>AVERAGE(Table143690117171105107110145[[#This Row],[Teste 1]:[Teste 3]])</f>
        <v>72607</v>
      </c>
    </row>
    <row r="161" spans="1:20" x14ac:dyDescent="0.25">
      <c r="A161" s="16" t="s">
        <v>10</v>
      </c>
      <c r="B161" s="16" t="s">
        <v>8</v>
      </c>
      <c r="C161" s="17">
        <v>1986</v>
      </c>
      <c r="D161" s="17">
        <v>1906</v>
      </c>
      <c r="E161" s="17">
        <v>2863</v>
      </c>
      <c r="F161" s="17">
        <f>AVERAGE(Table143690117171105107110[[#This Row],[Teste 1]:[Teste 3]])</f>
        <v>2251.6666666666665</v>
      </c>
      <c r="G161" s="16"/>
      <c r="H161" s="16" t="s">
        <v>10</v>
      </c>
      <c r="I161" s="16" t="s">
        <v>8</v>
      </c>
      <c r="J161" s="17">
        <v>325</v>
      </c>
      <c r="K161" s="17">
        <v>336</v>
      </c>
      <c r="L161" s="17">
        <v>347</v>
      </c>
      <c r="M161" s="17">
        <f>AVERAGE(Table143690117171105107110127[[#This Row],[Teste 1]:[Teste 3]])</f>
        <v>336</v>
      </c>
      <c r="N161" s="16"/>
      <c r="O161" s="16" t="s">
        <v>10</v>
      </c>
      <c r="P161" s="16" t="s">
        <v>8</v>
      </c>
      <c r="Q161" s="17">
        <v>870</v>
      </c>
      <c r="R161" s="17">
        <v>900</v>
      </c>
      <c r="S161" s="17">
        <v>929</v>
      </c>
      <c r="T161" s="17">
        <f>AVERAGE(Table143690117171105107110145[[#This Row],[Teste 1]:[Teste 3]])</f>
        <v>899.66666666666663</v>
      </c>
    </row>
    <row r="162" spans="1:20" x14ac:dyDescent="0.25">
      <c r="A162" s="16" t="s">
        <v>10</v>
      </c>
      <c r="B162" s="16" t="s">
        <v>9</v>
      </c>
      <c r="C162" s="17">
        <v>3683</v>
      </c>
      <c r="D162" s="17">
        <v>3485</v>
      </c>
      <c r="E162" s="17">
        <v>4807</v>
      </c>
      <c r="F162" s="17">
        <f>AVERAGE(Table143690117171105107110[[#This Row],[Teste 1]:[Teste 3]])</f>
        <v>3991.6666666666665</v>
      </c>
      <c r="G162" s="16"/>
      <c r="H162" s="16" t="s">
        <v>10</v>
      </c>
      <c r="I162" s="16" t="s">
        <v>9</v>
      </c>
      <c r="J162" s="17">
        <v>472</v>
      </c>
      <c r="K162" s="17">
        <v>490</v>
      </c>
      <c r="L162" s="17">
        <v>528</v>
      </c>
      <c r="M162" s="17">
        <f>AVERAGE(Table143690117171105107110127[[#This Row],[Teste 1]:[Teste 3]])</f>
        <v>496.66666666666669</v>
      </c>
      <c r="N162" s="16"/>
      <c r="O162" s="16" t="s">
        <v>10</v>
      </c>
      <c r="P162" s="16" t="s">
        <v>9</v>
      </c>
      <c r="Q162" s="17">
        <v>1265</v>
      </c>
      <c r="R162" s="17">
        <v>1312</v>
      </c>
      <c r="S162" s="17">
        <v>1415</v>
      </c>
      <c r="T162" s="17">
        <f>AVERAGE(Table143690117171105107110145[[#This Row],[Teste 1]:[Teste 3]])</f>
        <v>1330.6666666666667</v>
      </c>
    </row>
    <row r="163" spans="1:20" x14ac:dyDescent="0.25">
      <c r="A163" s="16" t="s">
        <v>10</v>
      </c>
      <c r="B163" s="16" t="s">
        <v>11</v>
      </c>
      <c r="C163" s="17">
        <v>50114</v>
      </c>
      <c r="D163" s="17">
        <v>49750</v>
      </c>
      <c r="E163" s="17">
        <v>49846</v>
      </c>
      <c r="F163" s="17">
        <f>AVERAGE(Table143690117171105107110[[#This Row],[Teste 1]:[Teste 3]])</f>
        <v>49903.333333333336</v>
      </c>
      <c r="G163" s="16"/>
      <c r="H163" s="16" t="s">
        <v>10</v>
      </c>
      <c r="I163" s="16" t="s">
        <v>11</v>
      </c>
      <c r="J163" s="17">
        <v>50110</v>
      </c>
      <c r="K163" s="17">
        <v>50114</v>
      </c>
      <c r="L163" s="17">
        <v>50075</v>
      </c>
      <c r="M163" s="17">
        <f>AVERAGE(Table143690117171105107110127[[#This Row],[Teste 1]:[Teste 3]])</f>
        <v>50099.666666666664</v>
      </c>
      <c r="N163" s="16"/>
      <c r="O163" s="16" t="s">
        <v>10</v>
      </c>
      <c r="P163" s="16" t="s">
        <v>11</v>
      </c>
      <c r="Q163" s="17">
        <v>49754</v>
      </c>
      <c r="R163" s="17">
        <v>50378</v>
      </c>
      <c r="S163" s="17">
        <v>50034</v>
      </c>
      <c r="T163" s="17">
        <f>AVERAGE(Table143690117171105107110145[[#This Row],[Teste 1]:[Teste 3]])</f>
        <v>50055.333333333336</v>
      </c>
    </row>
    <row r="164" spans="1:20" x14ac:dyDescent="0.25">
      <c r="A164" s="16" t="s">
        <v>71</v>
      </c>
      <c r="B164" s="16" t="s">
        <v>4</v>
      </c>
      <c r="C164" s="17">
        <v>949886</v>
      </c>
      <c r="D164" s="17">
        <v>950250</v>
      </c>
      <c r="E164" s="17">
        <v>950154</v>
      </c>
      <c r="F164" s="17">
        <f>AVERAGE(Table143690117171105107110[[#This Row],[Teste 1]:[Teste 3]])</f>
        <v>950096.66666666663</v>
      </c>
      <c r="G164" s="16"/>
      <c r="H164" s="16" t="s">
        <v>71</v>
      </c>
      <c r="I164" s="16" t="s">
        <v>4</v>
      </c>
      <c r="J164" s="17">
        <v>949890</v>
      </c>
      <c r="K164" s="17">
        <v>949886</v>
      </c>
      <c r="L164" s="17">
        <v>949925</v>
      </c>
      <c r="M164" s="17">
        <f>AVERAGE(Table143690117171105107110127[[#This Row],[Teste 1]:[Teste 3]])</f>
        <v>949900.33333333337</v>
      </c>
      <c r="N164" s="16"/>
      <c r="O164" s="16" t="s">
        <v>71</v>
      </c>
      <c r="P164" s="16" t="s">
        <v>4</v>
      </c>
      <c r="Q164" s="17">
        <v>950246</v>
      </c>
      <c r="R164" s="17">
        <v>949622</v>
      </c>
      <c r="S164" s="17">
        <v>949966</v>
      </c>
      <c r="T164" s="17">
        <f>AVERAGE(Table143690117171105107110145[[#This Row],[Teste 1]:[Teste 3]])</f>
        <v>949944.66666666663</v>
      </c>
    </row>
    <row r="165" spans="1:20" x14ac:dyDescent="0.25">
      <c r="A165" s="16" t="s">
        <v>71</v>
      </c>
      <c r="B165" s="16" t="s">
        <v>5</v>
      </c>
      <c r="C165" s="17">
        <v>13724.630858860901</v>
      </c>
      <c r="D165" s="17">
        <v>13112.3594506708</v>
      </c>
      <c r="E165" s="17">
        <v>14727.271894871699</v>
      </c>
      <c r="F165" s="17">
        <f>AVERAGE(Table143690117171105107110[[#This Row],[Teste 1]:[Teste 3]])</f>
        <v>13854.754068134467</v>
      </c>
      <c r="G165" s="16"/>
      <c r="H165" s="16" t="s">
        <v>71</v>
      </c>
      <c r="I165" s="16" t="s">
        <v>5</v>
      </c>
      <c r="J165" s="17">
        <v>10286.49</v>
      </c>
      <c r="K165" s="17">
        <v>9791.09</v>
      </c>
      <c r="L165" s="17">
        <v>10292.86</v>
      </c>
      <c r="M165" s="17">
        <f>AVERAGE(Table143690117171105107110127[[#This Row],[Teste 1]:[Teste 3]])</f>
        <v>10123.480000000001</v>
      </c>
      <c r="N165" s="16"/>
      <c r="O165" s="16" t="s">
        <v>71</v>
      </c>
      <c r="P165" s="16" t="s">
        <v>5</v>
      </c>
      <c r="Q165" s="17">
        <v>27567.805961824601</v>
      </c>
      <c r="R165" s="17">
        <v>26240.128475330101</v>
      </c>
      <c r="S165" s="17">
        <v>27584.869695336401</v>
      </c>
      <c r="T165" s="17">
        <f>AVERAGE(Table143690117171105107110145[[#This Row],[Teste 1]:[Teste 3]])</f>
        <v>27130.934710830366</v>
      </c>
    </row>
    <row r="166" spans="1:20" x14ac:dyDescent="0.25">
      <c r="A166" s="16" t="s">
        <v>71</v>
      </c>
      <c r="B166" s="16" t="s">
        <v>6</v>
      </c>
      <c r="C166" s="17">
        <v>1029</v>
      </c>
      <c r="D166" s="17">
        <v>973</v>
      </c>
      <c r="E166" s="17">
        <v>1029</v>
      </c>
      <c r="F166" s="17">
        <f>AVERAGE(Table143690117171105107110[[#This Row],[Teste 1]:[Teste 3]])</f>
        <v>1010.3333333333334</v>
      </c>
      <c r="G166" s="16"/>
      <c r="H166" s="16" t="s">
        <v>71</v>
      </c>
      <c r="I166" s="16" t="s">
        <v>6</v>
      </c>
      <c r="J166" s="17">
        <v>67</v>
      </c>
      <c r="K166" s="17">
        <v>69</v>
      </c>
      <c r="L166" s="17">
        <v>74</v>
      </c>
      <c r="M166" s="17">
        <f>AVERAGE(Table143690117171105107110127[[#This Row],[Teste 1]:[Teste 3]])</f>
        <v>70</v>
      </c>
      <c r="N166" s="16"/>
      <c r="O166" s="16" t="s">
        <v>71</v>
      </c>
      <c r="P166" s="16" t="s">
        <v>6</v>
      </c>
      <c r="Q166" s="17">
        <v>179</v>
      </c>
      <c r="R166" s="17">
        <v>184</v>
      </c>
      <c r="S166" s="17">
        <v>197</v>
      </c>
      <c r="T166" s="17">
        <f>AVERAGE(Table143690117171105107110145[[#This Row],[Teste 1]:[Teste 3]])</f>
        <v>186.66666666666666</v>
      </c>
    </row>
    <row r="167" spans="1:20" x14ac:dyDescent="0.25">
      <c r="A167" s="16" t="s">
        <v>71</v>
      </c>
      <c r="B167" s="16" t="s">
        <v>7</v>
      </c>
      <c r="C167" s="17">
        <v>630271</v>
      </c>
      <c r="D167" s="17">
        <v>122239</v>
      </c>
      <c r="E167" s="17">
        <v>275967</v>
      </c>
      <c r="F167" s="17">
        <f>AVERAGE(Table143690117171105107110[[#This Row],[Teste 1]:[Teste 3]])</f>
        <v>342825.66666666669</v>
      </c>
      <c r="G167" s="16"/>
      <c r="H167" s="16" t="s">
        <v>71</v>
      </c>
      <c r="I167" s="16" t="s">
        <v>7</v>
      </c>
      <c r="J167" s="17">
        <v>65385</v>
      </c>
      <c r="K167" s="17">
        <v>188752</v>
      </c>
      <c r="L167" s="17">
        <v>156370</v>
      </c>
      <c r="M167" s="17">
        <f>AVERAGE(Table143690117171105107110127[[#This Row],[Teste 1]:[Teste 3]])</f>
        <v>136835.66666666666</v>
      </c>
      <c r="N167" s="16"/>
      <c r="O167" s="16" t="s">
        <v>71</v>
      </c>
      <c r="P167" s="16" t="s">
        <v>7</v>
      </c>
      <c r="Q167" s="17">
        <v>175231</v>
      </c>
      <c r="R167" s="17">
        <v>505855</v>
      </c>
      <c r="S167" s="17">
        <v>419071</v>
      </c>
      <c r="T167" s="17">
        <f>AVERAGE(Table143690117171105107110145[[#This Row],[Teste 1]:[Teste 3]])</f>
        <v>366719</v>
      </c>
    </row>
    <row r="168" spans="1:20" x14ac:dyDescent="0.25">
      <c r="A168" s="16" t="s">
        <v>71</v>
      </c>
      <c r="B168" s="16" t="s">
        <v>8</v>
      </c>
      <c r="C168" s="17">
        <v>22991</v>
      </c>
      <c r="D168" s="17">
        <v>21247</v>
      </c>
      <c r="E168" s="17">
        <v>26143</v>
      </c>
      <c r="F168" s="17">
        <f>AVERAGE(Table143690117171105107110[[#This Row],[Teste 1]:[Teste 3]])</f>
        <v>23460.333333333332</v>
      </c>
      <c r="G168" s="16"/>
      <c r="H168" s="16" t="s">
        <v>71</v>
      </c>
      <c r="I168" s="16" t="s">
        <v>8</v>
      </c>
      <c r="J168" s="17">
        <v>24621</v>
      </c>
      <c r="K168" s="17">
        <v>24215</v>
      </c>
      <c r="L168" s="17">
        <v>25074</v>
      </c>
      <c r="M168" s="17">
        <f>AVERAGE(Table143690117171105107110127[[#This Row],[Teste 1]:[Teste 3]])</f>
        <v>24636.666666666668</v>
      </c>
      <c r="N168" s="16"/>
      <c r="O168" s="16" t="s">
        <v>71</v>
      </c>
      <c r="P168" s="16" t="s">
        <v>8</v>
      </c>
      <c r="Q168" s="17">
        <v>65983</v>
      </c>
      <c r="R168" s="17">
        <v>64895</v>
      </c>
      <c r="S168" s="17">
        <v>67199</v>
      </c>
      <c r="T168" s="17">
        <f>AVERAGE(Table143690117171105107110145[[#This Row],[Teste 1]:[Teste 3]])</f>
        <v>66025.666666666672</v>
      </c>
    </row>
    <row r="169" spans="1:20" x14ac:dyDescent="0.25">
      <c r="A169" s="16" t="s">
        <v>71</v>
      </c>
      <c r="B169" s="16" t="s">
        <v>9</v>
      </c>
      <c r="C169" s="17">
        <v>29567</v>
      </c>
      <c r="D169" s="17">
        <v>26303</v>
      </c>
      <c r="E169" s="17">
        <v>34463</v>
      </c>
      <c r="F169" s="17">
        <f>AVERAGE(Table143690117171105107110[[#This Row],[Teste 1]:[Teste 3]])</f>
        <v>30111</v>
      </c>
      <c r="G169" s="16"/>
      <c r="H169" s="16" t="s">
        <v>71</v>
      </c>
      <c r="I169" s="16" t="s">
        <v>9</v>
      </c>
      <c r="J169" s="17">
        <v>28537</v>
      </c>
      <c r="K169" s="17">
        <v>28250</v>
      </c>
      <c r="L169" s="17">
        <v>29301</v>
      </c>
      <c r="M169" s="17">
        <f>AVERAGE(Table143690117171105107110127[[#This Row],[Teste 1]:[Teste 3]])</f>
        <v>28696</v>
      </c>
      <c r="N169" s="16"/>
      <c r="O169" s="16" t="s">
        <v>71</v>
      </c>
      <c r="P169" s="16" t="s">
        <v>9</v>
      </c>
      <c r="Q169" s="17">
        <v>76479</v>
      </c>
      <c r="R169" s="17">
        <v>75711</v>
      </c>
      <c r="S169" s="17">
        <v>78527</v>
      </c>
      <c r="T169" s="17">
        <f>AVERAGE(Table143690117171105107110145[[#This Row],[Teste 1]:[Teste 3]])</f>
        <v>76905.666666666672</v>
      </c>
    </row>
    <row r="170" spans="1:20" x14ac:dyDescent="0.25">
      <c r="A170" s="16" t="s">
        <v>71</v>
      </c>
      <c r="B170" s="16" t="s">
        <v>11</v>
      </c>
      <c r="C170" s="17">
        <v>949886</v>
      </c>
      <c r="D170" s="17">
        <v>950250</v>
      </c>
      <c r="E170" s="17">
        <v>950154</v>
      </c>
      <c r="F170" s="17">
        <f>AVERAGE(Table143690117171105107110[[#This Row],[Teste 1]:[Teste 3]])</f>
        <v>950096.66666666663</v>
      </c>
      <c r="G170" s="16"/>
      <c r="H170" s="16" t="s">
        <v>71</v>
      </c>
      <c r="I170" s="16" t="s">
        <v>11</v>
      </c>
      <c r="J170" s="17">
        <v>949890</v>
      </c>
      <c r="K170" s="17">
        <v>949886</v>
      </c>
      <c r="L170" s="17">
        <v>949925</v>
      </c>
      <c r="M170" s="17">
        <f>AVERAGE(Table143690117171105107110127[[#This Row],[Teste 1]:[Teste 3]])</f>
        <v>949900.33333333337</v>
      </c>
      <c r="N170" s="16"/>
      <c r="O170" s="16" t="s">
        <v>71</v>
      </c>
      <c r="P170" s="16" t="s">
        <v>11</v>
      </c>
      <c r="Q170" s="17">
        <v>950246</v>
      </c>
      <c r="R170" s="17">
        <v>949622</v>
      </c>
      <c r="S170" s="17">
        <v>949966</v>
      </c>
      <c r="T170" s="17">
        <f>AVERAGE(Table143690117171105107110145[[#This Row],[Teste 1]:[Teste 3]])</f>
        <v>949944.66666666663</v>
      </c>
    </row>
    <row r="171" spans="1:20" x14ac:dyDescent="0.25">
      <c r="A171" s="16"/>
      <c r="B171" s="16"/>
      <c r="C171" s="17"/>
      <c r="D171" s="17"/>
      <c r="E171" s="17"/>
      <c r="F171" s="17"/>
      <c r="G171" s="16"/>
      <c r="H171" s="16"/>
      <c r="I171" s="16"/>
      <c r="J171" s="17"/>
      <c r="K171" s="17"/>
      <c r="L171" s="17"/>
      <c r="M171" s="17"/>
      <c r="N171" s="16"/>
      <c r="O171" s="16"/>
      <c r="P171" s="16"/>
      <c r="Q171" s="17"/>
      <c r="R171" s="17"/>
      <c r="S171" s="17"/>
      <c r="T171" s="17"/>
    </row>
    <row r="172" spans="1:20" x14ac:dyDescent="0.25">
      <c r="A172" s="16"/>
      <c r="B172" s="16"/>
      <c r="C172" s="17"/>
      <c r="D172" s="17"/>
      <c r="E172" s="17"/>
      <c r="F172" s="17"/>
      <c r="G172" s="16"/>
      <c r="H172" s="16"/>
      <c r="I172" s="16"/>
      <c r="J172" s="17"/>
      <c r="K172" s="17"/>
      <c r="L172" s="17"/>
      <c r="M172" s="17"/>
      <c r="N172" s="16"/>
      <c r="O172" s="16"/>
      <c r="P172" s="16"/>
      <c r="Q172" s="17"/>
      <c r="R172" s="17"/>
      <c r="S172" s="17"/>
      <c r="T172" s="17"/>
    </row>
    <row r="173" spans="1:20" x14ac:dyDescent="0.25">
      <c r="A173" s="16"/>
      <c r="B173" s="16"/>
      <c r="C173" s="17"/>
      <c r="D173" s="17"/>
      <c r="E173" s="17"/>
      <c r="F173" s="17"/>
      <c r="G173" s="16"/>
      <c r="H173" s="16"/>
      <c r="I173" s="16"/>
      <c r="J173" s="17"/>
      <c r="K173" s="17"/>
      <c r="L173" s="17"/>
      <c r="M173" s="17"/>
      <c r="N173" s="16"/>
      <c r="O173" s="16"/>
      <c r="P173" s="16"/>
      <c r="Q173" s="17"/>
      <c r="R173" s="17"/>
      <c r="S173" s="17"/>
      <c r="T173" s="17"/>
    </row>
    <row r="176" spans="1:20" ht="15.75" x14ac:dyDescent="0.25">
      <c r="A176" s="2" t="s">
        <v>81</v>
      </c>
      <c r="H176" s="2" t="s">
        <v>81</v>
      </c>
      <c r="O176" s="2" t="s">
        <v>81</v>
      </c>
    </row>
    <row r="177" spans="1:20" ht="15.75" x14ac:dyDescent="0.25">
      <c r="A177" s="2" t="s">
        <v>65</v>
      </c>
      <c r="H177" s="2" t="s">
        <v>65</v>
      </c>
      <c r="O177" s="2" t="s">
        <v>65</v>
      </c>
    </row>
    <row r="178" spans="1:20" ht="15.75" x14ac:dyDescent="0.25">
      <c r="A178" s="16" t="s">
        <v>59</v>
      </c>
      <c r="B178" s="21" t="s">
        <v>81</v>
      </c>
      <c r="C178" s="16" t="s">
        <v>82</v>
      </c>
      <c r="D178" s="16" t="s">
        <v>64</v>
      </c>
      <c r="E178" s="16" t="s">
        <v>63</v>
      </c>
      <c r="F178" s="16" t="s">
        <v>18</v>
      </c>
      <c r="G178" s="16"/>
      <c r="H178" s="16" t="s">
        <v>12</v>
      </c>
      <c r="I178" s="21" t="s">
        <v>81</v>
      </c>
      <c r="J178" s="16" t="s">
        <v>82</v>
      </c>
      <c r="K178" s="16" t="s">
        <v>64</v>
      </c>
      <c r="L178" s="16" t="s">
        <v>63</v>
      </c>
      <c r="M178" s="16" t="s">
        <v>18</v>
      </c>
      <c r="N178" s="16"/>
      <c r="O178" s="16" t="s">
        <v>13</v>
      </c>
      <c r="P178" s="21" t="s">
        <v>81</v>
      </c>
      <c r="Q178" s="16" t="s">
        <v>82</v>
      </c>
      <c r="R178" s="16" t="s">
        <v>64</v>
      </c>
      <c r="S178" s="16" t="s">
        <v>63</v>
      </c>
      <c r="T178" s="16" t="s">
        <v>18</v>
      </c>
    </row>
    <row r="179" spans="1:20" x14ac:dyDescent="0.25">
      <c r="A179" s="16" t="s">
        <v>0</v>
      </c>
      <c r="B179" s="16" t="s">
        <v>1</v>
      </c>
      <c r="C179" s="17">
        <v>78508128</v>
      </c>
      <c r="D179" s="17">
        <v>78319207</v>
      </c>
      <c r="E179" s="17">
        <v>78215207</v>
      </c>
      <c r="F179" s="17">
        <f>AVERAGE(Table143690117171105111[[#This Row],[Teste 1]:[Teste 3]])</f>
        <v>78347514</v>
      </c>
      <c r="G179" s="16"/>
      <c r="H179" s="16" t="s">
        <v>0</v>
      </c>
      <c r="I179" s="16" t="s">
        <v>1</v>
      </c>
      <c r="J179" s="17">
        <v>60475793</v>
      </c>
      <c r="K179" s="17">
        <v>60215256</v>
      </c>
      <c r="L179" s="17">
        <v>60263100</v>
      </c>
      <c r="M179" s="17">
        <f>AVERAGE(Table143690117171105111129[[#This Row],[Teste 1]:[Teste 3]])</f>
        <v>60318049.666666664</v>
      </c>
      <c r="N179" s="16"/>
      <c r="O179" s="16" t="s">
        <v>0</v>
      </c>
      <c r="P179" s="16" t="s">
        <v>1</v>
      </c>
      <c r="Q179" s="17">
        <v>157237061</v>
      </c>
      <c r="R179" s="17">
        <v>157259665</v>
      </c>
      <c r="S179" s="17">
        <v>157684061</v>
      </c>
      <c r="T179" s="17">
        <f>AVERAGE(Table143690117171105111146[[#This Row],[Teste 1]:[Teste 3]])</f>
        <v>157393595.66666666</v>
      </c>
    </row>
    <row r="180" spans="1:20" x14ac:dyDescent="0.25">
      <c r="A180" s="16" t="s">
        <v>0</v>
      </c>
      <c r="B180" s="16" t="s">
        <v>2</v>
      </c>
      <c r="C180" s="17">
        <v>129.018726913389</v>
      </c>
      <c r="D180" s="17">
        <v>130.68260025921799</v>
      </c>
      <c r="E180" s="17">
        <v>135.22680025921801</v>
      </c>
      <c r="F180" s="17">
        <f>AVERAGE(Table143690117171105111[[#This Row],[Teste 1]:[Teste 3]])</f>
        <v>131.64270914394166</v>
      </c>
      <c r="G180" s="16"/>
      <c r="H180" s="16" t="s">
        <v>0</v>
      </c>
      <c r="I180" s="16" t="s">
        <v>2</v>
      </c>
      <c r="J180" s="17">
        <v>165.36</v>
      </c>
      <c r="K180" s="17">
        <v>180.87</v>
      </c>
      <c r="L180" s="17">
        <v>170.56</v>
      </c>
      <c r="M180" s="17">
        <f>AVERAGE(Table143690117171105111129[[#This Row],[Teste 1]:[Teste 3]])</f>
        <v>172.26333333333332</v>
      </c>
      <c r="N180" s="16"/>
      <c r="O180" s="16" t="s">
        <v>0</v>
      </c>
      <c r="P180" s="16" t="s">
        <v>2</v>
      </c>
      <c r="Q180" s="17">
        <v>69.568423449999997</v>
      </c>
      <c r="R180" s="17">
        <v>65.598237365489297</v>
      </c>
      <c r="S180" s="17">
        <v>63.6</v>
      </c>
      <c r="T180" s="17">
        <f>AVERAGE(Table143690117171105111146[[#This Row],[Teste 1]:[Teste 3]])</f>
        <v>66.255553605163101</v>
      </c>
    </row>
    <row r="181" spans="1:20" x14ac:dyDescent="0.25">
      <c r="A181" s="16" t="s">
        <v>3</v>
      </c>
      <c r="B181" s="16" t="s">
        <v>4</v>
      </c>
      <c r="C181" s="17">
        <v>1</v>
      </c>
      <c r="D181" s="17">
        <v>1</v>
      </c>
      <c r="E181" s="17">
        <v>1</v>
      </c>
      <c r="F181" s="17">
        <f>AVERAGE(Table143690117171105111[[#This Row],[Teste 1]:[Teste 3]])</f>
        <v>1</v>
      </c>
      <c r="G181" s="16"/>
      <c r="H181" s="16" t="s">
        <v>3</v>
      </c>
      <c r="I181" s="16" t="s">
        <v>4</v>
      </c>
      <c r="J181" s="17">
        <v>1</v>
      </c>
      <c r="K181" s="17">
        <v>1</v>
      </c>
      <c r="L181" s="17">
        <v>1</v>
      </c>
      <c r="M181" s="17">
        <f>AVERAGE(Table143690117171105111129[[#This Row],[Teste 1]:[Teste 3]])</f>
        <v>1</v>
      </c>
      <c r="N181" s="16"/>
      <c r="O181" s="16" t="s">
        <v>3</v>
      </c>
      <c r="P181" s="16" t="s">
        <v>4</v>
      </c>
      <c r="Q181" s="17">
        <v>1</v>
      </c>
      <c r="R181" s="17">
        <v>1</v>
      </c>
      <c r="S181" s="17">
        <v>1</v>
      </c>
      <c r="T181" s="17">
        <f>AVERAGE(Table143690117171105111146[[#This Row],[Teste 1]:[Teste 3]])</f>
        <v>1</v>
      </c>
    </row>
    <row r="182" spans="1:20" x14ac:dyDescent="0.25">
      <c r="A182" s="16" t="s">
        <v>3</v>
      </c>
      <c r="B182" s="16" t="s">
        <v>5</v>
      </c>
      <c r="C182" s="17">
        <v>4</v>
      </c>
      <c r="D182" s="17">
        <v>10</v>
      </c>
      <c r="E182" s="17">
        <v>7</v>
      </c>
      <c r="F182" s="17">
        <f>AVERAGE(Table143690117171105111[[#This Row],[Teste 1]:[Teste 3]])</f>
        <v>7</v>
      </c>
      <c r="G182" s="16"/>
      <c r="H182" s="16" t="s">
        <v>3</v>
      </c>
      <c r="I182" s="16" t="s">
        <v>5</v>
      </c>
      <c r="J182" s="17">
        <v>10</v>
      </c>
      <c r="K182" s="17">
        <v>5</v>
      </c>
      <c r="L182" s="17">
        <v>6</v>
      </c>
      <c r="M182" s="17">
        <f>AVERAGE(Table143690117171105111129[[#This Row],[Teste 1]:[Teste 3]])</f>
        <v>7</v>
      </c>
      <c r="N182" s="16"/>
      <c r="O182" s="16" t="s">
        <v>3</v>
      </c>
      <c r="P182" s="16" t="s">
        <v>5</v>
      </c>
      <c r="Q182" s="17">
        <v>15484</v>
      </c>
      <c r="R182" s="17">
        <v>14898</v>
      </c>
      <c r="S182" s="17">
        <v>15123</v>
      </c>
      <c r="T182" s="17">
        <f>AVERAGE(Table143690117171105111146[[#This Row],[Teste 1]:[Teste 3]])</f>
        <v>15168.333333333334</v>
      </c>
    </row>
    <row r="183" spans="1:20" x14ac:dyDescent="0.25">
      <c r="A183" s="16" t="s">
        <v>3</v>
      </c>
      <c r="B183" s="16" t="s">
        <v>6</v>
      </c>
      <c r="C183" s="17">
        <v>4</v>
      </c>
      <c r="D183" s="17">
        <v>10</v>
      </c>
      <c r="E183" s="17">
        <v>7</v>
      </c>
      <c r="F183" s="17">
        <f>AVERAGE(Table143690117171105111[[#This Row],[Teste 1]:[Teste 3]])</f>
        <v>7</v>
      </c>
      <c r="G183" s="16"/>
      <c r="H183" s="16" t="s">
        <v>3</v>
      </c>
      <c r="I183" s="16" t="s">
        <v>6</v>
      </c>
      <c r="J183" s="17">
        <v>10</v>
      </c>
      <c r="K183" s="17">
        <v>5</v>
      </c>
      <c r="L183" s="17">
        <v>6</v>
      </c>
      <c r="M183" s="17">
        <f>AVERAGE(Table143690117171105111129[[#This Row],[Teste 1]:[Teste 3]])</f>
        <v>7</v>
      </c>
      <c r="N183" s="16"/>
      <c r="O183" s="16" t="s">
        <v>3</v>
      </c>
      <c r="P183" s="16" t="s">
        <v>6</v>
      </c>
      <c r="Q183" s="17">
        <v>15480</v>
      </c>
      <c r="R183" s="17">
        <v>14898</v>
      </c>
      <c r="S183" s="17">
        <v>15123</v>
      </c>
      <c r="T183" s="17">
        <f>AVERAGE(Table143690117171105111146[[#This Row],[Teste 1]:[Teste 3]])</f>
        <v>15167</v>
      </c>
    </row>
    <row r="184" spans="1:20" x14ac:dyDescent="0.25">
      <c r="A184" s="16" t="s">
        <v>3</v>
      </c>
      <c r="B184" s="16" t="s">
        <v>7</v>
      </c>
      <c r="C184" s="17">
        <v>4</v>
      </c>
      <c r="D184" s="17">
        <v>10</v>
      </c>
      <c r="E184" s="17">
        <v>7</v>
      </c>
      <c r="F184" s="17">
        <f>AVERAGE(Table143690117171105111[[#This Row],[Teste 1]:[Teste 3]])</f>
        <v>7</v>
      </c>
      <c r="G184" s="16"/>
      <c r="H184" s="16" t="s">
        <v>3</v>
      </c>
      <c r="I184" s="16" t="s">
        <v>7</v>
      </c>
      <c r="J184" s="17">
        <v>10</v>
      </c>
      <c r="K184" s="17">
        <v>5</v>
      </c>
      <c r="L184" s="17">
        <v>6</v>
      </c>
      <c r="M184" s="17">
        <f>AVERAGE(Table143690117171105111129[[#This Row],[Teste 1]:[Teste 3]])</f>
        <v>7</v>
      </c>
      <c r="N184" s="16"/>
      <c r="O184" s="16" t="s">
        <v>3</v>
      </c>
      <c r="P184" s="16" t="s">
        <v>7</v>
      </c>
      <c r="Q184" s="17">
        <v>15487</v>
      </c>
      <c r="R184" s="17">
        <v>14898</v>
      </c>
      <c r="S184" s="17">
        <v>15123</v>
      </c>
      <c r="T184" s="17">
        <f>AVERAGE(Table143690117171105111146[[#This Row],[Teste 1]:[Teste 3]])</f>
        <v>15169.333333333334</v>
      </c>
    </row>
    <row r="185" spans="1:20" x14ac:dyDescent="0.25">
      <c r="A185" s="16" t="s">
        <v>3</v>
      </c>
      <c r="B185" s="16" t="s">
        <v>8</v>
      </c>
      <c r="C185" s="17">
        <v>4</v>
      </c>
      <c r="D185" s="17">
        <v>10</v>
      </c>
      <c r="E185" s="17">
        <v>7</v>
      </c>
      <c r="F185" s="17">
        <f>AVERAGE(Table143690117171105111[[#This Row],[Teste 1]:[Teste 3]])</f>
        <v>7</v>
      </c>
      <c r="G185" s="16"/>
      <c r="H185" s="16" t="s">
        <v>3</v>
      </c>
      <c r="I185" s="16" t="s">
        <v>8</v>
      </c>
      <c r="J185" s="17">
        <v>10</v>
      </c>
      <c r="K185" s="17">
        <v>5</v>
      </c>
      <c r="L185" s="17">
        <v>6</v>
      </c>
      <c r="M185" s="17">
        <f>AVERAGE(Table143690117171105111129[[#This Row],[Teste 1]:[Teste 3]])</f>
        <v>7</v>
      </c>
      <c r="N185" s="16"/>
      <c r="O185" s="16" t="s">
        <v>3</v>
      </c>
      <c r="P185" s="16" t="s">
        <v>8</v>
      </c>
      <c r="Q185" s="17">
        <v>15487</v>
      </c>
      <c r="R185" s="17">
        <v>14898</v>
      </c>
      <c r="S185" s="17">
        <v>15123</v>
      </c>
      <c r="T185" s="17">
        <f>AVERAGE(Table143690117171105111146[[#This Row],[Teste 1]:[Teste 3]])</f>
        <v>15169.333333333334</v>
      </c>
    </row>
    <row r="186" spans="1:20" x14ac:dyDescent="0.25">
      <c r="A186" s="16" t="s">
        <v>3</v>
      </c>
      <c r="B186" s="16" t="s">
        <v>9</v>
      </c>
      <c r="C186" s="17">
        <v>4</v>
      </c>
      <c r="D186" s="17">
        <v>10</v>
      </c>
      <c r="E186" s="17">
        <v>7</v>
      </c>
      <c r="F186" s="17">
        <f>AVERAGE(Table143690117171105111[[#This Row],[Teste 1]:[Teste 3]])</f>
        <v>7</v>
      </c>
      <c r="G186" s="16"/>
      <c r="H186" s="16" t="s">
        <v>3</v>
      </c>
      <c r="I186" s="16" t="s">
        <v>9</v>
      </c>
      <c r="J186" s="17">
        <v>10</v>
      </c>
      <c r="K186" s="17">
        <v>5</v>
      </c>
      <c r="L186" s="17">
        <v>6</v>
      </c>
      <c r="M186" s="17">
        <f>AVERAGE(Table143690117171105111129[[#This Row],[Teste 1]:[Teste 3]])</f>
        <v>7</v>
      </c>
      <c r="N186" s="16"/>
      <c r="O186" s="16" t="s">
        <v>3</v>
      </c>
      <c r="P186" s="16" t="s">
        <v>9</v>
      </c>
      <c r="Q186" s="17">
        <v>15487</v>
      </c>
      <c r="R186" s="17">
        <v>14898</v>
      </c>
      <c r="S186" s="17">
        <v>15123</v>
      </c>
      <c r="T186" s="17">
        <f>AVERAGE(Table143690117171105111146[[#This Row],[Teste 1]:[Teste 3]])</f>
        <v>15169.333333333334</v>
      </c>
    </row>
    <row r="187" spans="1:20" x14ac:dyDescent="0.25">
      <c r="A187" s="16" t="s">
        <v>10</v>
      </c>
      <c r="B187" s="16" t="s">
        <v>4</v>
      </c>
      <c r="C187" s="17">
        <v>499496</v>
      </c>
      <c r="D187" s="17">
        <v>498582</v>
      </c>
      <c r="E187" s="17">
        <v>500000</v>
      </c>
      <c r="F187" s="17">
        <f>AVERAGE(Table143690117171105111[[#This Row],[Teste 1]:[Teste 3]])</f>
        <v>499359.33333333331</v>
      </c>
      <c r="G187" s="16"/>
      <c r="H187" s="16" t="s">
        <v>10</v>
      </c>
      <c r="I187" s="16" t="s">
        <v>4</v>
      </c>
      <c r="J187" s="17">
        <v>499749</v>
      </c>
      <c r="K187" s="17">
        <v>499940</v>
      </c>
      <c r="L187" s="17">
        <v>499857</v>
      </c>
      <c r="M187" s="17">
        <f>AVERAGE(Table143690117171105111129[[#This Row],[Teste 1]:[Teste 3]])</f>
        <v>499848.66666666669</v>
      </c>
      <c r="N187" s="16"/>
      <c r="O187" s="16" t="s">
        <v>10</v>
      </c>
      <c r="P187" s="16" t="s">
        <v>4</v>
      </c>
      <c r="Q187" s="17">
        <v>500794</v>
      </c>
      <c r="R187" s="17">
        <v>500845</v>
      </c>
      <c r="S187" s="17">
        <v>500651</v>
      </c>
      <c r="T187" s="17">
        <f>AVERAGE(Table143690117171105111146[[#This Row],[Teste 1]:[Teste 3]])</f>
        <v>500763.33333333331</v>
      </c>
    </row>
    <row r="188" spans="1:20" x14ac:dyDescent="0.25">
      <c r="A188" s="16" t="s">
        <v>10</v>
      </c>
      <c r="B188" s="16" t="s">
        <v>5</v>
      </c>
      <c r="C188" s="17">
        <v>826.77589810529003</v>
      </c>
      <c r="D188" s="17">
        <v>893.74329799310794</v>
      </c>
      <c r="E188" s="17">
        <v>902.92347799310801</v>
      </c>
      <c r="F188" s="17">
        <f>AVERAGE(Table143690117171105111[[#This Row],[Teste 1]:[Teste 3]])</f>
        <v>874.48089136383533</v>
      </c>
      <c r="G188" s="16"/>
      <c r="H188" s="16" t="s">
        <v>10</v>
      </c>
      <c r="I188" s="16" t="s">
        <v>5</v>
      </c>
      <c r="J188" s="17">
        <v>248.03</v>
      </c>
      <c r="K188" s="17">
        <v>268.12</v>
      </c>
      <c r="L188" s="17">
        <v>270.87</v>
      </c>
      <c r="M188" s="17">
        <f>AVERAGE(Table143690117171105111129[[#This Row],[Teste 1]:[Teste 3]])</f>
        <v>262.33999999999997</v>
      </c>
      <c r="N188" s="16"/>
      <c r="O188" s="16" t="s">
        <v>10</v>
      </c>
      <c r="P188" s="16" t="s">
        <v>5</v>
      </c>
      <c r="Q188" s="17">
        <v>730.21623861308206</v>
      </c>
      <c r="R188" s="17">
        <v>750.73</v>
      </c>
      <c r="S188" s="17">
        <v>758.44</v>
      </c>
      <c r="T188" s="17">
        <f>AVERAGE(Table143690117171105111146[[#This Row],[Teste 1]:[Teste 3]])</f>
        <v>746.46207953769408</v>
      </c>
    </row>
    <row r="189" spans="1:20" x14ac:dyDescent="0.25">
      <c r="A189" s="16" t="s">
        <v>10</v>
      </c>
      <c r="B189" s="16" t="s">
        <v>6</v>
      </c>
      <c r="C189" s="17">
        <v>372</v>
      </c>
      <c r="D189" s="17">
        <v>328</v>
      </c>
      <c r="E189" s="17">
        <v>302</v>
      </c>
      <c r="F189" s="17">
        <f>AVERAGE(Table143690117171105111[[#This Row],[Teste 1]:[Teste 3]])</f>
        <v>334</v>
      </c>
      <c r="G189" s="16"/>
      <c r="H189" s="16" t="s">
        <v>10</v>
      </c>
      <c r="I189" s="16" t="s">
        <v>6</v>
      </c>
      <c r="J189" s="17">
        <v>112</v>
      </c>
      <c r="K189" s="17">
        <v>98</v>
      </c>
      <c r="L189" s="17">
        <v>91</v>
      </c>
      <c r="M189" s="17">
        <f>AVERAGE(Table143690117171105111129[[#This Row],[Teste 1]:[Teste 3]])</f>
        <v>100.33333333333333</v>
      </c>
      <c r="N189" s="16"/>
      <c r="O189" s="16" t="s">
        <v>10</v>
      </c>
      <c r="P189" s="16" t="s">
        <v>6</v>
      </c>
      <c r="Q189" s="17">
        <v>210</v>
      </c>
      <c r="R189" s="17">
        <v>274.39999999999998</v>
      </c>
      <c r="S189" s="17">
        <v>254.8</v>
      </c>
      <c r="T189" s="17">
        <f>AVERAGE(Table143690117171105111146[[#This Row],[Teste 1]:[Teste 3]])</f>
        <v>246.4</v>
      </c>
    </row>
    <row r="190" spans="1:20" x14ac:dyDescent="0.25">
      <c r="A190" s="16" t="s">
        <v>10</v>
      </c>
      <c r="B190" s="16" t="s">
        <v>7</v>
      </c>
      <c r="C190" s="17">
        <v>52351</v>
      </c>
      <c r="D190" s="17">
        <v>56767</v>
      </c>
      <c r="E190" s="17">
        <v>58624</v>
      </c>
      <c r="F190" s="17">
        <f>AVERAGE(Table143690117171105111[[#This Row],[Teste 1]:[Teste 3]])</f>
        <v>55914</v>
      </c>
      <c r="G190" s="16"/>
      <c r="H190" s="16" t="s">
        <v>10</v>
      </c>
      <c r="I190" s="16" t="s">
        <v>7</v>
      </c>
      <c r="J190" s="17">
        <v>17705</v>
      </c>
      <c r="K190" s="17">
        <v>17030</v>
      </c>
      <c r="L190" s="17">
        <v>17587</v>
      </c>
      <c r="M190" s="17">
        <f>AVERAGE(Table143690117171105111129[[#This Row],[Teste 1]:[Teste 3]])</f>
        <v>17440.666666666668</v>
      </c>
      <c r="N190" s="16"/>
      <c r="O190" s="16" t="s">
        <v>10</v>
      </c>
      <c r="P190" s="16" t="s">
        <v>7</v>
      </c>
      <c r="Q190" s="17">
        <v>58943</v>
      </c>
      <c r="R190" s="17">
        <v>47684</v>
      </c>
      <c r="S190" s="17">
        <v>49243</v>
      </c>
      <c r="T190" s="17">
        <f>AVERAGE(Table143690117171105111146[[#This Row],[Teste 1]:[Teste 3]])</f>
        <v>51956.666666666664</v>
      </c>
    </row>
    <row r="191" spans="1:20" x14ac:dyDescent="0.25">
      <c r="A191" s="16" t="s">
        <v>10</v>
      </c>
      <c r="B191" s="16" t="s">
        <v>8</v>
      </c>
      <c r="C191" s="17">
        <v>1286</v>
      </c>
      <c r="D191" s="17">
        <v>1401</v>
      </c>
      <c r="E191" s="17">
        <v>1598</v>
      </c>
      <c r="F191" s="17">
        <f>AVERAGE(Table143690117171105111[[#This Row],[Teste 1]:[Teste 3]])</f>
        <v>1428.3333333333333</v>
      </c>
      <c r="G191" s="16"/>
      <c r="H191" s="16" t="s">
        <v>10</v>
      </c>
      <c r="I191" s="16" t="s">
        <v>8</v>
      </c>
      <c r="J191" s="17">
        <v>386</v>
      </c>
      <c r="K191" s="17">
        <v>420</v>
      </c>
      <c r="L191" s="17">
        <v>479</v>
      </c>
      <c r="M191" s="17">
        <f>AVERAGE(Table143690117171105111129[[#This Row],[Teste 1]:[Teste 3]])</f>
        <v>428.33333333333331</v>
      </c>
      <c r="N191" s="16"/>
      <c r="O191" s="16" t="s">
        <v>10</v>
      </c>
      <c r="P191" s="16" t="s">
        <v>8</v>
      </c>
      <c r="Q191" s="17">
        <v>945</v>
      </c>
      <c r="R191" s="17">
        <v>1176</v>
      </c>
      <c r="S191" s="17">
        <v>1341</v>
      </c>
      <c r="T191" s="17">
        <f>AVERAGE(Table143690117171105111146[[#This Row],[Teste 1]:[Teste 3]])</f>
        <v>1154</v>
      </c>
    </row>
    <row r="192" spans="1:20" x14ac:dyDescent="0.25">
      <c r="A192" s="16" t="s">
        <v>10</v>
      </c>
      <c r="B192" s="16" t="s">
        <v>9</v>
      </c>
      <c r="C192" s="17">
        <v>2014</v>
      </c>
      <c r="D192" s="17">
        <v>2203</v>
      </c>
      <c r="E192" s="17">
        <v>2399</v>
      </c>
      <c r="F192" s="17">
        <f>AVERAGE(Table143690117171105111[[#This Row],[Teste 1]:[Teste 3]])</f>
        <v>2205.3333333333335</v>
      </c>
      <c r="G192" s="16"/>
      <c r="H192" s="16" t="s">
        <v>10</v>
      </c>
      <c r="I192" s="16" t="s">
        <v>9</v>
      </c>
      <c r="J192" s="17">
        <v>604</v>
      </c>
      <c r="K192" s="17">
        <v>660</v>
      </c>
      <c r="L192" s="17">
        <v>719</v>
      </c>
      <c r="M192" s="17">
        <f>AVERAGE(Table143690117171105111129[[#This Row],[Teste 1]:[Teste 3]])</f>
        <v>661</v>
      </c>
      <c r="N192" s="16"/>
      <c r="O192" s="16" t="s">
        <v>10</v>
      </c>
      <c r="P192" s="16" t="s">
        <v>9</v>
      </c>
      <c r="Q192" s="17">
        <v>1135</v>
      </c>
      <c r="R192" s="17">
        <v>1848</v>
      </c>
      <c r="S192" s="17">
        <v>2013</v>
      </c>
      <c r="T192" s="17">
        <f>AVERAGE(Table143690117171105111146[[#This Row],[Teste 1]:[Teste 3]])</f>
        <v>1665.3333333333333</v>
      </c>
    </row>
    <row r="193" spans="1:20" x14ac:dyDescent="0.25">
      <c r="A193" s="16" t="s">
        <v>10</v>
      </c>
      <c r="B193" s="16" t="s">
        <v>11</v>
      </c>
      <c r="C193" s="17">
        <v>499496</v>
      </c>
      <c r="D193" s="17">
        <v>498582</v>
      </c>
      <c r="E193" s="17">
        <v>500000</v>
      </c>
      <c r="F193" s="17">
        <f>AVERAGE(Table143690117171105111[[#This Row],[Teste 1]:[Teste 3]])</f>
        <v>499359.33333333331</v>
      </c>
      <c r="G193" s="16"/>
      <c r="H193" s="16" t="s">
        <v>10</v>
      </c>
      <c r="I193" s="16" t="s">
        <v>11</v>
      </c>
      <c r="J193" s="17">
        <v>499749</v>
      </c>
      <c r="K193" s="17">
        <v>499940</v>
      </c>
      <c r="L193" s="17">
        <v>499857</v>
      </c>
      <c r="M193" s="17">
        <f>AVERAGE(Table143690117171105111129[[#This Row],[Teste 1]:[Teste 3]])</f>
        <v>499848.66666666669</v>
      </c>
      <c r="N193" s="16"/>
      <c r="O193" s="16" t="s">
        <v>10</v>
      </c>
      <c r="P193" s="16" t="s">
        <v>11</v>
      </c>
      <c r="Q193" s="17">
        <v>500794</v>
      </c>
      <c r="R193" s="17">
        <v>500845</v>
      </c>
      <c r="S193" s="17">
        <v>500651</v>
      </c>
      <c r="T193" s="17">
        <f>AVERAGE(Table143690117171105111146[[#This Row],[Teste 1]:[Teste 3]])</f>
        <v>500763.33333333331</v>
      </c>
    </row>
    <row r="194" spans="1:20" x14ac:dyDescent="0.25">
      <c r="A194" s="16" t="s">
        <v>71</v>
      </c>
      <c r="B194" s="16" t="s">
        <v>4</v>
      </c>
      <c r="C194" s="17">
        <v>9500504</v>
      </c>
      <c r="D194" s="17">
        <v>9501418</v>
      </c>
      <c r="E194" s="17">
        <v>9500000</v>
      </c>
      <c r="F194" s="17">
        <f>AVERAGE(Table143690117171105111[[#This Row],[Teste 1]:[Teste 3]])</f>
        <v>9500640.666666666</v>
      </c>
      <c r="G194" s="16"/>
      <c r="H194" s="16" t="s">
        <v>71</v>
      </c>
      <c r="I194" s="16" t="s">
        <v>4</v>
      </c>
      <c r="J194" s="17">
        <v>9500251</v>
      </c>
      <c r="K194" s="17">
        <v>9500060</v>
      </c>
      <c r="L194" s="17">
        <v>9500143</v>
      </c>
      <c r="M194" s="17">
        <f>AVERAGE(Table143690117171105111129[[#This Row],[Teste 1]:[Teste 3]])</f>
        <v>9500151.333333334</v>
      </c>
      <c r="N194" s="16"/>
      <c r="O194" s="16" t="s">
        <v>71</v>
      </c>
      <c r="P194" s="16" t="s">
        <v>4</v>
      </c>
      <c r="Q194" s="17">
        <v>9499206</v>
      </c>
      <c r="R194" s="17">
        <v>9499155</v>
      </c>
      <c r="S194" s="17">
        <v>9499349</v>
      </c>
      <c r="T194" s="17">
        <f>AVERAGE(Table143690117171105111146[[#This Row],[Teste 1]:[Teste 3]])</f>
        <v>9499236.666666666</v>
      </c>
    </row>
    <row r="195" spans="1:20" x14ac:dyDescent="0.25">
      <c r="A195" s="16" t="s">
        <v>71</v>
      </c>
      <c r="B195" s="16" t="s">
        <v>5</v>
      </c>
      <c r="C195" s="17">
        <v>8103.2834564355699</v>
      </c>
      <c r="D195" s="17">
        <v>8184.6133251899801</v>
      </c>
      <c r="E195" s="17">
        <v>8965.6133251899792</v>
      </c>
      <c r="F195" s="17">
        <f>AVERAGE(Table143690117171105111[[#This Row],[Teste 1]:[Teste 3]])</f>
        <v>8417.836702271843</v>
      </c>
      <c r="G195" s="16"/>
      <c r="H195" s="16" t="s">
        <v>71</v>
      </c>
      <c r="I195" s="16" t="s">
        <v>5</v>
      </c>
      <c r="J195" s="17">
        <v>2430.98</v>
      </c>
      <c r="K195" s="17">
        <v>2455.38</v>
      </c>
      <c r="L195" s="17">
        <v>2689.68</v>
      </c>
      <c r="M195" s="17">
        <f>AVERAGE(Table143690117171105111129[[#This Row],[Teste 1]:[Teste 3]])</f>
        <v>2525.3466666666668</v>
      </c>
      <c r="N195" s="16"/>
      <c r="O195" s="16" t="s">
        <v>71</v>
      </c>
      <c r="P195" s="16" t="s">
        <v>5</v>
      </c>
      <c r="Q195" s="17">
        <v>16507.7542888321</v>
      </c>
      <c r="R195" s="17">
        <v>16875.060000000001</v>
      </c>
      <c r="S195" s="17">
        <v>16531.099999999999</v>
      </c>
      <c r="T195" s="17">
        <f>AVERAGE(Table143690117171105111146[[#This Row],[Teste 1]:[Teste 3]])</f>
        <v>16637.971429610701</v>
      </c>
    </row>
    <row r="196" spans="1:20" x14ac:dyDescent="0.25">
      <c r="A196" s="16" t="s">
        <v>71</v>
      </c>
      <c r="B196" s="16" t="s">
        <v>6</v>
      </c>
      <c r="C196" s="17">
        <v>856</v>
      </c>
      <c r="D196" s="17">
        <v>741</v>
      </c>
      <c r="E196" s="17">
        <v>689</v>
      </c>
      <c r="F196" s="17">
        <f>AVERAGE(Table143690117171105111[[#This Row],[Teste 1]:[Teste 3]])</f>
        <v>762</v>
      </c>
      <c r="G196" s="16"/>
      <c r="H196" s="16" t="s">
        <v>71</v>
      </c>
      <c r="I196" s="16" t="s">
        <v>6</v>
      </c>
      <c r="J196" s="17">
        <v>257</v>
      </c>
      <c r="K196" s="17">
        <v>222</v>
      </c>
      <c r="L196" s="17">
        <v>207</v>
      </c>
      <c r="M196" s="17">
        <f>AVERAGE(Table143690117171105111129[[#This Row],[Teste 1]:[Teste 3]])</f>
        <v>228.66666666666666</v>
      </c>
      <c r="N196" s="16"/>
      <c r="O196" s="16" t="s">
        <v>71</v>
      </c>
      <c r="P196" s="16" t="s">
        <v>6</v>
      </c>
      <c r="Q196" s="17">
        <v>656</v>
      </c>
      <c r="R196" s="17">
        <v>621</v>
      </c>
      <c r="S196" s="17">
        <v>579</v>
      </c>
      <c r="T196" s="17">
        <f>AVERAGE(Table143690117171105111146[[#This Row],[Teste 1]:[Teste 3]])</f>
        <v>618.66666666666663</v>
      </c>
    </row>
    <row r="197" spans="1:20" x14ac:dyDescent="0.25">
      <c r="A197" s="16" t="s">
        <v>71</v>
      </c>
      <c r="B197" s="16" t="s">
        <v>7</v>
      </c>
      <c r="C197" s="17">
        <v>427775</v>
      </c>
      <c r="D197" s="17">
        <v>325119</v>
      </c>
      <c r="E197" s="17">
        <v>299115</v>
      </c>
      <c r="F197" s="17">
        <f>AVERAGE(Table143690117171105111[[#This Row],[Teste 1]:[Teste 3]])</f>
        <v>350669.66666666669</v>
      </c>
      <c r="G197" s="16"/>
      <c r="H197" s="16" t="s">
        <v>71</v>
      </c>
      <c r="I197" s="16" t="s">
        <v>7</v>
      </c>
      <c r="J197" s="17">
        <v>88332</v>
      </c>
      <c r="K197" s="17">
        <v>87535</v>
      </c>
      <c r="L197" s="17">
        <v>89735</v>
      </c>
      <c r="M197" s="17">
        <f>AVERAGE(Table143690117171105111129[[#This Row],[Teste 1]:[Teste 3]])</f>
        <v>88534</v>
      </c>
      <c r="N197" s="16"/>
      <c r="O197" s="16" t="s">
        <v>71</v>
      </c>
      <c r="P197" s="16" t="s">
        <v>7</v>
      </c>
      <c r="Q197" s="17">
        <v>401919</v>
      </c>
      <c r="R197" s="17">
        <v>445098</v>
      </c>
      <c r="S197" s="17">
        <v>451258</v>
      </c>
      <c r="T197" s="17">
        <f>AVERAGE(Table143690117171105111146[[#This Row],[Teste 1]:[Teste 3]])</f>
        <v>432758.33333333331</v>
      </c>
    </row>
    <row r="198" spans="1:20" x14ac:dyDescent="0.25">
      <c r="A198" s="16" t="s">
        <v>71</v>
      </c>
      <c r="B198" s="16" t="s">
        <v>8</v>
      </c>
      <c r="C198" s="17">
        <v>17423</v>
      </c>
      <c r="D198" s="17">
        <v>16943</v>
      </c>
      <c r="E198" s="17">
        <v>16264</v>
      </c>
      <c r="F198" s="17">
        <f>AVERAGE(Table143690117171105111[[#This Row],[Teste 1]:[Teste 3]])</f>
        <v>16876.666666666668</v>
      </c>
      <c r="G198" s="16"/>
      <c r="H198" s="16" t="s">
        <v>71</v>
      </c>
      <c r="I198" s="16" t="s">
        <v>8</v>
      </c>
      <c r="J198" s="17">
        <v>5227</v>
      </c>
      <c r="K198" s="17">
        <v>5083</v>
      </c>
      <c r="L198" s="17">
        <v>4879</v>
      </c>
      <c r="M198" s="17">
        <f>AVERAGE(Table143690117171105111129[[#This Row],[Teste 1]:[Teste 3]])</f>
        <v>5063</v>
      </c>
      <c r="N198" s="16"/>
      <c r="O198" s="16" t="s">
        <v>71</v>
      </c>
      <c r="P198" s="16" t="s">
        <v>8</v>
      </c>
      <c r="Q198" s="17">
        <v>36031</v>
      </c>
      <c r="R198" s="17">
        <v>34232</v>
      </c>
      <c r="S198" s="17">
        <v>33661</v>
      </c>
      <c r="T198" s="17">
        <f>AVERAGE(Table143690117171105111146[[#This Row],[Teste 1]:[Teste 3]])</f>
        <v>34641.333333333336</v>
      </c>
    </row>
    <row r="199" spans="1:20" x14ac:dyDescent="0.25">
      <c r="A199" s="16" t="s">
        <v>71</v>
      </c>
      <c r="B199" s="16" t="s">
        <v>9</v>
      </c>
      <c r="C199" s="17">
        <v>20831</v>
      </c>
      <c r="D199" s="17">
        <v>19711</v>
      </c>
      <c r="E199" s="17">
        <v>18624</v>
      </c>
      <c r="F199" s="17">
        <f>AVERAGE(Table143690117171105111[[#This Row],[Teste 1]:[Teste 3]])</f>
        <v>19722</v>
      </c>
      <c r="G199" s="16"/>
      <c r="H199" s="16" t="s">
        <v>71</v>
      </c>
      <c r="I199" s="16" t="s">
        <v>9</v>
      </c>
      <c r="J199" s="17">
        <v>6249</v>
      </c>
      <c r="K199" s="17">
        <v>5913</v>
      </c>
      <c r="L199" s="17">
        <v>5587</v>
      </c>
      <c r="M199" s="17">
        <f>AVERAGE(Table143690117171105111129[[#This Row],[Teste 1]:[Teste 3]])</f>
        <v>5916.333333333333</v>
      </c>
      <c r="N199" s="16"/>
      <c r="O199" s="16" t="s">
        <v>71</v>
      </c>
      <c r="P199" s="16" t="s">
        <v>9</v>
      </c>
      <c r="Q199" s="17">
        <v>39039</v>
      </c>
      <c r="R199" s="17">
        <v>36556</v>
      </c>
      <c r="S199" s="17">
        <v>35644</v>
      </c>
      <c r="T199" s="17">
        <f>AVERAGE(Table143690117171105111146[[#This Row],[Teste 1]:[Teste 3]])</f>
        <v>37079.666666666664</v>
      </c>
    </row>
    <row r="200" spans="1:20" x14ac:dyDescent="0.25">
      <c r="A200" s="16" t="s">
        <v>71</v>
      </c>
      <c r="B200" s="16" t="s">
        <v>11</v>
      </c>
      <c r="C200" s="17">
        <v>9500504</v>
      </c>
      <c r="D200" s="17">
        <v>9501418</v>
      </c>
      <c r="E200" s="17">
        <v>9500000</v>
      </c>
      <c r="F200" s="17">
        <f>AVERAGE(Table143690117171105111[[#This Row],[Teste 1]:[Teste 3]])</f>
        <v>9500640.666666666</v>
      </c>
      <c r="G200" s="16"/>
      <c r="H200" s="16" t="s">
        <v>71</v>
      </c>
      <c r="I200" s="16" t="s">
        <v>11</v>
      </c>
      <c r="J200" s="17">
        <v>9500251</v>
      </c>
      <c r="K200" s="17">
        <v>9500060</v>
      </c>
      <c r="L200" s="17">
        <v>9500143</v>
      </c>
      <c r="M200" s="17">
        <f>AVERAGE(Table143690117171105111129[[#This Row],[Teste 1]:[Teste 3]])</f>
        <v>9500151.333333334</v>
      </c>
      <c r="N200" s="16"/>
      <c r="O200" s="16" t="s">
        <v>71</v>
      </c>
      <c r="P200" s="16" t="s">
        <v>11</v>
      </c>
      <c r="Q200" s="17">
        <v>9499206</v>
      </c>
      <c r="R200" s="17">
        <v>9499155</v>
      </c>
      <c r="S200" s="17">
        <v>9499349</v>
      </c>
      <c r="T200" s="17">
        <f>AVERAGE(Table143690117171105111146[[#This Row],[Teste 1]:[Teste 3]])</f>
        <v>9499236.666666666</v>
      </c>
    </row>
    <row r="201" spans="1:20" x14ac:dyDescent="0.25">
      <c r="A201" s="16"/>
      <c r="B201" s="16"/>
      <c r="C201" s="17"/>
      <c r="D201" s="17"/>
      <c r="E201" s="17"/>
      <c r="F201" s="17"/>
      <c r="G201" s="16"/>
      <c r="H201" s="16"/>
      <c r="I201" s="16"/>
      <c r="J201" s="17"/>
      <c r="K201" s="17"/>
      <c r="L201" s="17"/>
      <c r="M201" s="17"/>
      <c r="N201" s="16"/>
      <c r="O201" s="16"/>
      <c r="P201" s="16"/>
      <c r="Q201" s="17"/>
      <c r="R201" s="17"/>
      <c r="S201" s="17"/>
      <c r="T201" s="17"/>
    </row>
    <row r="202" spans="1:20" x14ac:dyDescent="0.25">
      <c r="A202" s="16"/>
      <c r="B202" s="16"/>
      <c r="C202" s="17"/>
      <c r="D202" s="17"/>
      <c r="E202" s="17"/>
      <c r="F202" s="17"/>
      <c r="G202" s="16"/>
      <c r="H202" s="16"/>
      <c r="I202" s="16"/>
      <c r="J202" s="17"/>
      <c r="K202" s="17"/>
      <c r="L202" s="17"/>
      <c r="M202" s="17"/>
      <c r="N202" s="16"/>
      <c r="O202" s="16"/>
      <c r="P202" s="16"/>
      <c r="Q202" s="17"/>
      <c r="R202" s="17"/>
      <c r="S202" s="17"/>
      <c r="T202" s="17"/>
    </row>
    <row r="203" spans="1:20" x14ac:dyDescent="0.25">
      <c r="A203" s="16"/>
      <c r="B203" s="16"/>
      <c r="C203" s="17"/>
      <c r="D203" s="17"/>
      <c r="E203" s="17"/>
      <c r="F203" s="17"/>
      <c r="G203" s="16"/>
      <c r="H203" s="16"/>
      <c r="I203" s="16"/>
      <c r="J203" s="17"/>
      <c r="K203" s="17"/>
      <c r="L203" s="17"/>
      <c r="M203" s="17"/>
      <c r="N203" s="16"/>
      <c r="O203" s="16"/>
      <c r="P203" s="16"/>
      <c r="Q203" s="17"/>
      <c r="R203" s="17"/>
      <c r="S203" s="17"/>
      <c r="T203" s="17"/>
    </row>
    <row r="205" spans="1:20" ht="15.75" x14ac:dyDescent="0.25">
      <c r="A205" s="2" t="s">
        <v>74</v>
      </c>
      <c r="H205" s="2" t="s">
        <v>74</v>
      </c>
      <c r="O205" s="2" t="s">
        <v>74</v>
      </c>
    </row>
    <row r="206" spans="1:20" ht="15.75" x14ac:dyDescent="0.25">
      <c r="A206" s="16" t="s">
        <v>59</v>
      </c>
      <c r="B206" s="21" t="s">
        <v>81</v>
      </c>
      <c r="C206" s="16" t="s">
        <v>82</v>
      </c>
      <c r="D206" s="16" t="s">
        <v>64</v>
      </c>
      <c r="E206" s="16" t="s">
        <v>63</v>
      </c>
      <c r="F206" s="16" t="s">
        <v>18</v>
      </c>
      <c r="G206" s="16"/>
      <c r="H206" s="16" t="s">
        <v>12</v>
      </c>
      <c r="I206" s="21" t="s">
        <v>81</v>
      </c>
      <c r="J206" s="16" t="s">
        <v>82</v>
      </c>
      <c r="K206" s="16" t="s">
        <v>64</v>
      </c>
      <c r="L206" s="16" t="s">
        <v>63</v>
      </c>
      <c r="M206" s="16" t="s">
        <v>18</v>
      </c>
      <c r="N206" s="16"/>
      <c r="O206" s="16" t="s">
        <v>13</v>
      </c>
      <c r="P206" s="21" t="s">
        <v>81</v>
      </c>
      <c r="Q206" s="16" t="s">
        <v>82</v>
      </c>
      <c r="R206" s="16" t="s">
        <v>64</v>
      </c>
      <c r="S206" s="16" t="s">
        <v>63</v>
      </c>
      <c r="T206" s="16" t="s">
        <v>18</v>
      </c>
    </row>
    <row r="207" spans="1:20" x14ac:dyDescent="0.25">
      <c r="A207" s="16" t="s">
        <v>0</v>
      </c>
      <c r="B207" s="16" t="s">
        <v>1</v>
      </c>
      <c r="C207" s="17">
        <v>34112411</v>
      </c>
      <c r="D207" s="17">
        <v>34011615</v>
      </c>
      <c r="E207" s="17">
        <v>33960730</v>
      </c>
      <c r="F207" s="17">
        <f>AVERAGE(Table143690117171105106112[[#This Row],[Teste 1]:[Teste 3]])</f>
        <v>34028252</v>
      </c>
      <c r="G207" s="16"/>
      <c r="H207" s="16" t="s">
        <v>0</v>
      </c>
      <c r="I207" s="16" t="s">
        <v>1</v>
      </c>
      <c r="J207" s="17">
        <v>45369507</v>
      </c>
      <c r="K207" s="17">
        <v>45235448</v>
      </c>
      <c r="L207" s="17">
        <v>45167771</v>
      </c>
      <c r="M207" s="17">
        <f>AVERAGE(Table143690117171105106112130[[#This Row],[Teste 1]:[Teste 3]])</f>
        <v>45257575.333333336</v>
      </c>
      <c r="N207" s="16"/>
      <c r="O207" s="16" t="s">
        <v>0</v>
      </c>
      <c r="P207" s="16" t="s">
        <v>1</v>
      </c>
      <c r="Q207" s="17">
        <v>126265423</v>
      </c>
      <c r="R207" s="17">
        <v>126578281</v>
      </c>
      <c r="S207" s="17">
        <v>126088519</v>
      </c>
      <c r="T207" s="17">
        <f>AVERAGE(Table143690117171105106112147[[#This Row],[Teste 1]:[Teste 3]])</f>
        <v>126310741</v>
      </c>
    </row>
    <row r="208" spans="1:20" x14ac:dyDescent="0.25">
      <c r="A208" s="16" t="s">
        <v>0</v>
      </c>
      <c r="B208" s="16" t="s">
        <v>2</v>
      </c>
      <c r="C208" s="17">
        <v>293.14843796880803</v>
      </c>
      <c r="D208" s="17">
        <v>322.45982674555898</v>
      </c>
      <c r="E208" s="17">
        <v>270.55742676078</v>
      </c>
      <c r="F208" s="17">
        <f>AVERAGE(Table143690117171105106112[[#This Row],[Teste 1]:[Teste 3]])</f>
        <v>295.388563825049</v>
      </c>
      <c r="G208" s="16"/>
      <c r="H208" s="16" t="s">
        <v>0</v>
      </c>
      <c r="I208" s="16" t="s">
        <v>2</v>
      </c>
      <c r="J208" s="17">
        <v>203.43</v>
      </c>
      <c r="K208" s="17">
        <v>220.41</v>
      </c>
      <c r="L208" s="17">
        <v>242.45</v>
      </c>
      <c r="M208" s="17">
        <f>AVERAGE(Table143690117171105106112130[[#This Row],[Teste 1]:[Teste 3]])</f>
        <v>222.09666666666666</v>
      </c>
      <c r="N208" s="16"/>
      <c r="O208" s="16" t="s">
        <v>0</v>
      </c>
      <c r="P208" s="16" t="s">
        <v>2</v>
      </c>
      <c r="Q208" s="17">
        <v>79.198245746184995</v>
      </c>
      <c r="R208" s="17">
        <v>79.94</v>
      </c>
      <c r="S208" s="17">
        <v>82.251533067818201</v>
      </c>
      <c r="T208" s="17">
        <f>AVERAGE(Table143690117171105106112147[[#This Row],[Teste 1]:[Teste 3]])</f>
        <v>80.463259604667726</v>
      </c>
    </row>
    <row r="209" spans="1:20" x14ac:dyDescent="0.25">
      <c r="A209" s="16" t="s">
        <v>3</v>
      </c>
      <c r="B209" s="16" t="s">
        <v>4</v>
      </c>
      <c r="C209" s="17">
        <v>3</v>
      </c>
      <c r="D209" s="17">
        <v>3</v>
      </c>
      <c r="E209" s="17">
        <v>3</v>
      </c>
      <c r="F209" s="17">
        <f>AVERAGE(Table143690117171105106112[[#This Row],[Teste 1]:[Teste 3]])</f>
        <v>3</v>
      </c>
      <c r="G209" s="16"/>
      <c r="H209" s="16" t="s">
        <v>3</v>
      </c>
      <c r="I209" s="16" t="s">
        <v>4</v>
      </c>
      <c r="J209" s="17">
        <v>3</v>
      </c>
      <c r="K209" s="17">
        <v>3</v>
      </c>
      <c r="L209" s="17">
        <v>3</v>
      </c>
      <c r="M209" s="17">
        <f>AVERAGE(Table143690117171105106112130[[#This Row],[Teste 1]:[Teste 3]])</f>
        <v>3</v>
      </c>
      <c r="N209" s="16"/>
      <c r="O209" s="16" t="s">
        <v>3</v>
      </c>
      <c r="P209" s="16" t="s">
        <v>4</v>
      </c>
      <c r="Q209" s="17">
        <v>3</v>
      </c>
      <c r="R209" s="17">
        <v>3</v>
      </c>
      <c r="S209" s="17">
        <v>3</v>
      </c>
      <c r="T209" s="17">
        <f>AVERAGE(Table143690117171105106112147[[#This Row],[Teste 1]:[Teste 3]])</f>
        <v>3</v>
      </c>
    </row>
    <row r="210" spans="1:20" x14ac:dyDescent="0.25">
      <c r="A210" s="16" t="s">
        <v>3</v>
      </c>
      <c r="B210" s="16" t="s">
        <v>5</v>
      </c>
      <c r="C210" s="17">
        <v>1</v>
      </c>
      <c r="D210" s="17">
        <v>109</v>
      </c>
      <c r="E210" s="17">
        <v>0.33333333333333298</v>
      </c>
      <c r="F210" s="17">
        <f>AVERAGE(Table143690117171105106112[[#This Row],[Teste 1]:[Teste 3]])</f>
        <v>36.777777777777779</v>
      </c>
      <c r="G210" s="16"/>
      <c r="H210" s="16" t="s">
        <v>3</v>
      </c>
      <c r="I210" s="16" t="s">
        <v>5</v>
      </c>
      <c r="J210" s="17">
        <v>5</v>
      </c>
      <c r="K210" s="17">
        <v>3</v>
      </c>
      <c r="L210" s="17">
        <v>3.3333333333333299</v>
      </c>
      <c r="M210" s="17">
        <f>AVERAGE(Table143690117171105106112130[[#This Row],[Teste 1]:[Teste 3]])</f>
        <v>3.7777777777777768</v>
      </c>
      <c r="N210" s="16"/>
      <c r="O210" s="16" t="s">
        <v>3</v>
      </c>
      <c r="P210" s="16" t="s">
        <v>5</v>
      </c>
      <c r="Q210" s="17">
        <v>8334.3333333333303</v>
      </c>
      <c r="R210" s="17">
        <v>2023.6666666666599</v>
      </c>
      <c r="S210" s="17">
        <v>5301.6666666666597</v>
      </c>
      <c r="T210" s="17">
        <f>AVERAGE(Table143690117171105106112147[[#This Row],[Teste 1]:[Teste 3]])</f>
        <v>5219.8888888888832</v>
      </c>
    </row>
    <row r="211" spans="1:20" x14ac:dyDescent="0.25">
      <c r="A211" s="16" t="s">
        <v>3</v>
      </c>
      <c r="B211" s="16" t="s">
        <v>6</v>
      </c>
      <c r="C211" s="17">
        <v>0</v>
      </c>
      <c r="D211" s="17">
        <v>0</v>
      </c>
      <c r="E211" s="17">
        <v>0</v>
      </c>
      <c r="F211" s="17">
        <f>AVERAGE(Table143690117171105106112[[#This Row],[Teste 1]:[Teste 3]])</f>
        <v>0</v>
      </c>
      <c r="G211" s="16"/>
      <c r="H211" s="16" t="s">
        <v>3</v>
      </c>
      <c r="I211" s="16" t="s">
        <v>6</v>
      </c>
      <c r="J211" s="17">
        <v>2</v>
      </c>
      <c r="K211" s="17">
        <v>1</v>
      </c>
      <c r="L211" s="17">
        <v>1</v>
      </c>
      <c r="M211" s="17">
        <f>AVERAGE(Table143690117171105106112130[[#This Row],[Teste 1]:[Teste 3]])</f>
        <v>1.3333333333333333</v>
      </c>
      <c r="N211" s="16"/>
      <c r="O211" s="16" t="s">
        <v>3</v>
      </c>
      <c r="P211" s="16" t="s">
        <v>6</v>
      </c>
      <c r="Q211" s="17">
        <v>2</v>
      </c>
      <c r="R211" s="17">
        <v>2</v>
      </c>
      <c r="S211" s="17">
        <v>1</v>
      </c>
      <c r="T211" s="17">
        <f>AVERAGE(Table143690117171105106112147[[#This Row],[Teste 1]:[Teste 3]])</f>
        <v>1.6666666666666667</v>
      </c>
    </row>
    <row r="212" spans="1:20" x14ac:dyDescent="0.25">
      <c r="A212" s="16" t="s">
        <v>3</v>
      </c>
      <c r="B212" s="16" t="s">
        <v>7</v>
      </c>
      <c r="C212" s="17">
        <v>2</v>
      </c>
      <c r="D212" s="17">
        <v>326</v>
      </c>
      <c r="E212" s="17">
        <v>1</v>
      </c>
      <c r="F212" s="17">
        <f>AVERAGE(Table143690117171105106112[[#This Row],[Teste 1]:[Teste 3]])</f>
        <v>109.66666666666667</v>
      </c>
      <c r="G212" s="16"/>
      <c r="H212" s="16" t="s">
        <v>3</v>
      </c>
      <c r="I212" s="16" t="s">
        <v>7</v>
      </c>
      <c r="J212" s="17">
        <v>10</v>
      </c>
      <c r="K212" s="17">
        <v>6</v>
      </c>
      <c r="L212" s="17">
        <v>6</v>
      </c>
      <c r="M212" s="17">
        <f>AVERAGE(Table143690117171105106112130[[#This Row],[Teste 1]:[Teste 3]])</f>
        <v>7.333333333333333</v>
      </c>
      <c r="N212" s="16"/>
      <c r="O212" s="16" t="s">
        <v>3</v>
      </c>
      <c r="P212" s="16" t="s">
        <v>7</v>
      </c>
      <c r="Q212" s="17">
        <v>24799</v>
      </c>
      <c r="R212" s="17">
        <v>6063</v>
      </c>
      <c r="S212" s="17">
        <v>15679</v>
      </c>
      <c r="T212" s="17">
        <f>AVERAGE(Table143690117171105106112147[[#This Row],[Teste 1]:[Teste 3]])</f>
        <v>15513.666666666666</v>
      </c>
    </row>
    <row r="213" spans="1:20" x14ac:dyDescent="0.25">
      <c r="A213" s="16" t="s">
        <v>3</v>
      </c>
      <c r="B213" s="16" t="s">
        <v>8</v>
      </c>
      <c r="C213" s="17">
        <v>2</v>
      </c>
      <c r="D213" s="17">
        <v>326</v>
      </c>
      <c r="E213" s="17">
        <v>1</v>
      </c>
      <c r="F213" s="17">
        <f>AVERAGE(Table143690117171105106112[[#This Row],[Teste 1]:[Teste 3]])</f>
        <v>109.66666666666667</v>
      </c>
      <c r="G213" s="16"/>
      <c r="H213" s="16" t="s">
        <v>3</v>
      </c>
      <c r="I213" s="16" t="s">
        <v>8</v>
      </c>
      <c r="J213" s="17">
        <v>10</v>
      </c>
      <c r="K213" s="17">
        <v>6</v>
      </c>
      <c r="L213" s="17">
        <v>6</v>
      </c>
      <c r="M213" s="17">
        <f>AVERAGE(Table143690117171105106112130[[#This Row],[Teste 1]:[Teste 3]])</f>
        <v>7.333333333333333</v>
      </c>
      <c r="N213" s="16"/>
      <c r="O213" s="16" t="s">
        <v>3</v>
      </c>
      <c r="P213" s="16" t="s">
        <v>8</v>
      </c>
      <c r="Q213" s="17">
        <v>24799</v>
      </c>
      <c r="R213" s="17">
        <v>6063</v>
      </c>
      <c r="S213" s="17">
        <v>15679</v>
      </c>
      <c r="T213" s="17">
        <f>AVERAGE(Table143690117171105106112147[[#This Row],[Teste 1]:[Teste 3]])</f>
        <v>15513.666666666666</v>
      </c>
    </row>
    <row r="214" spans="1:20" x14ac:dyDescent="0.25">
      <c r="A214" s="16" t="s">
        <v>3</v>
      </c>
      <c r="B214" s="16" t="s">
        <v>9</v>
      </c>
      <c r="C214" s="17">
        <v>2</v>
      </c>
      <c r="D214" s="17">
        <v>326</v>
      </c>
      <c r="E214" s="17">
        <v>1</v>
      </c>
      <c r="F214" s="17">
        <f>AVERAGE(Table143690117171105106112[[#This Row],[Teste 1]:[Teste 3]])</f>
        <v>109.66666666666667</v>
      </c>
      <c r="G214" s="16"/>
      <c r="H214" s="16" t="s">
        <v>3</v>
      </c>
      <c r="I214" s="16" t="s">
        <v>9</v>
      </c>
      <c r="J214" s="17">
        <v>10</v>
      </c>
      <c r="K214" s="17">
        <v>6</v>
      </c>
      <c r="L214" s="17">
        <v>6</v>
      </c>
      <c r="M214" s="17">
        <f>AVERAGE(Table143690117171105106112130[[#This Row],[Teste 1]:[Teste 3]])</f>
        <v>7.333333333333333</v>
      </c>
      <c r="N214" s="16"/>
      <c r="O214" s="16" t="s">
        <v>3</v>
      </c>
      <c r="P214" s="16" t="s">
        <v>9</v>
      </c>
      <c r="Q214" s="17">
        <v>24799</v>
      </c>
      <c r="R214" s="17">
        <v>6063</v>
      </c>
      <c r="S214" s="17">
        <v>15679</v>
      </c>
      <c r="T214" s="17">
        <f>AVERAGE(Table143690117171105106112147[[#This Row],[Teste 1]:[Teste 3]])</f>
        <v>15513.666666666666</v>
      </c>
    </row>
    <row r="215" spans="1:20" x14ac:dyDescent="0.25">
      <c r="A215" s="16" t="s">
        <v>10</v>
      </c>
      <c r="B215" s="16" t="s">
        <v>4</v>
      </c>
      <c r="C215" s="17">
        <v>501806</v>
      </c>
      <c r="D215" s="17">
        <v>499849</v>
      </c>
      <c r="E215" s="17">
        <v>499102</v>
      </c>
      <c r="F215" s="17">
        <f>AVERAGE(Table143690117171105106112[[#This Row],[Teste 1]:[Teste 3]])</f>
        <v>500252.33333333331</v>
      </c>
      <c r="G215" s="16"/>
      <c r="H215" s="16" t="s">
        <v>10</v>
      </c>
      <c r="I215" s="16" t="s">
        <v>4</v>
      </c>
      <c r="J215" s="17">
        <v>499496</v>
      </c>
      <c r="K215" s="17">
        <v>500794</v>
      </c>
      <c r="L215" s="17">
        <v>498817</v>
      </c>
      <c r="M215" s="17">
        <f>AVERAGE(Table143690117171105106112130[[#This Row],[Teste 1]:[Teste 3]])</f>
        <v>499702.33333333331</v>
      </c>
      <c r="N215" s="16"/>
      <c r="O215" s="16" t="s">
        <v>10</v>
      </c>
      <c r="P215" s="16" t="s">
        <v>4</v>
      </c>
      <c r="Q215" s="17">
        <v>500377</v>
      </c>
      <c r="R215" s="17">
        <v>499520</v>
      </c>
      <c r="S215" s="17">
        <v>499857</v>
      </c>
      <c r="T215" s="17">
        <f>AVERAGE(Table143690117171105106112147[[#This Row],[Teste 1]:[Teste 3]])</f>
        <v>499918</v>
      </c>
    </row>
    <row r="216" spans="1:20" x14ac:dyDescent="0.25">
      <c r="A216" s="16" t="s">
        <v>10</v>
      </c>
      <c r="B216" s="16" t="s">
        <v>5</v>
      </c>
      <c r="C216" s="17">
        <v>726.71457495526101</v>
      </c>
      <c r="D216" s="17">
        <v>762.99877963144797</v>
      </c>
      <c r="E216" s="17">
        <v>741.24239734563196</v>
      </c>
      <c r="F216" s="17">
        <f>AVERAGE(Table143690117171105106112[[#This Row],[Teste 1]:[Teste 3]])</f>
        <v>743.65191731078039</v>
      </c>
      <c r="G216" s="16"/>
      <c r="H216" s="16" t="s">
        <v>10</v>
      </c>
      <c r="I216" s="16" t="s">
        <v>5</v>
      </c>
      <c r="J216" s="17">
        <v>966.53</v>
      </c>
      <c r="K216" s="17">
        <v>1014.79</v>
      </c>
      <c r="L216" s="17">
        <v>985.85</v>
      </c>
      <c r="M216" s="17">
        <f>AVERAGE(Table143690117171105106112130[[#This Row],[Teste 1]:[Teste 3]])</f>
        <v>989.05666666666673</v>
      </c>
      <c r="N216" s="16"/>
      <c r="O216" s="16" t="s">
        <v>10</v>
      </c>
      <c r="P216" s="16" t="s">
        <v>5</v>
      </c>
      <c r="Q216" s="17">
        <v>757.67886013945395</v>
      </c>
      <c r="R216" s="17">
        <v>732.63603459320905</v>
      </c>
      <c r="S216" s="17">
        <v>751.25515097317805</v>
      </c>
      <c r="T216" s="17">
        <f>AVERAGE(Table143690117171105106112147[[#This Row],[Teste 1]:[Teste 3]])</f>
        <v>747.19001523528038</v>
      </c>
    </row>
    <row r="217" spans="1:20" x14ac:dyDescent="0.25">
      <c r="A217" s="16" t="s">
        <v>10</v>
      </c>
      <c r="B217" s="16" t="s">
        <v>6</v>
      </c>
      <c r="C217" s="17">
        <v>355</v>
      </c>
      <c r="D217" s="17">
        <v>328</v>
      </c>
      <c r="E217" s="17">
        <v>323</v>
      </c>
      <c r="F217" s="17">
        <f>AVERAGE(Table143690117171105106112[[#This Row],[Teste 1]:[Teste 3]])</f>
        <v>335.33333333333331</v>
      </c>
      <c r="G217" s="16"/>
      <c r="H217" s="16" t="s">
        <v>10</v>
      </c>
      <c r="I217" s="16" t="s">
        <v>6</v>
      </c>
      <c r="J217" s="17">
        <v>472</v>
      </c>
      <c r="K217" s="17">
        <v>436</v>
      </c>
      <c r="L217" s="17">
        <v>429</v>
      </c>
      <c r="M217" s="17">
        <f>AVERAGE(Table143690117171105106112130[[#This Row],[Teste 1]:[Teste 3]])</f>
        <v>445.66666666666669</v>
      </c>
      <c r="N217" s="16"/>
      <c r="O217" s="16" t="s">
        <v>10</v>
      </c>
      <c r="P217" s="16" t="s">
        <v>6</v>
      </c>
      <c r="Q217" s="17">
        <v>250</v>
      </c>
      <c r="R217" s="17">
        <v>211</v>
      </c>
      <c r="S217" s="17">
        <v>209</v>
      </c>
      <c r="T217" s="17">
        <f>AVERAGE(Table143690117171105106112147[[#This Row],[Teste 1]:[Teste 3]])</f>
        <v>223.33333333333334</v>
      </c>
    </row>
    <row r="218" spans="1:20" x14ac:dyDescent="0.25">
      <c r="A218" s="16" t="s">
        <v>10</v>
      </c>
      <c r="B218" s="16" t="s">
        <v>7</v>
      </c>
      <c r="C218" s="17">
        <v>40415</v>
      </c>
      <c r="D218" s="17">
        <v>76543</v>
      </c>
      <c r="E218" s="17">
        <v>35615</v>
      </c>
      <c r="F218" s="17">
        <f>AVERAGE(Table143690117171105106112[[#This Row],[Teste 1]:[Teste 3]])</f>
        <v>50857.666666666664</v>
      </c>
      <c r="G218" s="16"/>
      <c r="H218" s="16" t="s">
        <v>10</v>
      </c>
      <c r="I218" s="16" t="s">
        <v>7</v>
      </c>
      <c r="J218" s="17">
        <v>53751</v>
      </c>
      <c r="K218" s="17">
        <v>51802</v>
      </c>
      <c r="L218" s="17">
        <v>47367</v>
      </c>
      <c r="M218" s="17">
        <f>AVERAGE(Table143690117171105106112130[[#This Row],[Teste 1]:[Teste 3]])</f>
        <v>50973.333333333336</v>
      </c>
      <c r="N218" s="16"/>
      <c r="O218" s="16" t="s">
        <v>10</v>
      </c>
      <c r="P218" s="16" t="s">
        <v>7</v>
      </c>
      <c r="Q218" s="17">
        <v>120447</v>
      </c>
      <c r="R218" s="17">
        <v>111615</v>
      </c>
      <c r="S218" s="17">
        <v>65375</v>
      </c>
      <c r="T218" s="17">
        <f>AVERAGE(Table143690117171105106112147[[#This Row],[Teste 1]:[Teste 3]])</f>
        <v>99145.666666666672</v>
      </c>
    </row>
    <row r="219" spans="1:20" x14ac:dyDescent="0.25">
      <c r="A219" s="16" t="s">
        <v>10</v>
      </c>
      <c r="B219" s="16" t="s">
        <v>8</v>
      </c>
      <c r="C219" s="17">
        <v>1015</v>
      </c>
      <c r="D219" s="17">
        <v>1147</v>
      </c>
      <c r="E219" s="17">
        <v>1047</v>
      </c>
      <c r="F219" s="17">
        <f>AVERAGE(Table143690117171105106112[[#This Row],[Teste 1]:[Teste 3]])</f>
        <v>1069.6666666666667</v>
      </c>
      <c r="G219" s="16"/>
      <c r="H219" s="16" t="s">
        <v>10</v>
      </c>
      <c r="I219" s="16" t="s">
        <v>8</v>
      </c>
      <c r="J219" s="17">
        <v>1349</v>
      </c>
      <c r="K219" s="17">
        <v>1525</v>
      </c>
      <c r="L219" s="17">
        <v>1392</v>
      </c>
      <c r="M219" s="17">
        <f>AVERAGE(Table143690117171105106112130[[#This Row],[Teste 1]:[Teste 3]])</f>
        <v>1422</v>
      </c>
      <c r="N219" s="16"/>
      <c r="O219" s="16" t="s">
        <v>10</v>
      </c>
      <c r="P219" s="16" t="s">
        <v>8</v>
      </c>
      <c r="Q219" s="17">
        <v>967</v>
      </c>
      <c r="R219" s="17">
        <v>953</v>
      </c>
      <c r="S219" s="17">
        <v>969</v>
      </c>
      <c r="T219" s="17">
        <f>AVERAGE(Table143690117171105106112147[[#This Row],[Teste 1]:[Teste 3]])</f>
        <v>963</v>
      </c>
    </row>
    <row r="220" spans="1:20" x14ac:dyDescent="0.25">
      <c r="A220" s="16" t="s">
        <v>10</v>
      </c>
      <c r="B220" s="16" t="s">
        <v>9</v>
      </c>
      <c r="C220" s="17">
        <v>1399</v>
      </c>
      <c r="D220" s="17">
        <v>2020</v>
      </c>
      <c r="E220" s="17">
        <v>1309</v>
      </c>
      <c r="F220" s="17">
        <f>AVERAGE(Table143690117171105106112[[#This Row],[Teste 1]:[Teste 3]])</f>
        <v>1576</v>
      </c>
      <c r="G220" s="16"/>
      <c r="H220" s="16" t="s">
        <v>10</v>
      </c>
      <c r="I220" s="16" t="s">
        <v>9</v>
      </c>
      <c r="J220" s="17">
        <v>1860</v>
      </c>
      <c r="K220" s="17">
        <v>1686</v>
      </c>
      <c r="L220" s="17">
        <v>1740</v>
      </c>
      <c r="M220" s="17">
        <f>AVERAGE(Table143690117171105106112130[[#This Row],[Teste 1]:[Teste 3]])</f>
        <v>1762</v>
      </c>
      <c r="N220" s="16"/>
      <c r="O220" s="16" t="s">
        <v>10</v>
      </c>
      <c r="P220" s="16" t="s">
        <v>9</v>
      </c>
      <c r="Q220" s="17">
        <v>1264</v>
      </c>
      <c r="R220" s="17">
        <v>1332</v>
      </c>
      <c r="S220" s="17">
        <v>1257</v>
      </c>
      <c r="T220" s="17">
        <f>AVERAGE(Table143690117171105106112147[[#This Row],[Teste 1]:[Teste 3]])</f>
        <v>1284.3333333333333</v>
      </c>
    </row>
    <row r="221" spans="1:20" x14ac:dyDescent="0.25">
      <c r="A221" s="16" t="s">
        <v>10</v>
      </c>
      <c r="B221" s="16" t="s">
        <v>11</v>
      </c>
      <c r="C221" s="17">
        <v>501806</v>
      </c>
      <c r="D221" s="17">
        <v>499849</v>
      </c>
      <c r="E221" s="17">
        <v>499102</v>
      </c>
      <c r="F221" s="17">
        <f>AVERAGE(Table143690117171105106112[[#This Row],[Teste 1]:[Teste 3]])</f>
        <v>500252.33333333331</v>
      </c>
      <c r="G221" s="16"/>
      <c r="H221" s="16" t="s">
        <v>10</v>
      </c>
      <c r="I221" s="16" t="s">
        <v>11</v>
      </c>
      <c r="J221" s="17">
        <v>499496</v>
      </c>
      <c r="K221" s="17">
        <v>500794</v>
      </c>
      <c r="L221" s="17">
        <v>498817</v>
      </c>
      <c r="M221" s="17">
        <f>AVERAGE(Table143690117171105106112130[[#This Row],[Teste 1]:[Teste 3]])</f>
        <v>499702.33333333331</v>
      </c>
      <c r="N221" s="16"/>
      <c r="O221" s="16" t="s">
        <v>10</v>
      </c>
      <c r="P221" s="16" t="s">
        <v>11</v>
      </c>
      <c r="Q221" s="17">
        <v>500377</v>
      </c>
      <c r="R221" s="17">
        <v>499520</v>
      </c>
      <c r="S221" s="17">
        <v>499857</v>
      </c>
      <c r="T221" s="17">
        <f>AVERAGE(Table143690117171105106112147[[#This Row],[Teste 1]:[Teste 3]])</f>
        <v>499918</v>
      </c>
    </row>
    <row r="222" spans="1:20" x14ac:dyDescent="0.25">
      <c r="A222" s="16" t="s">
        <v>71</v>
      </c>
      <c r="B222" s="16" t="s">
        <v>4</v>
      </c>
      <c r="C222" s="17">
        <v>9498194</v>
      </c>
      <c r="D222" s="17">
        <v>9500151</v>
      </c>
      <c r="E222" s="17">
        <v>9500898</v>
      </c>
      <c r="F222" s="17">
        <f>AVERAGE(Table143690117171105106112[[#This Row],[Teste 1]:[Teste 3]])</f>
        <v>9499747.666666666</v>
      </c>
      <c r="G222" s="16"/>
      <c r="H222" s="16" t="s">
        <v>71</v>
      </c>
      <c r="I222" s="16" t="s">
        <v>4</v>
      </c>
      <c r="J222" s="17">
        <v>9500504</v>
      </c>
      <c r="K222" s="17">
        <v>9499206</v>
      </c>
      <c r="L222" s="17">
        <v>9501183</v>
      </c>
      <c r="M222" s="17">
        <f>AVERAGE(Table143690117171105106112130[[#This Row],[Teste 1]:[Teste 3]])</f>
        <v>9500297.666666666</v>
      </c>
      <c r="N222" s="16"/>
      <c r="O222" s="16" t="s">
        <v>71</v>
      </c>
      <c r="P222" s="16" t="s">
        <v>4</v>
      </c>
      <c r="Q222" s="17">
        <v>9499623</v>
      </c>
      <c r="R222" s="17">
        <v>9500480</v>
      </c>
      <c r="S222" s="17">
        <v>9500143</v>
      </c>
      <c r="T222" s="17">
        <f>AVERAGE(Table143690117171105106112147[[#This Row],[Teste 1]:[Teste 3]])</f>
        <v>9500082</v>
      </c>
    </row>
    <row r="223" spans="1:20" x14ac:dyDescent="0.25">
      <c r="A223" s="16" t="s">
        <v>71</v>
      </c>
      <c r="B223" s="16" t="s">
        <v>5</v>
      </c>
      <c r="C223" s="17">
        <v>10718.704223139601</v>
      </c>
      <c r="D223" s="17">
        <v>9740.0077388243608</v>
      </c>
      <c r="E223" s="17">
        <v>11361.419731903199</v>
      </c>
      <c r="F223" s="17">
        <f>AVERAGE(Table143690117171105106112[[#This Row],[Teste 1]:[Teste 3]])</f>
        <v>10606.710564622388</v>
      </c>
      <c r="G223" s="16"/>
      <c r="H223" s="16" t="s">
        <v>71</v>
      </c>
      <c r="I223" s="16" t="s">
        <v>5</v>
      </c>
      <c r="J223" s="17">
        <v>14255.88</v>
      </c>
      <c r="K223" s="17">
        <v>14954.21</v>
      </c>
      <c r="L223" s="17">
        <v>15110.69</v>
      </c>
      <c r="M223" s="17">
        <f>AVERAGE(Table143690117171105106112130[[#This Row],[Teste 1]:[Teste 3]])</f>
        <v>14773.593333333332</v>
      </c>
      <c r="N223" s="16"/>
      <c r="O223" s="16" t="s">
        <v>71</v>
      </c>
      <c r="P223" s="16" t="s">
        <v>5</v>
      </c>
      <c r="Q223" s="17">
        <v>39789.730753420401</v>
      </c>
      <c r="R223" s="17">
        <v>38329.643859889104</v>
      </c>
      <c r="S223" s="17">
        <v>39433.003329949803</v>
      </c>
      <c r="T223" s="17">
        <f>AVERAGE(Table143690117171105106112147[[#This Row],[Teste 1]:[Teste 3]])</f>
        <v>39184.125981086436</v>
      </c>
    </row>
    <row r="224" spans="1:20" x14ac:dyDescent="0.25">
      <c r="A224" s="16" t="s">
        <v>71</v>
      </c>
      <c r="B224" s="16" t="s">
        <v>6</v>
      </c>
      <c r="C224" s="17">
        <v>772</v>
      </c>
      <c r="D224" s="17">
        <v>844</v>
      </c>
      <c r="E224" s="17">
        <v>909</v>
      </c>
      <c r="F224" s="17">
        <f>AVERAGE(Table143690117171105106112[[#This Row],[Teste 1]:[Teste 3]])</f>
        <v>841.66666666666663</v>
      </c>
      <c r="G224" s="16"/>
      <c r="H224" s="16" t="s">
        <v>71</v>
      </c>
      <c r="I224" s="16" t="s">
        <v>6</v>
      </c>
      <c r="J224" s="17">
        <v>1026</v>
      </c>
      <c r="K224" s="17">
        <v>1122</v>
      </c>
      <c r="L224" s="17">
        <v>1208</v>
      </c>
      <c r="M224" s="17">
        <f>AVERAGE(Table143690117171105106112130[[#This Row],[Teste 1]:[Teste 3]])</f>
        <v>1118.6666666666667</v>
      </c>
      <c r="N224" s="16"/>
      <c r="O224" s="16" t="s">
        <v>71</v>
      </c>
      <c r="P224" s="16" t="s">
        <v>6</v>
      </c>
      <c r="Q224" s="17">
        <v>195</v>
      </c>
      <c r="R224" s="17">
        <v>183</v>
      </c>
      <c r="S224" s="17">
        <v>190</v>
      </c>
      <c r="T224" s="17">
        <f>AVERAGE(Table143690117171105106112147[[#This Row],[Teste 1]:[Teste 3]])</f>
        <v>189.33333333333334</v>
      </c>
    </row>
    <row r="225" spans="1:20" x14ac:dyDescent="0.25">
      <c r="A225" s="16" t="s">
        <v>71</v>
      </c>
      <c r="B225" s="16" t="s">
        <v>7</v>
      </c>
      <c r="C225" s="17">
        <v>75038719</v>
      </c>
      <c r="D225" s="17">
        <v>1650687</v>
      </c>
      <c r="E225" s="17">
        <v>674303</v>
      </c>
      <c r="F225" s="17">
        <f>AVERAGE(Table143690117171105106112[[#This Row],[Teste 1]:[Teste 3]])</f>
        <v>25787903</v>
      </c>
      <c r="G225" s="16"/>
      <c r="H225" s="16" t="s">
        <v>71</v>
      </c>
      <c r="I225" s="16" t="s">
        <v>7</v>
      </c>
      <c r="J225" s="17">
        <v>99801496</v>
      </c>
      <c r="K225" s="17">
        <v>99195431</v>
      </c>
      <c r="L225" s="17">
        <v>9896822</v>
      </c>
      <c r="M225" s="17">
        <f>AVERAGE(Table143690117171105106112130[[#This Row],[Teste 1]:[Teste 3]])</f>
        <v>69631249.666666672</v>
      </c>
      <c r="N225" s="16"/>
      <c r="O225" s="16" t="s">
        <v>71</v>
      </c>
      <c r="P225" s="16" t="s">
        <v>7</v>
      </c>
      <c r="Q225" s="17">
        <v>825343</v>
      </c>
      <c r="R225" s="17">
        <v>1687551</v>
      </c>
      <c r="S225" s="17">
        <v>1356799</v>
      </c>
      <c r="T225" s="17">
        <f>AVERAGE(Table143690117171105106112147[[#This Row],[Teste 1]:[Teste 3]])</f>
        <v>1289897.6666666667</v>
      </c>
    </row>
    <row r="226" spans="1:20" x14ac:dyDescent="0.25">
      <c r="A226" s="16" t="s">
        <v>71</v>
      </c>
      <c r="B226" s="16" t="s">
        <v>8</v>
      </c>
      <c r="C226" s="17">
        <v>18783</v>
      </c>
      <c r="D226" s="17">
        <v>17215</v>
      </c>
      <c r="E226" s="17">
        <v>19103</v>
      </c>
      <c r="F226" s="17">
        <f>AVERAGE(Table143690117171105106112[[#This Row],[Teste 1]:[Teste 3]])</f>
        <v>18367</v>
      </c>
      <c r="G226" s="16"/>
      <c r="H226" s="16" t="s">
        <v>71</v>
      </c>
      <c r="I226" s="16" t="s">
        <v>8</v>
      </c>
      <c r="J226" s="17">
        <v>24982</v>
      </c>
      <c r="K226" s="17">
        <v>24895</v>
      </c>
      <c r="L226" s="17">
        <v>25406</v>
      </c>
      <c r="M226" s="17">
        <f>AVERAGE(Table143690117171105106112130[[#This Row],[Teste 1]:[Teste 3]])</f>
        <v>25094.333333333332</v>
      </c>
      <c r="N226" s="16"/>
      <c r="O226" s="16" t="s">
        <v>71</v>
      </c>
      <c r="P226" s="16" t="s">
        <v>8</v>
      </c>
      <c r="Q226" s="17">
        <v>87743</v>
      </c>
      <c r="R226" s="17">
        <v>85119</v>
      </c>
      <c r="S226" s="17">
        <v>87103</v>
      </c>
      <c r="T226" s="17">
        <f>AVERAGE(Table143690117171105106112147[[#This Row],[Teste 1]:[Teste 3]])</f>
        <v>86655</v>
      </c>
    </row>
    <row r="227" spans="1:20" x14ac:dyDescent="0.25">
      <c r="A227" s="16" t="s">
        <v>71</v>
      </c>
      <c r="B227" s="16" t="s">
        <v>9</v>
      </c>
      <c r="C227" s="17">
        <v>21103</v>
      </c>
      <c r="D227" s="17">
        <v>19839</v>
      </c>
      <c r="E227" s="17">
        <v>21407</v>
      </c>
      <c r="F227" s="17">
        <f>AVERAGE(Table143690117171105106112[[#This Row],[Teste 1]:[Teste 3]])</f>
        <v>20783</v>
      </c>
      <c r="G227" s="16"/>
      <c r="H227" s="16" t="s">
        <v>71</v>
      </c>
      <c r="I227" s="16" t="s">
        <v>9</v>
      </c>
      <c r="J227" s="17">
        <v>28067</v>
      </c>
      <c r="K227" s="17">
        <v>28386</v>
      </c>
      <c r="L227" s="17">
        <v>28471</v>
      </c>
      <c r="M227" s="17">
        <f>AVERAGE(Table143690117171105106112130[[#This Row],[Teste 1]:[Teste 3]])</f>
        <v>28308</v>
      </c>
      <c r="N227" s="16"/>
      <c r="O227" s="16" t="s">
        <v>71</v>
      </c>
      <c r="P227" s="16" t="s">
        <v>9</v>
      </c>
      <c r="Q227" s="17">
        <v>95359</v>
      </c>
      <c r="R227" s="17">
        <v>92543</v>
      </c>
      <c r="S227" s="17">
        <v>94463</v>
      </c>
      <c r="T227" s="17">
        <f>AVERAGE(Table143690117171105106112147[[#This Row],[Teste 1]:[Teste 3]])</f>
        <v>94121.666666666672</v>
      </c>
    </row>
    <row r="228" spans="1:20" x14ac:dyDescent="0.25">
      <c r="A228" s="16" t="s">
        <v>71</v>
      </c>
      <c r="B228" s="16" t="s">
        <v>11</v>
      </c>
      <c r="C228" s="17">
        <v>9498194</v>
      </c>
      <c r="D228" s="17">
        <v>9500151</v>
      </c>
      <c r="E228" s="17">
        <v>9500898</v>
      </c>
      <c r="F228" s="17">
        <f>AVERAGE(Table143690117171105106112[[#This Row],[Teste 1]:[Teste 3]])</f>
        <v>9499747.666666666</v>
      </c>
      <c r="G228" s="16"/>
      <c r="H228" s="16" t="s">
        <v>71</v>
      </c>
      <c r="I228" s="16" t="s">
        <v>11</v>
      </c>
      <c r="J228" s="17">
        <v>9500504</v>
      </c>
      <c r="K228" s="17">
        <v>9499206</v>
      </c>
      <c r="L228" s="17">
        <v>9501183</v>
      </c>
      <c r="M228" s="17">
        <f>AVERAGE(Table143690117171105106112130[[#This Row],[Teste 1]:[Teste 3]])</f>
        <v>9500297.666666666</v>
      </c>
      <c r="N228" s="16"/>
      <c r="O228" s="16" t="s">
        <v>71</v>
      </c>
      <c r="P228" s="16" t="s">
        <v>11</v>
      </c>
      <c r="Q228" s="17">
        <v>9499623</v>
      </c>
      <c r="R228" s="17">
        <v>9500480</v>
      </c>
      <c r="S228" s="17">
        <v>9500143</v>
      </c>
      <c r="T228" s="17">
        <f>AVERAGE(Table143690117171105106112147[[#This Row],[Teste 1]:[Teste 3]])</f>
        <v>9500082</v>
      </c>
    </row>
    <row r="229" spans="1:20" x14ac:dyDescent="0.25">
      <c r="A229" s="16"/>
      <c r="B229" s="16"/>
      <c r="C229" s="17"/>
      <c r="D229" s="17"/>
      <c r="E229" s="17"/>
      <c r="F229" s="17"/>
      <c r="G229" s="16"/>
      <c r="H229" s="16"/>
      <c r="I229" s="16"/>
      <c r="J229" s="17"/>
      <c r="K229" s="17"/>
      <c r="L229" s="17"/>
      <c r="M229" s="17"/>
      <c r="N229" s="16"/>
      <c r="O229" s="16"/>
      <c r="P229" s="16"/>
      <c r="Q229" s="17"/>
      <c r="R229" s="17"/>
      <c r="S229" s="17"/>
      <c r="T229" s="17"/>
    </row>
    <row r="230" spans="1:20" x14ac:dyDescent="0.25">
      <c r="A230" s="16"/>
      <c r="B230" s="16"/>
      <c r="C230" s="17"/>
      <c r="D230" s="17"/>
      <c r="E230" s="17"/>
      <c r="F230" s="17"/>
      <c r="G230" s="16"/>
      <c r="H230" s="16"/>
      <c r="I230" s="16"/>
      <c r="J230" s="17"/>
      <c r="K230" s="17"/>
      <c r="L230" s="17"/>
      <c r="M230" s="17"/>
      <c r="N230" s="16"/>
      <c r="O230" s="16"/>
      <c r="P230" s="16"/>
      <c r="Q230" s="17"/>
      <c r="R230" s="17"/>
      <c r="S230" s="17"/>
      <c r="T230" s="17"/>
    </row>
    <row r="231" spans="1:20" x14ac:dyDescent="0.25">
      <c r="A231" s="16"/>
      <c r="B231" s="16"/>
      <c r="C231" s="17"/>
      <c r="D231" s="17"/>
      <c r="E231" s="17"/>
      <c r="F231" s="17"/>
      <c r="G231" s="16"/>
      <c r="H231" s="16"/>
      <c r="I231" s="16"/>
      <c r="J231" s="17"/>
      <c r="K231" s="17"/>
      <c r="L231" s="17"/>
      <c r="M231" s="17"/>
      <c r="N231" s="16"/>
      <c r="O231" s="16"/>
      <c r="P231" s="16"/>
      <c r="Q231" s="17"/>
      <c r="R231" s="17"/>
      <c r="S231" s="17"/>
      <c r="T231" s="17"/>
    </row>
    <row r="233" spans="1:20" ht="15.75" x14ac:dyDescent="0.25">
      <c r="A233" s="2" t="s">
        <v>73</v>
      </c>
      <c r="H233" s="2" t="s">
        <v>73</v>
      </c>
      <c r="O233" s="2" t="s">
        <v>73</v>
      </c>
    </row>
    <row r="234" spans="1:20" ht="15.75" x14ac:dyDescent="0.25">
      <c r="A234" s="16" t="s">
        <v>59</v>
      </c>
      <c r="B234" s="21" t="s">
        <v>81</v>
      </c>
      <c r="C234" s="16" t="s">
        <v>82</v>
      </c>
      <c r="D234" s="16" t="s">
        <v>64</v>
      </c>
      <c r="E234" s="16" t="s">
        <v>63</v>
      </c>
      <c r="F234" s="16" t="s">
        <v>18</v>
      </c>
      <c r="G234" s="16"/>
      <c r="H234" s="16" t="s">
        <v>12</v>
      </c>
      <c r="I234" s="21" t="s">
        <v>81</v>
      </c>
      <c r="J234" s="16" t="s">
        <v>82</v>
      </c>
      <c r="K234" s="16" t="s">
        <v>64</v>
      </c>
      <c r="L234" s="16" t="s">
        <v>63</v>
      </c>
      <c r="M234" s="16" t="s">
        <v>18</v>
      </c>
      <c r="N234" s="16"/>
      <c r="O234" s="16" t="s">
        <v>13</v>
      </c>
      <c r="P234" s="21" t="s">
        <v>81</v>
      </c>
      <c r="Q234" s="16" t="s">
        <v>82</v>
      </c>
      <c r="R234" s="16" t="s">
        <v>64</v>
      </c>
      <c r="S234" s="16" t="s">
        <v>63</v>
      </c>
      <c r="T234" s="16" t="s">
        <v>18</v>
      </c>
    </row>
    <row r="235" spans="1:20" x14ac:dyDescent="0.25">
      <c r="A235" s="16" t="s">
        <v>0</v>
      </c>
      <c r="B235" s="16" t="s">
        <v>1</v>
      </c>
      <c r="C235" s="17">
        <v>21164031</v>
      </c>
      <c r="D235" s="17">
        <v>21256013</v>
      </c>
      <c r="E235" s="17">
        <v>21431304</v>
      </c>
      <c r="F235" s="17">
        <f>AVERAGE(Table143690117171105107113[[#This Row],[Teste 1]:[Teste 3]])</f>
        <v>21283782.666666668</v>
      </c>
      <c r="G235" s="16"/>
      <c r="H235" s="16" t="s">
        <v>0</v>
      </c>
      <c r="I235" s="16" t="s">
        <v>1</v>
      </c>
      <c r="J235" s="17">
        <v>19240028</v>
      </c>
      <c r="K235" s="17">
        <v>19323648</v>
      </c>
      <c r="L235" s="17">
        <v>19483004</v>
      </c>
      <c r="M235" s="17">
        <f>AVERAGE(Table143690117171105107113132[[#This Row],[Teste 1]:[Teste 3]])</f>
        <v>19348893.333333332</v>
      </c>
      <c r="N235" s="16"/>
      <c r="O235" s="16" t="s">
        <v>0</v>
      </c>
      <c r="P235" s="16" t="s">
        <v>1</v>
      </c>
      <c r="Q235" s="17">
        <v>118455972</v>
      </c>
      <c r="R235" s="17">
        <v>118423321</v>
      </c>
      <c r="S235" s="17">
        <v>118032172</v>
      </c>
      <c r="T235" s="17">
        <f>AVERAGE(Table143690117171105107113148[[#This Row],[Teste 1]:[Teste 3]])</f>
        <v>118303821.66666667</v>
      </c>
    </row>
    <row r="236" spans="1:20" x14ac:dyDescent="0.25">
      <c r="A236" s="16" t="s">
        <v>0</v>
      </c>
      <c r="B236" s="16" t="s">
        <v>2</v>
      </c>
      <c r="C236" s="17">
        <v>472.49978040572699</v>
      </c>
      <c r="D236" s="17">
        <v>533.15641358057201</v>
      </c>
      <c r="E236" s="17">
        <v>598.04057269999998</v>
      </c>
      <c r="F236" s="17">
        <f>AVERAGE(Table143690117171105107113[[#This Row],[Teste 1]:[Teste 3]])</f>
        <v>534.56558889543305</v>
      </c>
      <c r="G236" s="16"/>
      <c r="H236" s="16" t="s">
        <v>0</v>
      </c>
      <c r="I236" s="16" t="s">
        <v>2</v>
      </c>
      <c r="J236" s="17">
        <v>657.84</v>
      </c>
      <c r="K236" s="17">
        <v>589.47</v>
      </c>
      <c r="L236" s="17">
        <v>519.75</v>
      </c>
      <c r="M236" s="17">
        <f>AVERAGE(Table143690117171105107113132[[#This Row],[Teste 1]:[Teste 3]])</f>
        <v>589.02</v>
      </c>
      <c r="N236" s="16"/>
      <c r="O236" s="16" t="s">
        <v>0</v>
      </c>
      <c r="P236" s="16" t="s">
        <v>2</v>
      </c>
      <c r="Q236" s="17">
        <v>97.246339782609596</v>
      </c>
      <c r="R236" s="17">
        <v>97.867477044920804</v>
      </c>
      <c r="S236" s="17">
        <v>98.105368703734797</v>
      </c>
      <c r="T236" s="17">
        <f>AVERAGE(Table143690117171105107113148[[#This Row],[Teste 1]:[Teste 3]])</f>
        <v>97.739728510421742</v>
      </c>
    </row>
    <row r="237" spans="1:20" x14ac:dyDescent="0.25">
      <c r="A237" s="16" t="s">
        <v>3</v>
      </c>
      <c r="B237" s="16" t="s">
        <v>4</v>
      </c>
      <c r="C237" s="17">
        <v>6</v>
      </c>
      <c r="D237" s="17">
        <v>6</v>
      </c>
      <c r="E237" s="17">
        <v>6</v>
      </c>
      <c r="F237" s="17">
        <f>AVERAGE(Table143690117171105107113[[#This Row],[Teste 1]:[Teste 3]])</f>
        <v>6</v>
      </c>
      <c r="G237" s="16"/>
      <c r="H237" s="16" t="s">
        <v>3</v>
      </c>
      <c r="I237" s="16" t="s">
        <v>4</v>
      </c>
      <c r="J237" s="17">
        <v>6</v>
      </c>
      <c r="K237" s="17">
        <v>6</v>
      </c>
      <c r="L237" s="17">
        <v>6</v>
      </c>
      <c r="M237" s="17">
        <f>AVERAGE(Table143690117171105107113132[[#This Row],[Teste 1]:[Teste 3]])</f>
        <v>6</v>
      </c>
      <c r="N237" s="16"/>
      <c r="O237" s="16" t="s">
        <v>3</v>
      </c>
      <c r="P237" s="16" t="s">
        <v>4</v>
      </c>
      <c r="Q237" s="17">
        <v>6</v>
      </c>
      <c r="R237" s="17">
        <v>6</v>
      </c>
      <c r="S237" s="17">
        <v>6</v>
      </c>
      <c r="T237" s="17">
        <f>AVERAGE(Table143690117171105107113148[[#This Row],[Teste 1]:[Teste 3]])</f>
        <v>6</v>
      </c>
    </row>
    <row r="238" spans="1:20" x14ac:dyDescent="0.25">
      <c r="A238" s="16" t="s">
        <v>3</v>
      </c>
      <c r="B238" s="16" t="s">
        <v>5</v>
      </c>
      <c r="C238" s="17">
        <v>1.3333333333333299</v>
      </c>
      <c r="D238" s="17">
        <v>0.3333333</v>
      </c>
      <c r="E238" s="17">
        <v>1.3333333333333299</v>
      </c>
      <c r="F238" s="17">
        <f>AVERAGE(Table143690117171105107113[[#This Row],[Teste 1]:[Teste 3]])</f>
        <v>0.99999998888888664</v>
      </c>
      <c r="G238" s="16"/>
      <c r="H238" s="16" t="s">
        <v>3</v>
      </c>
      <c r="I238" s="16" t="s">
        <v>5</v>
      </c>
      <c r="J238" s="17">
        <v>2.5</v>
      </c>
      <c r="K238" s="17">
        <v>3.6666666666666599</v>
      </c>
      <c r="L238" s="17">
        <v>2.6666666666666599</v>
      </c>
      <c r="M238" s="17">
        <f>AVERAGE(Table143690117171105107113132[[#This Row],[Teste 1]:[Teste 3]])</f>
        <v>2.9444444444444398</v>
      </c>
      <c r="N238" s="16"/>
      <c r="O238" s="16" t="s">
        <v>3</v>
      </c>
      <c r="P238" s="16" t="s">
        <v>5</v>
      </c>
      <c r="Q238" s="17">
        <v>3243.1666666666601</v>
      </c>
      <c r="R238" s="17">
        <v>2776.6666666666601</v>
      </c>
      <c r="S238" s="17">
        <v>1545.3333333333301</v>
      </c>
      <c r="T238" s="17">
        <f>AVERAGE(Table143690117171105107113148[[#This Row],[Teste 1]:[Teste 3]])</f>
        <v>2521.7222222222167</v>
      </c>
    </row>
    <row r="239" spans="1:20" x14ac:dyDescent="0.25">
      <c r="A239" s="16" t="s">
        <v>3</v>
      </c>
      <c r="B239" s="16" t="s">
        <v>6</v>
      </c>
      <c r="C239" s="17">
        <v>1</v>
      </c>
      <c r="D239" s="17">
        <v>1</v>
      </c>
      <c r="E239" s="17">
        <v>1</v>
      </c>
      <c r="F239" s="17">
        <f>AVERAGE(Table143690117171105107113[[#This Row],[Teste 1]:[Teste 3]])</f>
        <v>1</v>
      </c>
      <c r="G239" s="16"/>
      <c r="H239" s="16" t="s">
        <v>3</v>
      </c>
      <c r="I239" s="16" t="s">
        <v>6</v>
      </c>
      <c r="J239" s="17">
        <v>1</v>
      </c>
      <c r="K239" s="17">
        <v>0</v>
      </c>
      <c r="L239" s="17">
        <v>1</v>
      </c>
      <c r="M239" s="17">
        <f>AVERAGE(Table143690117171105107113132[[#This Row],[Teste 1]:[Teste 3]])</f>
        <v>0.66666666666666663</v>
      </c>
      <c r="N239" s="16"/>
      <c r="O239" s="16" t="s">
        <v>3</v>
      </c>
      <c r="P239" s="16" t="s">
        <v>6</v>
      </c>
      <c r="Q239" s="17">
        <v>1</v>
      </c>
      <c r="R239" s="17">
        <v>1</v>
      </c>
      <c r="S239" s="17">
        <v>1</v>
      </c>
      <c r="T239" s="17">
        <f>AVERAGE(Table143690117171105107113148[[#This Row],[Teste 1]:[Teste 3]])</f>
        <v>1</v>
      </c>
    </row>
    <row r="240" spans="1:20" x14ac:dyDescent="0.25">
      <c r="A240" s="16" t="s">
        <v>3</v>
      </c>
      <c r="B240" s="16" t="s">
        <v>7</v>
      </c>
      <c r="C240" s="17">
        <v>3</v>
      </c>
      <c r="D240" s="17">
        <v>3</v>
      </c>
      <c r="E240" s="17">
        <v>3</v>
      </c>
      <c r="F240" s="17">
        <f>AVERAGE(Table143690117171105107113[[#This Row],[Teste 1]:[Teste 3]])</f>
        <v>3</v>
      </c>
      <c r="G240" s="16"/>
      <c r="H240" s="16" t="s">
        <v>3</v>
      </c>
      <c r="I240" s="16" t="s">
        <v>7</v>
      </c>
      <c r="J240" s="17">
        <v>8</v>
      </c>
      <c r="K240" s="17">
        <v>13</v>
      </c>
      <c r="L240" s="17">
        <v>9</v>
      </c>
      <c r="M240" s="17">
        <f>AVERAGE(Table143690117171105107113132[[#This Row],[Teste 1]:[Teste 3]])</f>
        <v>10</v>
      </c>
      <c r="N240" s="16"/>
      <c r="O240" s="16" t="s">
        <v>3</v>
      </c>
      <c r="P240" s="16" t="s">
        <v>7</v>
      </c>
      <c r="Q240" s="17">
        <v>19215</v>
      </c>
      <c r="R240" s="17">
        <v>16655</v>
      </c>
      <c r="S240" s="17">
        <v>9263</v>
      </c>
      <c r="T240" s="17">
        <f>AVERAGE(Table143690117171105107113148[[#This Row],[Teste 1]:[Teste 3]])</f>
        <v>15044.333333333334</v>
      </c>
    </row>
    <row r="241" spans="1:20" x14ac:dyDescent="0.25">
      <c r="A241" s="16" t="s">
        <v>3</v>
      </c>
      <c r="B241" s="16" t="s">
        <v>8</v>
      </c>
      <c r="C241" s="17">
        <v>3</v>
      </c>
      <c r="D241" s="17">
        <v>3</v>
      </c>
      <c r="E241" s="17">
        <v>3</v>
      </c>
      <c r="F241" s="17">
        <f>AVERAGE(Table143690117171105107113[[#This Row],[Teste 1]:[Teste 3]])</f>
        <v>3</v>
      </c>
      <c r="G241" s="16"/>
      <c r="H241" s="16" t="s">
        <v>3</v>
      </c>
      <c r="I241" s="16" t="s">
        <v>8</v>
      </c>
      <c r="J241" s="17">
        <v>8</v>
      </c>
      <c r="K241" s="17">
        <v>13</v>
      </c>
      <c r="L241" s="17">
        <v>9</v>
      </c>
      <c r="M241" s="17">
        <f>AVERAGE(Table143690117171105107113132[[#This Row],[Teste 1]:[Teste 3]])</f>
        <v>10</v>
      </c>
      <c r="N241" s="16"/>
      <c r="O241" s="16" t="s">
        <v>3</v>
      </c>
      <c r="P241" s="16" t="s">
        <v>8</v>
      </c>
      <c r="Q241" s="17">
        <v>19215</v>
      </c>
      <c r="R241" s="17">
        <v>16655</v>
      </c>
      <c r="S241" s="17">
        <v>9263</v>
      </c>
      <c r="T241" s="17">
        <f>AVERAGE(Table143690117171105107113148[[#This Row],[Teste 1]:[Teste 3]])</f>
        <v>15044.333333333334</v>
      </c>
    </row>
    <row r="242" spans="1:20" x14ac:dyDescent="0.25">
      <c r="A242" s="16" t="s">
        <v>3</v>
      </c>
      <c r="B242" s="16" t="s">
        <v>9</v>
      </c>
      <c r="C242" s="17">
        <v>3</v>
      </c>
      <c r="D242" s="17">
        <v>3</v>
      </c>
      <c r="E242" s="17">
        <v>3</v>
      </c>
      <c r="F242" s="17">
        <f>AVERAGE(Table143690117171105107113[[#This Row],[Teste 1]:[Teste 3]])</f>
        <v>3</v>
      </c>
      <c r="G242" s="16"/>
      <c r="H242" s="16" t="s">
        <v>3</v>
      </c>
      <c r="I242" s="16" t="s">
        <v>9</v>
      </c>
      <c r="J242" s="17">
        <v>8</v>
      </c>
      <c r="K242" s="17">
        <v>13</v>
      </c>
      <c r="L242" s="17">
        <v>9</v>
      </c>
      <c r="M242" s="17">
        <f>AVERAGE(Table143690117171105107113132[[#This Row],[Teste 1]:[Teste 3]])</f>
        <v>10</v>
      </c>
      <c r="N242" s="16"/>
      <c r="O242" s="16" t="s">
        <v>3</v>
      </c>
      <c r="P242" s="16" t="s">
        <v>9</v>
      </c>
      <c r="Q242" s="17">
        <v>19215</v>
      </c>
      <c r="R242" s="17">
        <v>16655</v>
      </c>
      <c r="S242" s="17">
        <v>9263</v>
      </c>
      <c r="T242" s="17">
        <f>AVERAGE(Table143690117171105107113148[[#This Row],[Teste 1]:[Teste 3]])</f>
        <v>15044.333333333334</v>
      </c>
    </row>
    <row r="243" spans="1:20" x14ac:dyDescent="0.25">
      <c r="A243" s="16" t="s">
        <v>10</v>
      </c>
      <c r="B243" s="16" t="s">
        <v>4</v>
      </c>
      <c r="C243" s="17">
        <v>499749</v>
      </c>
      <c r="D243" s="17">
        <v>500000</v>
      </c>
      <c r="E243" s="17">
        <v>499974</v>
      </c>
      <c r="F243" s="17">
        <f>AVERAGE(Table143690117171105107113[[#This Row],[Teste 1]:[Teste 3]])</f>
        <v>499907.66666666669</v>
      </c>
      <c r="G243" s="16"/>
      <c r="H243" s="16" t="s">
        <v>10</v>
      </c>
      <c r="I243" s="16" t="s">
        <v>4</v>
      </c>
      <c r="J243" s="17">
        <v>501806</v>
      </c>
      <c r="K243" s="17">
        <v>500377</v>
      </c>
      <c r="L243" s="17">
        <v>499857</v>
      </c>
      <c r="M243" s="17">
        <f>AVERAGE(Table143690117171105107113132[[#This Row],[Teste 1]:[Teste 3]])</f>
        <v>500680</v>
      </c>
      <c r="N243" s="16"/>
      <c r="O243" s="16" t="s">
        <v>10</v>
      </c>
      <c r="P243" s="16" t="s">
        <v>4</v>
      </c>
      <c r="Q243" s="17">
        <v>499940</v>
      </c>
      <c r="R243" s="17">
        <v>498817</v>
      </c>
      <c r="S243" s="17">
        <v>499929</v>
      </c>
      <c r="T243" s="17">
        <f>AVERAGE(Table143690117171105107113148[[#This Row],[Teste 1]:[Teste 3]])</f>
        <v>499562</v>
      </c>
    </row>
    <row r="244" spans="1:20" x14ac:dyDescent="0.25">
      <c r="A244" s="16" t="s">
        <v>10</v>
      </c>
      <c r="B244" s="16" t="s">
        <v>5</v>
      </c>
      <c r="C244" s="17">
        <v>1162.68819747513</v>
      </c>
      <c r="D244" s="17">
        <v>1273.747513</v>
      </c>
      <c r="E244" s="17">
        <v>1232.12569747513</v>
      </c>
      <c r="F244" s="17">
        <f>AVERAGE(Table143690117171105107113[[#This Row],[Teste 1]:[Teste 3]])</f>
        <v>1222.8538026500867</v>
      </c>
      <c r="G244" s="16"/>
      <c r="H244" s="16" t="s">
        <v>10</v>
      </c>
      <c r="I244" s="16" t="s">
        <v>5</v>
      </c>
      <c r="J244" s="17">
        <v>1056.99</v>
      </c>
      <c r="K244" s="17">
        <v>1157.95</v>
      </c>
      <c r="L244" s="17">
        <v>1120.1099999999999</v>
      </c>
      <c r="M244" s="17">
        <f>AVERAGE(Table143690117171105107113132[[#This Row],[Teste 1]:[Teste 3]])</f>
        <v>1111.6833333333334</v>
      </c>
      <c r="N244" s="16"/>
      <c r="O244" s="16" t="s">
        <v>10</v>
      </c>
      <c r="P244" s="16" t="s">
        <v>5</v>
      </c>
      <c r="Q244" s="17">
        <v>826.28253190382804</v>
      </c>
      <c r="R244" s="17">
        <v>805.94982528662797</v>
      </c>
      <c r="S244" s="17">
        <v>789.045766498842</v>
      </c>
      <c r="T244" s="17">
        <f>AVERAGE(Table143690117171105107113148[[#This Row],[Teste 1]:[Teste 3]])</f>
        <v>807.09270789643267</v>
      </c>
    </row>
    <row r="245" spans="1:20" x14ac:dyDescent="0.25">
      <c r="A245" s="16" t="s">
        <v>10</v>
      </c>
      <c r="B245" s="16" t="s">
        <v>6</v>
      </c>
      <c r="C245" s="17">
        <v>389</v>
      </c>
      <c r="D245" s="17">
        <v>364</v>
      </c>
      <c r="E245" s="17">
        <v>354</v>
      </c>
      <c r="F245" s="17">
        <f>AVERAGE(Table143690117171105107113[[#This Row],[Teste 1]:[Teste 3]])</f>
        <v>369</v>
      </c>
      <c r="G245" s="16"/>
      <c r="H245" s="16" t="s">
        <v>10</v>
      </c>
      <c r="I245" s="16" t="s">
        <v>6</v>
      </c>
      <c r="J245" s="17">
        <v>354</v>
      </c>
      <c r="K245" s="17">
        <v>331</v>
      </c>
      <c r="L245" s="17">
        <v>322</v>
      </c>
      <c r="M245" s="17">
        <f>AVERAGE(Table143690117171105107113132[[#This Row],[Teste 1]:[Teste 3]])</f>
        <v>335.66666666666669</v>
      </c>
      <c r="N245" s="16"/>
      <c r="O245" s="16" t="s">
        <v>10</v>
      </c>
      <c r="P245" s="16" t="s">
        <v>6</v>
      </c>
      <c r="Q245" s="17">
        <v>241</v>
      </c>
      <c r="R245" s="17">
        <v>234</v>
      </c>
      <c r="S245" s="17">
        <v>218</v>
      </c>
      <c r="T245" s="17">
        <f>AVERAGE(Table143690117171105107113148[[#This Row],[Teste 1]:[Teste 3]])</f>
        <v>231</v>
      </c>
    </row>
    <row r="246" spans="1:20" x14ac:dyDescent="0.25">
      <c r="A246" s="16" t="s">
        <v>10</v>
      </c>
      <c r="B246" s="16" t="s">
        <v>7</v>
      </c>
      <c r="C246" s="17">
        <v>61567</v>
      </c>
      <c r="D246" s="17">
        <v>60123</v>
      </c>
      <c r="E246" s="17">
        <v>59872</v>
      </c>
      <c r="F246" s="17">
        <f>AVERAGE(Table143690117171105107113[[#This Row],[Teste 1]:[Teste 3]])</f>
        <v>60520.666666666664</v>
      </c>
      <c r="G246" s="16"/>
      <c r="H246" s="16" t="s">
        <v>10</v>
      </c>
      <c r="I246" s="16" t="s">
        <v>7</v>
      </c>
      <c r="J246" s="17">
        <v>54970</v>
      </c>
      <c r="K246" s="17">
        <v>54657</v>
      </c>
      <c r="L246" s="17">
        <v>54429</v>
      </c>
      <c r="M246" s="17">
        <f>AVERAGE(Table143690117171105107113132[[#This Row],[Teste 1]:[Teste 3]])</f>
        <v>54685.333333333336</v>
      </c>
      <c r="N246" s="16"/>
      <c r="O246" s="16" t="s">
        <v>10</v>
      </c>
      <c r="P246" s="16" t="s">
        <v>7</v>
      </c>
      <c r="Q246" s="17">
        <v>171135</v>
      </c>
      <c r="R246" s="17">
        <v>123775</v>
      </c>
      <c r="S246" s="17">
        <v>121663</v>
      </c>
      <c r="T246" s="17">
        <f>AVERAGE(Table143690117171105107113148[[#This Row],[Teste 1]:[Teste 3]])</f>
        <v>138857.66666666666</v>
      </c>
    </row>
    <row r="247" spans="1:20" x14ac:dyDescent="0.25">
      <c r="A247" s="16" t="s">
        <v>10</v>
      </c>
      <c r="B247" s="16" t="s">
        <v>8</v>
      </c>
      <c r="C247" s="17">
        <v>2437</v>
      </c>
      <c r="D247" s="17">
        <v>2349</v>
      </c>
      <c r="E247" s="17">
        <v>2743</v>
      </c>
      <c r="F247" s="17">
        <f>AVERAGE(Table143690117171105107113[[#This Row],[Teste 1]:[Teste 3]])</f>
        <v>2509.6666666666665</v>
      </c>
      <c r="G247" s="16"/>
      <c r="H247" s="16" t="s">
        <v>10</v>
      </c>
      <c r="I247" s="16" t="s">
        <v>8</v>
      </c>
      <c r="J247" s="17">
        <v>2215</v>
      </c>
      <c r="K247" s="17">
        <v>2135</v>
      </c>
      <c r="L247" s="17">
        <v>2494</v>
      </c>
      <c r="M247" s="17">
        <f>AVERAGE(Table143690117171105107113132[[#This Row],[Teste 1]:[Teste 3]])</f>
        <v>2281.3333333333335</v>
      </c>
      <c r="N247" s="16"/>
      <c r="O247" s="16" t="s">
        <v>10</v>
      </c>
      <c r="P247" s="16" t="s">
        <v>8</v>
      </c>
      <c r="Q247" s="17">
        <v>1057</v>
      </c>
      <c r="R247" s="17">
        <v>993</v>
      </c>
      <c r="S247" s="17">
        <v>971</v>
      </c>
      <c r="T247" s="17">
        <f>AVERAGE(Table143690117171105107113148[[#This Row],[Teste 1]:[Teste 3]])</f>
        <v>1007</v>
      </c>
    </row>
    <row r="248" spans="1:20" x14ac:dyDescent="0.25">
      <c r="A248" s="16" t="s">
        <v>10</v>
      </c>
      <c r="B248" s="16" t="s">
        <v>9</v>
      </c>
      <c r="C248" s="17">
        <v>3957</v>
      </c>
      <c r="D248" s="17">
        <v>3824</v>
      </c>
      <c r="E248" s="17">
        <v>3746</v>
      </c>
      <c r="F248" s="17">
        <f>AVERAGE(Table143690117171105107113[[#This Row],[Teste 1]:[Teste 3]])</f>
        <v>3842.3333333333335</v>
      </c>
      <c r="G248" s="16"/>
      <c r="H248" s="16" t="s">
        <v>10</v>
      </c>
      <c r="I248" s="16" t="s">
        <v>9</v>
      </c>
      <c r="J248" s="17">
        <v>3597</v>
      </c>
      <c r="K248" s="17">
        <v>3476</v>
      </c>
      <c r="L248" s="17">
        <v>3405</v>
      </c>
      <c r="M248" s="17">
        <f>AVERAGE(Table143690117171105107113132[[#This Row],[Teste 1]:[Teste 3]])</f>
        <v>3492.6666666666665</v>
      </c>
      <c r="N248" s="16"/>
      <c r="O248" s="16" t="s">
        <v>10</v>
      </c>
      <c r="P248" s="16" t="s">
        <v>9</v>
      </c>
      <c r="Q248" s="17">
        <v>1623</v>
      </c>
      <c r="R248" s="17">
        <v>1312</v>
      </c>
      <c r="S248" s="17">
        <v>1463</v>
      </c>
      <c r="T248" s="17">
        <f>AVERAGE(Table143690117171105107113148[[#This Row],[Teste 1]:[Teste 3]])</f>
        <v>1466</v>
      </c>
    </row>
    <row r="249" spans="1:20" x14ac:dyDescent="0.25">
      <c r="A249" s="16" t="s">
        <v>10</v>
      </c>
      <c r="B249" s="16" t="s">
        <v>11</v>
      </c>
      <c r="C249" s="17">
        <v>499749</v>
      </c>
      <c r="D249" s="17">
        <v>500000</v>
      </c>
      <c r="E249" s="17">
        <v>499974</v>
      </c>
      <c r="F249" s="17">
        <f>AVERAGE(Table143690117171105107113[[#This Row],[Teste 1]:[Teste 3]])</f>
        <v>499907.66666666669</v>
      </c>
      <c r="G249" s="16"/>
      <c r="H249" s="16" t="s">
        <v>10</v>
      </c>
      <c r="I249" s="16" t="s">
        <v>11</v>
      </c>
      <c r="J249" s="17">
        <v>501806</v>
      </c>
      <c r="K249" s="17">
        <v>500377</v>
      </c>
      <c r="L249" s="17">
        <v>499857</v>
      </c>
      <c r="M249" s="17">
        <f>AVERAGE(Table143690117171105107113132[[#This Row],[Teste 1]:[Teste 3]])</f>
        <v>500680</v>
      </c>
      <c r="N249" s="16"/>
      <c r="O249" s="16" t="s">
        <v>10</v>
      </c>
      <c r="P249" s="16" t="s">
        <v>11</v>
      </c>
      <c r="Q249" s="17">
        <v>499940</v>
      </c>
      <c r="R249" s="17">
        <v>498817</v>
      </c>
      <c r="S249" s="17">
        <v>499929</v>
      </c>
      <c r="T249" s="17">
        <f>AVERAGE(Table143690117171105107113148[[#This Row],[Teste 1]:[Teste 3]])</f>
        <v>499562</v>
      </c>
    </row>
    <row r="250" spans="1:20" x14ac:dyDescent="0.25">
      <c r="A250" s="16" t="s">
        <v>71</v>
      </c>
      <c r="B250" s="16" t="s">
        <v>4</v>
      </c>
      <c r="C250" s="17">
        <v>9500251</v>
      </c>
      <c r="D250" s="17">
        <v>9000000</v>
      </c>
      <c r="E250" s="17">
        <v>9000026</v>
      </c>
      <c r="F250" s="17">
        <f>AVERAGE(Table143690117171105107113[[#This Row],[Teste 1]:[Teste 3]])</f>
        <v>9166759</v>
      </c>
      <c r="G250" s="16"/>
      <c r="H250" s="16" t="s">
        <v>71</v>
      </c>
      <c r="I250" s="16" t="s">
        <v>4</v>
      </c>
      <c r="J250" s="17">
        <v>9498194</v>
      </c>
      <c r="K250" s="17">
        <v>9499623</v>
      </c>
      <c r="L250" s="17">
        <v>9500143</v>
      </c>
      <c r="M250" s="17">
        <f>AVERAGE(Table143690117171105107113132[[#This Row],[Teste 1]:[Teste 3]])</f>
        <v>9499320</v>
      </c>
      <c r="N250" s="16"/>
      <c r="O250" s="16" t="s">
        <v>71</v>
      </c>
      <c r="P250" s="16" t="s">
        <v>4</v>
      </c>
      <c r="Q250" s="17">
        <v>9500060</v>
      </c>
      <c r="R250" s="17">
        <v>9501183</v>
      </c>
      <c r="S250" s="17">
        <v>9500071</v>
      </c>
      <c r="T250" s="17">
        <f>AVERAGE(Table143690117171105107113148[[#This Row],[Teste 1]:[Teste 3]])</f>
        <v>9500438</v>
      </c>
    </row>
    <row r="251" spans="1:20" x14ac:dyDescent="0.25">
      <c r="A251" s="16" t="s">
        <v>71</v>
      </c>
      <c r="B251" s="16" t="s">
        <v>5</v>
      </c>
      <c r="C251" s="17">
        <v>13117.276766687501</v>
      </c>
      <c r="D251" s="17">
        <v>15712.666875000001</v>
      </c>
      <c r="E251" s="17">
        <v>17358.5264666687</v>
      </c>
      <c r="F251" s="17">
        <f>AVERAGE(Table143690117171105107113[[#This Row],[Teste 1]:[Teste 3]])</f>
        <v>15396.156702785402</v>
      </c>
      <c r="G251" s="16"/>
      <c r="H251" s="16" t="s">
        <v>71</v>
      </c>
      <c r="I251" s="16" t="s">
        <v>5</v>
      </c>
      <c r="J251" s="17">
        <v>14924.8</v>
      </c>
      <c r="K251" s="17">
        <v>14284.24</v>
      </c>
      <c r="L251" s="17">
        <v>15780.48</v>
      </c>
      <c r="M251" s="17">
        <f>AVERAGE(Table143690117171105107113132[[#This Row],[Teste 1]:[Teste 3]])</f>
        <v>14996.506666666668</v>
      </c>
      <c r="N251" s="16"/>
      <c r="O251" s="16" t="s">
        <v>71</v>
      </c>
      <c r="P251" s="16" t="s">
        <v>5</v>
      </c>
      <c r="Q251" s="17">
        <v>81675.430631280193</v>
      </c>
      <c r="R251" s="17">
        <v>81022.260181810998</v>
      </c>
      <c r="S251" s="17">
        <v>80789.673220126395</v>
      </c>
      <c r="T251" s="17">
        <f>AVERAGE(Table143690117171105107113148[[#This Row],[Teste 1]:[Teste 3]])</f>
        <v>81162.454677739195</v>
      </c>
    </row>
    <row r="252" spans="1:20" x14ac:dyDescent="0.25">
      <c r="A252" s="16" t="s">
        <v>71</v>
      </c>
      <c r="B252" s="16" t="s">
        <v>6</v>
      </c>
      <c r="C252" s="17">
        <v>900</v>
      </c>
      <c r="D252" s="17">
        <v>923</v>
      </c>
      <c r="E252" s="17">
        <v>957</v>
      </c>
      <c r="F252" s="17">
        <f>AVERAGE(Table143690117171105107113[[#This Row],[Teste 1]:[Teste 3]])</f>
        <v>926.66666666666663</v>
      </c>
      <c r="G252" s="16"/>
      <c r="H252" s="16" t="s">
        <v>71</v>
      </c>
      <c r="I252" s="16" t="s">
        <v>6</v>
      </c>
      <c r="J252" s="17">
        <v>818</v>
      </c>
      <c r="K252" s="17">
        <v>838</v>
      </c>
      <c r="L252" s="17">
        <v>870</v>
      </c>
      <c r="M252" s="17">
        <f>AVERAGE(Table143690117171105107113132[[#This Row],[Teste 1]:[Teste 3]])</f>
        <v>842</v>
      </c>
      <c r="N252" s="16"/>
      <c r="O252" s="16" t="s">
        <v>71</v>
      </c>
      <c r="P252" s="16" t="s">
        <v>6</v>
      </c>
      <c r="Q252" s="17">
        <v>180</v>
      </c>
      <c r="R252" s="17">
        <v>193</v>
      </c>
      <c r="S252" s="17">
        <v>183</v>
      </c>
      <c r="T252" s="17">
        <f>AVERAGE(Table143690117171105107113148[[#This Row],[Teste 1]:[Teste 3]])</f>
        <v>185.33333333333334</v>
      </c>
    </row>
    <row r="253" spans="1:20" x14ac:dyDescent="0.25">
      <c r="A253" s="16" t="s">
        <v>71</v>
      </c>
      <c r="B253" s="16" t="s">
        <v>7</v>
      </c>
      <c r="C253" s="17">
        <v>931327</v>
      </c>
      <c r="D253" s="17">
        <v>927231</v>
      </c>
      <c r="E253" s="17">
        <v>902145</v>
      </c>
      <c r="F253" s="17">
        <f>AVERAGE(Table143690117171105107113[[#This Row],[Teste 1]:[Teste 3]])</f>
        <v>920234.33333333337</v>
      </c>
      <c r="G253" s="16"/>
      <c r="H253" s="16" t="s">
        <v>71</v>
      </c>
      <c r="I253" s="16" t="s">
        <v>7</v>
      </c>
      <c r="J253" s="17">
        <v>846660</v>
      </c>
      <c r="K253" s="17">
        <v>842937</v>
      </c>
      <c r="L253" s="17">
        <v>820131</v>
      </c>
      <c r="M253" s="17">
        <f>AVERAGE(Table143690117171105107113132[[#This Row],[Teste 1]:[Teste 3]])</f>
        <v>836576</v>
      </c>
      <c r="N253" s="16"/>
      <c r="O253" s="16" t="s">
        <v>71</v>
      </c>
      <c r="P253" s="16" t="s">
        <v>7</v>
      </c>
      <c r="Q253" s="17">
        <v>2199551</v>
      </c>
      <c r="R253" s="17">
        <v>1042431</v>
      </c>
      <c r="S253" s="17">
        <v>1010175</v>
      </c>
      <c r="T253" s="17">
        <f>AVERAGE(Table143690117171105107113148[[#This Row],[Teste 1]:[Teste 3]])</f>
        <v>1417385.6666666667</v>
      </c>
    </row>
    <row r="254" spans="1:20" x14ac:dyDescent="0.25">
      <c r="A254" s="16" t="s">
        <v>71</v>
      </c>
      <c r="B254" s="16" t="s">
        <v>8</v>
      </c>
      <c r="C254" s="17">
        <v>21247</v>
      </c>
      <c r="D254" s="17">
        <v>22742</v>
      </c>
      <c r="E254" s="17">
        <v>23484</v>
      </c>
      <c r="F254" s="17">
        <f>AVERAGE(Table143690117171105107113[[#This Row],[Teste 1]:[Teste 3]])</f>
        <v>22491</v>
      </c>
      <c r="G254" s="16"/>
      <c r="H254" s="16" t="s">
        <v>71</v>
      </c>
      <c r="I254" s="16" t="s">
        <v>8</v>
      </c>
      <c r="J254" s="17">
        <v>20315</v>
      </c>
      <c r="K254" s="17">
        <v>20674</v>
      </c>
      <c r="L254" s="17">
        <v>21349</v>
      </c>
      <c r="M254" s="17">
        <f>AVERAGE(Table143690117171105107113132[[#This Row],[Teste 1]:[Teste 3]])</f>
        <v>20779.333333333332</v>
      </c>
      <c r="N254" s="16"/>
      <c r="O254" s="16" t="s">
        <v>71</v>
      </c>
      <c r="P254" s="16" t="s">
        <v>8</v>
      </c>
      <c r="Q254" s="17">
        <v>180479</v>
      </c>
      <c r="R254" s="17">
        <v>179327</v>
      </c>
      <c r="S254" s="17">
        <v>178943</v>
      </c>
      <c r="T254" s="17">
        <f>AVERAGE(Table143690117171105107113148[[#This Row],[Teste 1]:[Teste 3]])</f>
        <v>179583</v>
      </c>
    </row>
    <row r="255" spans="1:20" x14ac:dyDescent="0.25">
      <c r="A255" s="16" t="s">
        <v>71</v>
      </c>
      <c r="B255" s="16" t="s">
        <v>9</v>
      </c>
      <c r="C255" s="17">
        <v>26351</v>
      </c>
      <c r="D255" s="17">
        <v>27248</v>
      </c>
      <c r="E255" s="17">
        <v>28945</v>
      </c>
      <c r="F255" s="17">
        <f>AVERAGE(Table143690117171105107113[[#This Row],[Teste 1]:[Teste 3]])</f>
        <v>27514.666666666668</v>
      </c>
      <c r="G255" s="16"/>
      <c r="H255" s="16" t="s">
        <v>71</v>
      </c>
      <c r="I255" s="16" t="s">
        <v>9</v>
      </c>
      <c r="J255" s="17">
        <v>24955</v>
      </c>
      <c r="K255" s="17">
        <v>24770</v>
      </c>
      <c r="L255" s="17">
        <v>25314</v>
      </c>
      <c r="M255" s="17">
        <f>AVERAGE(Table143690117171105107113132[[#This Row],[Teste 1]:[Teste 3]])</f>
        <v>25013</v>
      </c>
      <c r="N255" s="16"/>
      <c r="O255" s="16" t="s">
        <v>71</v>
      </c>
      <c r="P255" s="16" t="s">
        <v>9</v>
      </c>
      <c r="Q255" s="17">
        <v>196735</v>
      </c>
      <c r="R255" s="17">
        <v>193919</v>
      </c>
      <c r="S255" s="17">
        <v>193023</v>
      </c>
      <c r="T255" s="17">
        <f>AVERAGE(Table143690117171105107113148[[#This Row],[Teste 1]:[Teste 3]])</f>
        <v>194559</v>
      </c>
    </row>
    <row r="256" spans="1:20" x14ac:dyDescent="0.25">
      <c r="A256" s="16" t="s">
        <v>71</v>
      </c>
      <c r="B256" s="16" t="s">
        <v>11</v>
      </c>
      <c r="C256" s="17">
        <v>9500251</v>
      </c>
      <c r="D256" s="17">
        <v>9000000</v>
      </c>
      <c r="E256" s="17">
        <v>9000026</v>
      </c>
      <c r="F256" s="17">
        <f>AVERAGE(Table143690117171105107113[[#This Row],[Teste 1]:[Teste 3]])</f>
        <v>9166759</v>
      </c>
      <c r="G256" s="16"/>
      <c r="H256" s="16" t="s">
        <v>71</v>
      </c>
      <c r="I256" s="16" t="s">
        <v>11</v>
      </c>
      <c r="J256" s="17">
        <v>9498194</v>
      </c>
      <c r="K256" s="17">
        <v>9499623</v>
      </c>
      <c r="L256" s="17">
        <v>9500143</v>
      </c>
      <c r="M256" s="17">
        <f>AVERAGE(Table143690117171105107113132[[#This Row],[Teste 1]:[Teste 3]])</f>
        <v>9499320</v>
      </c>
      <c r="N256" s="16"/>
      <c r="O256" s="16" t="s">
        <v>71</v>
      </c>
      <c r="P256" s="16" t="s">
        <v>11</v>
      </c>
      <c r="Q256" s="17">
        <v>9500060</v>
      </c>
      <c r="R256" s="17">
        <v>9501183</v>
      </c>
      <c r="S256" s="17">
        <v>9500071</v>
      </c>
      <c r="T256" s="17">
        <f>AVERAGE(Table143690117171105107113148[[#This Row],[Teste 1]:[Teste 3]])</f>
        <v>9500438</v>
      </c>
    </row>
    <row r="257" spans="1:20" x14ac:dyDescent="0.25">
      <c r="A257" s="16"/>
      <c r="B257" s="16"/>
      <c r="C257" s="17"/>
      <c r="D257" s="17"/>
      <c r="E257" s="17"/>
      <c r="F257" s="17"/>
      <c r="G257" s="16"/>
      <c r="H257" s="16"/>
      <c r="I257" s="16"/>
      <c r="J257" s="17"/>
      <c r="K257" s="17"/>
      <c r="L257" s="17"/>
      <c r="M257" s="17"/>
      <c r="N257" s="16"/>
      <c r="O257" s="16"/>
      <c r="P257" s="16"/>
      <c r="Q257" s="17"/>
      <c r="R257" s="17"/>
      <c r="S257" s="17"/>
      <c r="T257" s="17"/>
    </row>
    <row r="258" spans="1:20" x14ac:dyDescent="0.25">
      <c r="A258" s="16"/>
      <c r="B258" s="16"/>
      <c r="C258" s="17"/>
      <c r="D258" s="17"/>
      <c r="E258" s="17"/>
      <c r="F258" s="17"/>
      <c r="G258" s="16"/>
      <c r="H258" s="16"/>
      <c r="I258" s="16"/>
      <c r="J258" s="17"/>
      <c r="K258" s="17"/>
      <c r="L258" s="17"/>
      <c r="M258" s="17"/>
      <c r="N258" s="16"/>
      <c r="O258" s="16"/>
      <c r="P258" s="16"/>
      <c r="Q258" s="17"/>
      <c r="R258" s="17"/>
      <c r="S258" s="17"/>
      <c r="T258" s="17"/>
    </row>
    <row r="259" spans="1:20" x14ac:dyDescent="0.25">
      <c r="A259" s="16"/>
      <c r="B259" s="16"/>
      <c r="C259" s="17"/>
      <c r="D259" s="17"/>
      <c r="E259" s="17"/>
      <c r="F259" s="17"/>
      <c r="G259" s="16"/>
      <c r="H259" s="16"/>
      <c r="I259" s="16"/>
      <c r="J259" s="17"/>
      <c r="K259" s="17"/>
      <c r="L259" s="17"/>
      <c r="M259" s="17"/>
      <c r="N259" s="16"/>
      <c r="O259" s="16"/>
      <c r="P259" s="16"/>
      <c r="Q259" s="17"/>
      <c r="R259" s="17"/>
      <c r="S259" s="17"/>
      <c r="T259" s="17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67A4-667A-406C-AF30-E59F87BCE5DB}">
  <dimension ref="A1:T313"/>
  <sheetViews>
    <sheetView zoomScale="74" zoomScaleNormal="74" workbookViewId="0">
      <selection activeCell="I5" sqref="I5"/>
    </sheetView>
  </sheetViews>
  <sheetFormatPr defaultRowHeight="15" x14ac:dyDescent="0.25"/>
  <cols>
    <col min="1" max="1" width="21.5703125" customWidth="1"/>
    <col min="2" max="2" width="25.7109375" customWidth="1"/>
    <col min="3" max="3" width="14.42578125" customWidth="1"/>
    <col min="4" max="4" width="15.28515625" customWidth="1"/>
    <col min="5" max="5" width="15.85546875" customWidth="1"/>
    <col min="6" max="6" width="14.28515625" customWidth="1"/>
    <col min="7" max="7" width="11" customWidth="1"/>
    <col min="8" max="8" width="21.28515625" customWidth="1"/>
    <col min="9" max="9" width="25.7109375" customWidth="1"/>
    <col min="10" max="10" width="14.5703125" customWidth="1"/>
    <col min="11" max="11" width="15.140625" customWidth="1"/>
    <col min="12" max="12" width="15.28515625" customWidth="1"/>
    <col min="13" max="13" width="15.42578125" customWidth="1"/>
    <col min="14" max="14" width="10.7109375" customWidth="1"/>
    <col min="15" max="15" width="21.7109375" customWidth="1"/>
    <col min="16" max="16" width="28" customWidth="1"/>
    <col min="17" max="17" width="14.7109375" customWidth="1"/>
    <col min="18" max="18" width="15.140625" customWidth="1"/>
    <col min="19" max="19" width="15.42578125" customWidth="1"/>
    <col min="20" max="20" width="15.28515625" customWidth="1"/>
    <col min="21" max="22" width="11" customWidth="1"/>
    <col min="23" max="23" width="10.85546875" customWidth="1"/>
    <col min="24" max="24" width="10.140625" customWidth="1"/>
    <col min="25" max="25" width="11.28515625" customWidth="1"/>
    <col min="26" max="27" width="10.85546875" customWidth="1"/>
    <col min="28" max="28" width="12.28515625" customWidth="1"/>
    <col min="29" max="29" width="10.7109375" customWidth="1"/>
    <col min="30" max="30" width="12.7109375" customWidth="1"/>
    <col min="31" max="31" width="11.28515625" customWidth="1"/>
    <col min="32" max="32" width="14.140625" customWidth="1"/>
    <col min="33" max="33" width="22.28515625" customWidth="1"/>
    <col min="34" max="34" width="29" customWidth="1"/>
    <col min="35" max="35" width="11.140625" customWidth="1"/>
    <col min="36" max="37" width="10.28515625" customWidth="1"/>
    <col min="38" max="38" width="10.85546875" customWidth="1"/>
    <col min="39" max="39" width="10.140625" customWidth="1"/>
    <col min="40" max="40" width="11.7109375" customWidth="1"/>
    <col min="41" max="42" width="10.85546875" customWidth="1"/>
    <col min="43" max="43" width="10.7109375" customWidth="1"/>
    <col min="44" max="44" width="11.28515625" customWidth="1"/>
    <col min="45" max="45" width="9.85546875" customWidth="1"/>
    <col min="46" max="46" width="10.7109375" customWidth="1"/>
    <col min="47" max="47" width="10.5703125" customWidth="1"/>
  </cols>
  <sheetData>
    <row r="1" spans="1:20" ht="18.75" x14ac:dyDescent="0.3">
      <c r="H1" s="1" t="s">
        <v>23</v>
      </c>
    </row>
    <row r="2" spans="1:20" ht="18.75" x14ac:dyDescent="0.3">
      <c r="H2" s="1" t="s">
        <v>24</v>
      </c>
    </row>
    <row r="4" spans="1:20" ht="15.75" x14ac:dyDescent="0.25">
      <c r="A4" s="2" t="s">
        <v>62</v>
      </c>
      <c r="H4" s="2" t="s">
        <v>62</v>
      </c>
      <c r="O4" s="2" t="s">
        <v>62</v>
      </c>
    </row>
    <row r="5" spans="1:20" ht="15.75" x14ac:dyDescent="0.25">
      <c r="A5" s="2" t="s">
        <v>65</v>
      </c>
      <c r="H5" s="2" t="s">
        <v>65</v>
      </c>
      <c r="O5" s="2" t="s">
        <v>65</v>
      </c>
    </row>
    <row r="6" spans="1:20" ht="15.75" x14ac:dyDescent="0.25">
      <c r="A6" s="16" t="s">
        <v>59</v>
      </c>
      <c r="B6" s="21" t="s">
        <v>62</v>
      </c>
      <c r="C6" s="16" t="s">
        <v>82</v>
      </c>
      <c r="D6" s="16" t="s">
        <v>64</v>
      </c>
      <c r="E6" s="16" t="s">
        <v>63</v>
      </c>
      <c r="F6" s="16" t="s">
        <v>18</v>
      </c>
      <c r="G6" s="16"/>
      <c r="H6" s="16" t="s">
        <v>12</v>
      </c>
      <c r="I6" s="21" t="s">
        <v>62</v>
      </c>
      <c r="J6" s="16" t="s">
        <v>82</v>
      </c>
      <c r="K6" s="16" t="s">
        <v>64</v>
      </c>
      <c r="L6" s="16" t="s">
        <v>63</v>
      </c>
      <c r="M6" s="16" t="s">
        <v>18</v>
      </c>
      <c r="N6" s="16"/>
      <c r="O6" s="16" t="s">
        <v>13</v>
      </c>
      <c r="P6" s="21" t="s">
        <v>62</v>
      </c>
      <c r="Q6" s="16" t="s">
        <v>82</v>
      </c>
      <c r="R6" s="16" t="s">
        <v>64</v>
      </c>
      <c r="S6" s="16" t="s">
        <v>63</v>
      </c>
      <c r="T6" s="16" t="s">
        <v>18</v>
      </c>
    </row>
    <row r="7" spans="1:20" x14ac:dyDescent="0.25">
      <c r="A7" s="16" t="s">
        <v>0</v>
      </c>
      <c r="B7" s="16" t="s">
        <v>1</v>
      </c>
      <c r="C7" s="17">
        <v>75596</v>
      </c>
      <c r="D7" s="17">
        <v>75654</v>
      </c>
      <c r="E7" s="17">
        <v>62437</v>
      </c>
      <c r="F7" s="17">
        <f>AVERAGE(Table143690117171198152[[#This Row],[Teste 1]:[Teste 3]])</f>
        <v>71229</v>
      </c>
      <c r="G7" s="16"/>
      <c r="H7" s="16" t="s">
        <v>0</v>
      </c>
      <c r="I7" s="16" t="s">
        <v>1</v>
      </c>
      <c r="J7" s="17">
        <v>59144</v>
      </c>
      <c r="K7" s="17">
        <v>58574</v>
      </c>
      <c r="L7" s="17">
        <v>57577</v>
      </c>
      <c r="M7" s="17">
        <f>AVERAGE(Table143690117171198152164[[#This Row],[Teste 1]:[Teste 3]])</f>
        <v>58431.666666666664</v>
      </c>
      <c r="N7" s="16"/>
      <c r="O7" s="16" t="s">
        <v>0</v>
      </c>
      <c r="P7" s="16" t="s">
        <v>1</v>
      </c>
      <c r="Q7" s="17">
        <v>33041</v>
      </c>
      <c r="R7" s="17">
        <v>32723</v>
      </c>
      <c r="S7" s="17">
        <v>32166</v>
      </c>
      <c r="T7" s="17">
        <f>AVERAGE(Table143690117171198152176[[#This Row],[Teste 1]:[Teste 3]])</f>
        <v>32643.333333333332</v>
      </c>
    </row>
    <row r="8" spans="1:20" x14ac:dyDescent="0.25">
      <c r="A8" s="16" t="s">
        <v>0</v>
      </c>
      <c r="B8" s="16" t="s">
        <v>2</v>
      </c>
      <c r="C8" s="17">
        <v>1322.82131329699</v>
      </c>
      <c r="D8" s="17">
        <v>1321.80717476934</v>
      </c>
      <c r="E8" s="17">
        <v>1601.6144273427601</v>
      </c>
      <c r="F8" s="17">
        <f>AVERAGE(Table143690117171198152[[#This Row],[Teste 1]:[Teste 3]])</f>
        <v>1415.4143051363633</v>
      </c>
      <c r="G8" s="16"/>
      <c r="H8" s="16" t="s">
        <v>0</v>
      </c>
      <c r="I8" s="16" t="s">
        <v>2</v>
      </c>
      <c r="J8" s="17">
        <v>1690.81</v>
      </c>
      <c r="K8" s="17">
        <v>1707.24</v>
      </c>
      <c r="L8" s="17">
        <v>1737</v>
      </c>
      <c r="M8" s="17">
        <f>AVERAGE(Table143690117171198152164[[#This Row],[Teste 1]:[Teste 3]])</f>
        <v>1711.6833333333334</v>
      </c>
      <c r="N8" s="16"/>
      <c r="O8" s="16" t="s">
        <v>0</v>
      </c>
      <c r="P8" s="16" t="s">
        <v>2</v>
      </c>
      <c r="Q8" s="17">
        <v>3026.5427801821902</v>
      </c>
      <c r="R8" s="17">
        <v>3055.9545273966301</v>
      </c>
      <c r="S8" s="17">
        <v>3108.8727227507302</v>
      </c>
      <c r="T8" s="17">
        <f>AVERAGE(Table143690117171198152176[[#This Row],[Teste 1]:[Teste 3]])</f>
        <v>3063.7900101098498</v>
      </c>
    </row>
    <row r="9" spans="1:20" x14ac:dyDescent="0.25">
      <c r="A9" s="16" t="s">
        <v>16</v>
      </c>
      <c r="B9" s="16" t="s">
        <v>4</v>
      </c>
      <c r="C9" s="17">
        <v>100000</v>
      </c>
      <c r="D9" s="17">
        <v>100000</v>
      </c>
      <c r="E9" s="17">
        <v>100000</v>
      </c>
      <c r="F9" s="17">
        <f>AVERAGE(Table143690117171198152[[#This Row],[Teste 1]:[Teste 3]])</f>
        <v>100000</v>
      </c>
      <c r="G9" s="16"/>
      <c r="H9" s="16" t="s">
        <v>16</v>
      </c>
      <c r="I9" s="16" t="s">
        <v>4</v>
      </c>
      <c r="J9" s="17">
        <v>100000</v>
      </c>
      <c r="K9" s="17">
        <v>100000</v>
      </c>
      <c r="L9" s="17">
        <v>100000</v>
      </c>
      <c r="M9" s="17">
        <f>AVERAGE(Table143690117171198152164[[#This Row],[Teste 1]:[Teste 3]])</f>
        <v>100000</v>
      </c>
      <c r="N9" s="16"/>
      <c r="O9" s="16" t="s">
        <v>16</v>
      </c>
      <c r="P9" s="16" t="s">
        <v>4</v>
      </c>
      <c r="Q9" s="17">
        <v>100000</v>
      </c>
      <c r="R9" s="17">
        <v>100000</v>
      </c>
      <c r="S9" s="17">
        <v>100000</v>
      </c>
      <c r="T9" s="17">
        <f>AVERAGE(Table143690117171198152176[[#This Row],[Teste 1]:[Teste 3]])</f>
        <v>100000</v>
      </c>
    </row>
    <row r="10" spans="1:20" x14ac:dyDescent="0.25">
      <c r="A10" s="16" t="s">
        <v>16</v>
      </c>
      <c r="B10" s="16" t="s">
        <v>5</v>
      </c>
      <c r="C10" s="17">
        <v>464.42570999999998</v>
      </c>
      <c r="D10" s="17">
        <v>464.96091999999999</v>
      </c>
      <c r="E10" s="17">
        <v>384.56349</v>
      </c>
      <c r="F10" s="17">
        <f>AVERAGE(Table143690117171198152[[#This Row],[Teste 1]:[Teste 3]])</f>
        <v>437.9833733333333</v>
      </c>
      <c r="G10" s="16"/>
      <c r="H10" s="16" t="s">
        <v>16</v>
      </c>
      <c r="I10" s="16" t="s">
        <v>5</v>
      </c>
      <c r="J10" s="17">
        <v>318.16000000000003</v>
      </c>
      <c r="K10" s="17">
        <v>306.20999999999998</v>
      </c>
      <c r="L10" s="17">
        <v>303.39</v>
      </c>
      <c r="M10" s="17">
        <f>AVERAGE(Table143690117171198152164[[#This Row],[Teste 1]:[Teste 3]])</f>
        <v>309.25333333333333</v>
      </c>
      <c r="N10" s="16"/>
      <c r="O10" s="16" t="s">
        <v>16</v>
      </c>
      <c r="P10" s="16" t="s">
        <v>5</v>
      </c>
      <c r="Q10" s="17">
        <v>177.74513999999999</v>
      </c>
      <c r="R10" s="17">
        <v>171.06482</v>
      </c>
      <c r="S10" s="17">
        <v>169.49587</v>
      </c>
      <c r="T10" s="17">
        <f>AVERAGE(Table143690117171198152176[[#This Row],[Teste 1]:[Teste 3]])</f>
        <v>172.76861</v>
      </c>
    </row>
    <row r="11" spans="1:20" x14ac:dyDescent="0.25">
      <c r="A11" s="16" t="s">
        <v>16</v>
      </c>
      <c r="B11" s="16" t="s">
        <v>6</v>
      </c>
      <c r="C11" s="17">
        <v>172</v>
      </c>
      <c r="D11" s="17">
        <v>132</v>
      </c>
      <c r="E11" s="17">
        <v>85</v>
      </c>
      <c r="F11" s="17">
        <f>AVERAGE(Table143690117171198152[[#This Row],[Teste 1]:[Teste 3]])</f>
        <v>129.66666666666666</v>
      </c>
      <c r="G11" s="16"/>
      <c r="H11" s="16" t="s">
        <v>16</v>
      </c>
      <c r="I11" s="16" t="s">
        <v>6</v>
      </c>
      <c r="J11" s="17">
        <v>183</v>
      </c>
      <c r="K11" s="17">
        <v>184</v>
      </c>
      <c r="L11" s="17">
        <v>177</v>
      </c>
      <c r="M11" s="17">
        <f>AVERAGE(Table143690117171198152164[[#This Row],[Teste 1]:[Teste 3]])</f>
        <v>181.33333333333334</v>
      </c>
      <c r="N11" s="16"/>
      <c r="O11" s="16" t="s">
        <v>16</v>
      </c>
      <c r="P11" s="16" t="s">
        <v>6</v>
      </c>
      <c r="Q11" s="17">
        <v>102</v>
      </c>
      <c r="R11" s="17">
        <v>103</v>
      </c>
      <c r="S11" s="17">
        <v>99</v>
      </c>
      <c r="T11" s="17">
        <f>AVERAGE(Table143690117171198152176[[#This Row],[Teste 1]:[Teste 3]])</f>
        <v>101.33333333333333</v>
      </c>
    </row>
    <row r="12" spans="1:20" x14ac:dyDescent="0.25">
      <c r="A12" s="16" t="s">
        <v>16</v>
      </c>
      <c r="B12" s="16" t="s">
        <v>7</v>
      </c>
      <c r="C12" s="17">
        <v>57119</v>
      </c>
      <c r="D12" s="17">
        <v>17471</v>
      </c>
      <c r="E12" s="17">
        <v>40735</v>
      </c>
      <c r="F12" s="17">
        <f>AVERAGE(Table143690117171198152[[#This Row],[Teste 1]:[Teste 3]])</f>
        <v>38441.666666666664</v>
      </c>
      <c r="G12" s="16"/>
      <c r="H12" s="16" t="s">
        <v>16</v>
      </c>
      <c r="I12" s="16" t="s">
        <v>7</v>
      </c>
      <c r="J12" s="17">
        <v>896316</v>
      </c>
      <c r="K12" s="17">
        <v>702022</v>
      </c>
      <c r="L12" s="17">
        <v>539927</v>
      </c>
      <c r="M12" s="17">
        <f>AVERAGE(Table143690117171198152164[[#This Row],[Teste 1]:[Teste 3]])</f>
        <v>712755</v>
      </c>
      <c r="N12" s="16"/>
      <c r="O12" s="16" t="s">
        <v>16</v>
      </c>
      <c r="P12" s="16" t="s">
        <v>7</v>
      </c>
      <c r="Q12" s="17">
        <v>500735</v>
      </c>
      <c r="R12" s="17">
        <v>392191</v>
      </c>
      <c r="S12" s="17">
        <v>30127</v>
      </c>
      <c r="T12" s="17">
        <f>AVERAGE(Table143690117171198152176[[#This Row],[Teste 1]:[Teste 3]])</f>
        <v>307684.33333333331</v>
      </c>
    </row>
    <row r="13" spans="1:20" x14ac:dyDescent="0.25">
      <c r="A13" s="16" t="s">
        <v>16</v>
      </c>
      <c r="B13" s="16" t="s">
        <v>8</v>
      </c>
      <c r="C13" s="17">
        <v>739</v>
      </c>
      <c r="D13" s="17">
        <v>774</v>
      </c>
      <c r="E13" s="17">
        <v>992</v>
      </c>
      <c r="F13" s="17">
        <f>AVERAGE(Table143690117171198152[[#This Row],[Teste 1]:[Teste 3]])</f>
        <v>835</v>
      </c>
      <c r="G13" s="16"/>
      <c r="H13" s="16" t="s">
        <v>16</v>
      </c>
      <c r="I13" s="16" t="s">
        <v>8</v>
      </c>
      <c r="J13" s="17">
        <v>473</v>
      </c>
      <c r="K13" s="17">
        <v>462</v>
      </c>
      <c r="L13" s="17">
        <v>462</v>
      </c>
      <c r="M13" s="17">
        <f>AVERAGE(Table143690117171198152164[[#This Row],[Teste 1]:[Teste 3]])</f>
        <v>465.66666666666669</v>
      </c>
      <c r="N13" s="16"/>
      <c r="O13" s="16" t="s">
        <v>16</v>
      </c>
      <c r="P13" s="16" t="s">
        <v>8</v>
      </c>
      <c r="Q13" s="17">
        <v>264</v>
      </c>
      <c r="R13" s="17">
        <v>258</v>
      </c>
      <c r="S13" s="17">
        <v>258</v>
      </c>
      <c r="T13" s="17">
        <f>AVERAGE(Table143690117171198152176[[#This Row],[Teste 1]:[Teste 3]])</f>
        <v>260</v>
      </c>
    </row>
    <row r="14" spans="1:20" x14ac:dyDescent="0.25">
      <c r="A14" s="16" t="s">
        <v>16</v>
      </c>
      <c r="B14" s="16" t="s">
        <v>9</v>
      </c>
      <c r="C14" s="17">
        <v>1398</v>
      </c>
      <c r="D14" s="17">
        <v>1396</v>
      </c>
      <c r="E14" s="17">
        <v>2415</v>
      </c>
      <c r="F14" s="17">
        <f>AVERAGE(Table143690117171198152[[#This Row],[Teste 1]:[Teste 3]])</f>
        <v>1736.3333333333333</v>
      </c>
      <c r="G14" s="16"/>
      <c r="H14" s="16" t="s">
        <v>16</v>
      </c>
      <c r="I14" s="16" t="s">
        <v>9</v>
      </c>
      <c r="J14" s="17">
        <v>763</v>
      </c>
      <c r="K14" s="17">
        <v>748</v>
      </c>
      <c r="L14" s="17">
        <v>689</v>
      </c>
      <c r="M14" s="17">
        <f>AVERAGE(Table143690117171198152164[[#This Row],[Teste 1]:[Teste 3]])</f>
        <v>733.33333333333337</v>
      </c>
      <c r="N14" s="16"/>
      <c r="O14" s="16" t="s">
        <v>16</v>
      </c>
      <c r="P14" s="16" t="s">
        <v>9</v>
      </c>
      <c r="Q14" s="17">
        <v>426</v>
      </c>
      <c r="R14" s="17">
        <v>418</v>
      </c>
      <c r="S14" s="17">
        <v>385</v>
      </c>
      <c r="T14" s="17">
        <f>AVERAGE(Table143690117171198152176[[#This Row],[Teste 1]:[Teste 3]])</f>
        <v>409.66666666666669</v>
      </c>
    </row>
    <row r="15" spans="1:20" x14ac:dyDescent="0.25">
      <c r="A15" s="16" t="s">
        <v>16</v>
      </c>
      <c r="B15" s="16" t="s">
        <v>11</v>
      </c>
      <c r="C15" s="17">
        <v>100000</v>
      </c>
      <c r="D15" s="17">
        <v>100000</v>
      </c>
      <c r="E15" s="17">
        <v>100000</v>
      </c>
      <c r="F15" s="17">
        <f>AVERAGE(Table143690117171198152[[#This Row],[Teste 1]:[Teste 3]])</f>
        <v>100000</v>
      </c>
      <c r="G15" s="16"/>
      <c r="H15" s="16" t="s">
        <v>16</v>
      </c>
      <c r="I15" s="16" t="s">
        <v>11</v>
      </c>
      <c r="J15" s="17">
        <v>100000</v>
      </c>
      <c r="K15" s="17">
        <v>100000</v>
      </c>
      <c r="L15" s="17">
        <v>100000</v>
      </c>
      <c r="M15" s="17">
        <f>AVERAGE(Table143690117171198152164[[#This Row],[Teste 1]:[Teste 3]])</f>
        <v>100000</v>
      </c>
      <c r="N15" s="16"/>
      <c r="O15" s="16" t="s">
        <v>16</v>
      </c>
      <c r="P15" s="16" t="s">
        <v>11</v>
      </c>
      <c r="Q15" s="17">
        <v>100000</v>
      </c>
      <c r="R15" s="17">
        <v>100000</v>
      </c>
      <c r="S15" s="17">
        <v>100000</v>
      </c>
      <c r="T15" s="17">
        <f>AVERAGE(Table143690117171198152176[[#This Row],[Teste 1]:[Teste 3]])</f>
        <v>100000</v>
      </c>
    </row>
    <row r="16" spans="1:20" x14ac:dyDescent="0.25">
      <c r="A16" s="16" t="s">
        <v>72</v>
      </c>
      <c r="B16" s="16" t="s">
        <v>4</v>
      </c>
      <c r="C16" s="17">
        <v>49968</v>
      </c>
      <c r="D16" s="17">
        <v>49838</v>
      </c>
      <c r="E16" s="17">
        <v>49948</v>
      </c>
      <c r="F16" s="17">
        <f>AVERAGE(Table143690117171198152[[#This Row],[Teste 1]:[Teste 3]])</f>
        <v>49918</v>
      </c>
      <c r="G16" s="16"/>
      <c r="H16" s="16" t="s">
        <v>72</v>
      </c>
      <c r="I16" s="16" t="s">
        <v>4</v>
      </c>
      <c r="J16" s="17">
        <v>49794</v>
      </c>
      <c r="K16" s="17">
        <v>50008</v>
      </c>
      <c r="L16" s="17">
        <v>50425</v>
      </c>
      <c r="M16" s="17">
        <f>AVERAGE(Table143690117171198152164[[#This Row],[Teste 1]:[Teste 3]])</f>
        <v>50075.666666666664</v>
      </c>
      <c r="N16" s="16"/>
      <c r="O16" s="16" t="s">
        <v>72</v>
      </c>
      <c r="P16" s="16" t="s">
        <v>4</v>
      </c>
      <c r="Q16" s="17">
        <v>49967</v>
      </c>
      <c r="R16" s="17">
        <v>49752</v>
      </c>
      <c r="S16" s="17">
        <v>50019</v>
      </c>
      <c r="T16" s="17">
        <f>AVERAGE(Table143690117171198152176[[#This Row],[Teste 1]:[Teste 3]])</f>
        <v>49912.666666666664</v>
      </c>
    </row>
    <row r="17" spans="1:20" x14ac:dyDescent="0.25">
      <c r="A17" s="16" t="s">
        <v>72</v>
      </c>
      <c r="B17" s="16" t="s">
        <v>5</v>
      </c>
      <c r="C17" s="17">
        <v>992.28906500160099</v>
      </c>
      <c r="D17" s="17">
        <v>993.29212648982696</v>
      </c>
      <c r="E17" s="17">
        <v>825.49065027628706</v>
      </c>
      <c r="F17" s="17">
        <f>AVERAGE(Table143690117171198152[[#This Row],[Teste 1]:[Teste 3]])</f>
        <v>937.023947255905</v>
      </c>
      <c r="G17" s="16"/>
      <c r="H17" s="16" t="s">
        <v>72</v>
      </c>
      <c r="I17" s="16" t="s">
        <v>5</v>
      </c>
      <c r="J17" s="17">
        <v>816.19</v>
      </c>
      <c r="K17" s="17">
        <v>833.18</v>
      </c>
      <c r="L17" s="17">
        <v>806.3</v>
      </c>
      <c r="M17" s="17">
        <f>AVERAGE(Table143690117171198152164[[#This Row],[Teste 1]:[Teste 3]])</f>
        <v>818.55666666666673</v>
      </c>
      <c r="N17" s="16"/>
      <c r="O17" s="16" t="s">
        <v>72</v>
      </c>
      <c r="P17" s="16" t="s">
        <v>5</v>
      </c>
      <c r="Q17" s="17">
        <v>455.96959993595698</v>
      </c>
      <c r="R17" s="17">
        <v>465.46271506673099</v>
      </c>
      <c r="S17" s="17">
        <v>450.44715008296799</v>
      </c>
      <c r="T17" s="17">
        <f>AVERAGE(Table143690117171198152176[[#This Row],[Teste 1]:[Teste 3]])</f>
        <v>457.29315502855201</v>
      </c>
    </row>
    <row r="18" spans="1:20" x14ac:dyDescent="0.25">
      <c r="A18" s="16" t="s">
        <v>72</v>
      </c>
      <c r="B18" s="16" t="s">
        <v>6</v>
      </c>
      <c r="C18" s="17">
        <v>439</v>
      </c>
      <c r="D18" s="17">
        <v>327</v>
      </c>
      <c r="E18" s="17">
        <v>190</v>
      </c>
      <c r="F18" s="17">
        <f>AVERAGE(Table143690117171198152[[#This Row],[Teste 1]:[Teste 3]])</f>
        <v>318.66666666666669</v>
      </c>
      <c r="G18" s="16"/>
      <c r="H18" s="16" t="s">
        <v>72</v>
      </c>
      <c r="I18" s="16" t="s">
        <v>6</v>
      </c>
      <c r="J18" s="17">
        <v>573</v>
      </c>
      <c r="K18" s="17">
        <v>571</v>
      </c>
      <c r="L18" s="17">
        <v>567</v>
      </c>
      <c r="M18" s="17">
        <f>AVERAGE(Table143690117171198152164[[#This Row],[Teste 1]:[Teste 3]])</f>
        <v>570.33333333333337</v>
      </c>
      <c r="N18" s="16"/>
      <c r="O18" s="16" t="s">
        <v>72</v>
      </c>
      <c r="P18" s="16" t="s">
        <v>6</v>
      </c>
      <c r="Q18" s="17">
        <v>320</v>
      </c>
      <c r="R18" s="17">
        <v>319</v>
      </c>
      <c r="S18" s="17">
        <v>317</v>
      </c>
      <c r="T18" s="17">
        <f>AVERAGE(Table143690117171198152176[[#This Row],[Teste 1]:[Teste 3]])</f>
        <v>318.66666666666669</v>
      </c>
    </row>
    <row r="19" spans="1:20" x14ac:dyDescent="0.25">
      <c r="A19" s="16" t="s">
        <v>72</v>
      </c>
      <c r="B19" s="16" t="s">
        <v>7</v>
      </c>
      <c r="C19" s="17">
        <v>44351</v>
      </c>
      <c r="D19" s="17">
        <v>29551</v>
      </c>
      <c r="E19" s="17">
        <v>35871</v>
      </c>
      <c r="F19" s="17">
        <f>AVERAGE(Table143690117171198152[[#This Row],[Teste 1]:[Teste 3]])</f>
        <v>36591</v>
      </c>
      <c r="G19" s="16"/>
      <c r="H19" s="16" t="s">
        <v>72</v>
      </c>
      <c r="I19" s="16" t="s">
        <v>7</v>
      </c>
      <c r="J19" s="17">
        <v>89871</v>
      </c>
      <c r="K19" s="17">
        <v>70530</v>
      </c>
      <c r="L19" s="17">
        <v>87408</v>
      </c>
      <c r="M19" s="17">
        <f>AVERAGE(Table143690117171198152164[[#This Row],[Teste 1]:[Teste 3]])</f>
        <v>82603</v>
      </c>
      <c r="N19" s="16"/>
      <c r="O19" s="16" t="s">
        <v>72</v>
      </c>
      <c r="P19" s="16" t="s">
        <v>7</v>
      </c>
      <c r="Q19" s="17">
        <v>50207</v>
      </c>
      <c r="R19" s="17">
        <v>393983</v>
      </c>
      <c r="S19" s="17">
        <v>48831</v>
      </c>
      <c r="T19" s="17">
        <f>AVERAGE(Table143690117171198152176[[#This Row],[Teste 1]:[Teste 3]])</f>
        <v>164340.33333333334</v>
      </c>
    </row>
    <row r="20" spans="1:20" x14ac:dyDescent="0.25">
      <c r="A20" s="16" t="s">
        <v>72</v>
      </c>
      <c r="B20" s="16" t="s">
        <v>8</v>
      </c>
      <c r="C20" s="17">
        <v>1629</v>
      </c>
      <c r="D20" s="17">
        <v>1668</v>
      </c>
      <c r="E20" s="17">
        <v>2057</v>
      </c>
      <c r="F20" s="17">
        <f>AVERAGE(Table143690117171198152[[#This Row],[Teste 1]:[Teste 3]])</f>
        <v>1784.6666666666667</v>
      </c>
      <c r="G20" s="16"/>
      <c r="H20" s="16" t="s">
        <v>72</v>
      </c>
      <c r="I20" s="16" t="s">
        <v>8</v>
      </c>
      <c r="J20" s="17">
        <v>1285</v>
      </c>
      <c r="K20" s="17">
        <v>1271</v>
      </c>
      <c r="L20" s="17">
        <v>1241</v>
      </c>
      <c r="M20" s="17">
        <f>AVERAGE(Table143690117171198152164[[#This Row],[Teste 1]:[Teste 3]])</f>
        <v>1265.6666666666667</v>
      </c>
      <c r="N20" s="16"/>
      <c r="O20" s="16" t="s">
        <v>72</v>
      </c>
      <c r="P20" s="16" t="s">
        <v>8</v>
      </c>
      <c r="Q20" s="17">
        <v>718</v>
      </c>
      <c r="R20" s="17">
        <v>710</v>
      </c>
      <c r="S20" s="17">
        <v>693</v>
      </c>
      <c r="T20" s="17">
        <f>AVERAGE(Table143690117171198152176[[#This Row],[Teste 1]:[Teste 3]])</f>
        <v>707</v>
      </c>
    </row>
    <row r="21" spans="1:20" x14ac:dyDescent="0.25">
      <c r="A21" s="16" t="s">
        <v>72</v>
      </c>
      <c r="B21" s="16" t="s">
        <v>9</v>
      </c>
      <c r="C21" s="17">
        <v>2817</v>
      </c>
      <c r="D21" s="17">
        <v>2689</v>
      </c>
      <c r="E21" s="17">
        <v>4439</v>
      </c>
      <c r="F21" s="17">
        <f>AVERAGE(Table143690117171198152[[#This Row],[Teste 1]:[Teste 3]])</f>
        <v>3315</v>
      </c>
      <c r="G21" s="16"/>
      <c r="H21" s="16" t="s">
        <v>72</v>
      </c>
      <c r="I21" s="16" t="s">
        <v>9</v>
      </c>
      <c r="J21" s="17">
        <v>1912</v>
      </c>
      <c r="K21" s="17">
        <v>1869</v>
      </c>
      <c r="L21" s="17">
        <v>1692</v>
      </c>
      <c r="M21" s="17">
        <f>AVERAGE(Table143690117171198152164[[#This Row],[Teste 1]:[Teste 3]])</f>
        <v>1824.3333333333333</v>
      </c>
      <c r="N21" s="16"/>
      <c r="O21" s="16" t="s">
        <v>72</v>
      </c>
      <c r="P21" s="16" t="s">
        <v>9</v>
      </c>
      <c r="Q21" s="17">
        <v>1068</v>
      </c>
      <c r="R21" s="17">
        <v>1044</v>
      </c>
      <c r="S21" s="17">
        <v>945</v>
      </c>
      <c r="T21" s="17">
        <f>AVERAGE(Table143690117171198152176[[#This Row],[Teste 1]:[Teste 3]])</f>
        <v>1019</v>
      </c>
    </row>
    <row r="22" spans="1:20" x14ac:dyDescent="0.25">
      <c r="A22" s="16" t="s">
        <v>3</v>
      </c>
      <c r="B22" s="16" t="s">
        <v>4</v>
      </c>
      <c r="C22" s="17">
        <v>1</v>
      </c>
      <c r="D22" s="17">
        <v>1</v>
      </c>
      <c r="E22" s="17">
        <v>1</v>
      </c>
      <c r="F22" s="17">
        <f>AVERAGE(Table143690117171198152[[#This Row],[Teste 1]:[Teste 3]])</f>
        <v>1</v>
      </c>
      <c r="G22" s="16"/>
      <c r="H22" s="16" t="s">
        <v>3</v>
      </c>
      <c r="I22" s="16" t="s">
        <v>4</v>
      </c>
      <c r="J22" s="17">
        <v>1</v>
      </c>
      <c r="K22" s="17">
        <v>1</v>
      </c>
      <c r="L22" s="17">
        <v>1</v>
      </c>
      <c r="M22" s="17">
        <f>AVERAGE(Table143690117171198152164[[#This Row],[Teste 1]:[Teste 3]])</f>
        <v>1</v>
      </c>
      <c r="N22" s="16"/>
      <c r="O22" s="16" t="s">
        <v>3</v>
      </c>
      <c r="P22" s="16" t="s">
        <v>4</v>
      </c>
      <c r="Q22" s="17">
        <v>1</v>
      </c>
      <c r="R22" s="17">
        <v>1</v>
      </c>
      <c r="S22" s="17">
        <v>1</v>
      </c>
      <c r="T22" s="17">
        <f>AVERAGE(Table143690117171198152176[[#This Row],[Teste 1]:[Teste 3]])</f>
        <v>1</v>
      </c>
    </row>
    <row r="23" spans="1:20" x14ac:dyDescent="0.25">
      <c r="A23" s="16" t="s">
        <v>3</v>
      </c>
      <c r="B23" s="16" t="s">
        <v>5</v>
      </c>
      <c r="C23" s="17">
        <v>9</v>
      </c>
      <c r="D23" s="17">
        <v>9</v>
      </c>
      <c r="E23" s="17">
        <v>8</v>
      </c>
      <c r="F23" s="17">
        <f>AVERAGE(Table143690117171198152[[#This Row],[Teste 1]:[Teste 3]])</f>
        <v>8.6666666666666661</v>
      </c>
      <c r="G23" s="16"/>
      <c r="H23" s="16" t="s">
        <v>3</v>
      </c>
      <c r="I23" s="16" t="s">
        <v>5</v>
      </c>
      <c r="J23" s="17">
        <v>11</v>
      </c>
      <c r="K23" s="17">
        <v>11</v>
      </c>
      <c r="L23" s="17">
        <v>11</v>
      </c>
      <c r="M23" s="17">
        <f>AVERAGE(Table143690117171198152164[[#This Row],[Teste 1]:[Teste 3]])</f>
        <v>11</v>
      </c>
      <c r="N23" s="16"/>
      <c r="O23" s="16" t="s">
        <v>3</v>
      </c>
      <c r="P23" s="16" t="s">
        <v>5</v>
      </c>
      <c r="Q23" s="17">
        <v>1337</v>
      </c>
      <c r="R23" s="17">
        <v>981</v>
      </c>
      <c r="S23" s="17">
        <v>1068</v>
      </c>
      <c r="T23" s="17">
        <f>AVERAGE(Table143690117171198152176[[#This Row],[Teste 1]:[Teste 3]])</f>
        <v>1128.6666666666667</v>
      </c>
    </row>
    <row r="24" spans="1:20" x14ac:dyDescent="0.25">
      <c r="A24" s="16" t="s">
        <v>3</v>
      </c>
      <c r="B24" s="16" t="s">
        <v>6</v>
      </c>
      <c r="C24" s="17">
        <v>9</v>
      </c>
      <c r="D24" s="17">
        <v>9</v>
      </c>
      <c r="E24" s="17">
        <v>8</v>
      </c>
      <c r="F24" s="17">
        <f>AVERAGE(Table143690117171198152[[#This Row],[Teste 1]:[Teste 3]])</f>
        <v>8.6666666666666661</v>
      </c>
      <c r="G24" s="16"/>
      <c r="H24" s="16" t="s">
        <v>3</v>
      </c>
      <c r="I24" s="16" t="s">
        <v>6</v>
      </c>
      <c r="J24" s="17">
        <v>11</v>
      </c>
      <c r="K24" s="17">
        <v>11</v>
      </c>
      <c r="L24" s="17">
        <v>11</v>
      </c>
      <c r="M24" s="17">
        <f>AVERAGE(Table143690117171198152164[[#This Row],[Teste 1]:[Teste 3]])</f>
        <v>11</v>
      </c>
      <c r="N24" s="16"/>
      <c r="O24" s="16" t="s">
        <v>3</v>
      </c>
      <c r="P24" s="16" t="s">
        <v>6</v>
      </c>
      <c r="Q24" s="17">
        <v>1337</v>
      </c>
      <c r="R24" s="17">
        <v>981</v>
      </c>
      <c r="S24" s="17">
        <v>1068</v>
      </c>
      <c r="T24" s="17">
        <f>AVERAGE(Table143690117171198152176[[#This Row],[Teste 1]:[Teste 3]])</f>
        <v>1128.6666666666667</v>
      </c>
    </row>
    <row r="25" spans="1:20" x14ac:dyDescent="0.25">
      <c r="A25" s="16" t="s">
        <v>3</v>
      </c>
      <c r="B25" s="16" t="s">
        <v>7</v>
      </c>
      <c r="C25" s="17">
        <v>9</v>
      </c>
      <c r="D25" s="17">
        <v>9</v>
      </c>
      <c r="E25" s="17">
        <v>8</v>
      </c>
      <c r="F25" s="17">
        <f>AVERAGE(Table143690117171198152[[#This Row],[Teste 1]:[Teste 3]])</f>
        <v>8.6666666666666661</v>
      </c>
      <c r="G25" s="16"/>
      <c r="H25" s="16" t="s">
        <v>3</v>
      </c>
      <c r="I25" s="16" t="s">
        <v>7</v>
      </c>
      <c r="J25" s="17">
        <v>11</v>
      </c>
      <c r="K25" s="17">
        <v>11</v>
      </c>
      <c r="L25" s="17">
        <v>11</v>
      </c>
      <c r="M25" s="17">
        <f>AVERAGE(Table143690117171198152164[[#This Row],[Teste 1]:[Teste 3]])</f>
        <v>11</v>
      </c>
      <c r="N25" s="16"/>
      <c r="O25" s="16" t="s">
        <v>3</v>
      </c>
      <c r="P25" s="16" t="s">
        <v>7</v>
      </c>
      <c r="Q25" s="17">
        <v>1337</v>
      </c>
      <c r="R25" s="17">
        <v>981</v>
      </c>
      <c r="S25" s="17">
        <v>1068</v>
      </c>
      <c r="T25" s="17">
        <f>AVERAGE(Table143690117171198152176[[#This Row],[Teste 1]:[Teste 3]])</f>
        <v>1128.6666666666667</v>
      </c>
    </row>
    <row r="26" spans="1:20" x14ac:dyDescent="0.25">
      <c r="A26" s="16" t="s">
        <v>3</v>
      </c>
      <c r="B26" s="16" t="s">
        <v>8</v>
      </c>
      <c r="C26" s="17">
        <v>9</v>
      </c>
      <c r="D26" s="17">
        <v>9</v>
      </c>
      <c r="E26" s="17">
        <v>8</v>
      </c>
      <c r="F26" s="17">
        <f>AVERAGE(Table143690117171198152[[#This Row],[Teste 1]:[Teste 3]])</f>
        <v>8.6666666666666661</v>
      </c>
      <c r="G26" s="16"/>
      <c r="H26" s="16" t="s">
        <v>3</v>
      </c>
      <c r="I26" s="16" t="s">
        <v>8</v>
      </c>
      <c r="J26" s="17">
        <v>11</v>
      </c>
      <c r="K26" s="17">
        <v>11</v>
      </c>
      <c r="L26" s="17">
        <v>11</v>
      </c>
      <c r="M26" s="17">
        <f>AVERAGE(Table143690117171198152164[[#This Row],[Teste 1]:[Teste 3]])</f>
        <v>11</v>
      </c>
      <c r="N26" s="16"/>
      <c r="O26" s="16" t="s">
        <v>3</v>
      </c>
      <c r="P26" s="16" t="s">
        <v>8</v>
      </c>
      <c r="Q26" s="17">
        <v>1337</v>
      </c>
      <c r="R26" s="17">
        <v>981</v>
      </c>
      <c r="S26" s="17">
        <v>1068</v>
      </c>
      <c r="T26" s="17">
        <f>AVERAGE(Table143690117171198152176[[#This Row],[Teste 1]:[Teste 3]])</f>
        <v>1128.6666666666667</v>
      </c>
    </row>
    <row r="27" spans="1:20" x14ac:dyDescent="0.25">
      <c r="A27" s="16" t="s">
        <v>3</v>
      </c>
      <c r="B27" s="16" t="s">
        <v>9</v>
      </c>
      <c r="C27" s="17">
        <v>9</v>
      </c>
      <c r="D27" s="17">
        <v>9</v>
      </c>
      <c r="E27" s="17">
        <v>8</v>
      </c>
      <c r="F27" s="17">
        <f>AVERAGE(Table143690117171198152[[#This Row],[Teste 1]:[Teste 3]])</f>
        <v>8.6666666666666661</v>
      </c>
      <c r="G27" s="16"/>
      <c r="H27" s="16" t="s">
        <v>3</v>
      </c>
      <c r="I27" s="16" t="s">
        <v>9</v>
      </c>
      <c r="J27" s="17">
        <v>11</v>
      </c>
      <c r="K27" s="17">
        <v>11</v>
      </c>
      <c r="L27" s="17">
        <v>11</v>
      </c>
      <c r="M27" s="17">
        <f>AVERAGE(Table143690117171198152164[[#This Row],[Teste 1]:[Teste 3]])</f>
        <v>11</v>
      </c>
      <c r="N27" s="16"/>
      <c r="O27" s="16" t="s">
        <v>3</v>
      </c>
      <c r="P27" s="16" t="s">
        <v>9</v>
      </c>
      <c r="Q27" s="17">
        <v>1337</v>
      </c>
      <c r="R27" s="17">
        <v>981</v>
      </c>
      <c r="S27" s="17">
        <v>1068</v>
      </c>
      <c r="T27" s="17">
        <f>AVERAGE(Table143690117171198152176[[#This Row],[Teste 1]:[Teste 3]])</f>
        <v>1128.6666666666667</v>
      </c>
    </row>
    <row r="28" spans="1:20" x14ac:dyDescent="0.25">
      <c r="A28" s="16" t="s">
        <v>17</v>
      </c>
      <c r="B28" s="16" t="s">
        <v>4</v>
      </c>
      <c r="C28" s="17">
        <v>49968</v>
      </c>
      <c r="D28" s="17">
        <v>49838</v>
      </c>
      <c r="E28" s="17">
        <v>49948</v>
      </c>
      <c r="F28" s="17">
        <f>AVERAGE(Table143690117171198152[[#This Row],[Teste 1]:[Teste 3]])</f>
        <v>49918</v>
      </c>
      <c r="G28" s="16"/>
      <c r="H28" s="16" t="s">
        <v>17</v>
      </c>
      <c r="I28" s="16" t="s">
        <v>4</v>
      </c>
      <c r="J28" s="17">
        <v>49794</v>
      </c>
      <c r="K28" s="17">
        <v>50008</v>
      </c>
      <c r="L28" s="17">
        <v>50425</v>
      </c>
      <c r="M28" s="17">
        <f>AVERAGE(Table143690117171198152164[[#This Row],[Teste 1]:[Teste 3]])</f>
        <v>50075.666666666664</v>
      </c>
      <c r="N28" s="16"/>
      <c r="O28" s="16" t="s">
        <v>17</v>
      </c>
      <c r="P28" s="16" t="s">
        <v>4</v>
      </c>
      <c r="Q28" s="17">
        <v>49967</v>
      </c>
      <c r="R28" s="17">
        <v>49752</v>
      </c>
      <c r="S28" s="17">
        <v>50019</v>
      </c>
      <c r="T28" s="17">
        <f>AVERAGE(Table143690117171198152176[[#This Row],[Teste 1]:[Teste 3]])</f>
        <v>49912.666666666664</v>
      </c>
    </row>
    <row r="29" spans="1:20" x14ac:dyDescent="0.25">
      <c r="A29" s="16" t="s">
        <v>17</v>
      </c>
      <c r="B29" s="16" t="s">
        <v>5</v>
      </c>
      <c r="C29" s="17">
        <v>516.91570605187303</v>
      </c>
      <c r="D29" s="17">
        <v>519.50856775954003</v>
      </c>
      <c r="E29" s="17">
        <v>435.12937454953101</v>
      </c>
      <c r="F29" s="17">
        <f>AVERAGE(Table143690117171198152[[#This Row],[Teste 1]:[Teste 3]])</f>
        <v>490.51788278698132</v>
      </c>
      <c r="G29" s="16"/>
      <c r="H29" s="16" t="s">
        <v>17</v>
      </c>
      <c r="I29" s="16" t="s">
        <v>5</v>
      </c>
      <c r="J29" s="17">
        <v>500.38</v>
      </c>
      <c r="K29" s="17">
        <v>514.49</v>
      </c>
      <c r="L29" s="17">
        <v>497.1</v>
      </c>
      <c r="M29" s="17">
        <f>AVERAGE(Table143690117171198152164[[#This Row],[Teste 1]:[Teste 3]])</f>
        <v>503.99</v>
      </c>
      <c r="N29" s="16"/>
      <c r="O29" s="16" t="s">
        <v>17</v>
      </c>
      <c r="P29" s="16" t="s">
        <v>5</v>
      </c>
      <c r="Q29" s="17">
        <v>279.54163748073699</v>
      </c>
      <c r="R29" s="17">
        <v>287.42114889853599</v>
      </c>
      <c r="S29" s="17">
        <v>277.69495591675098</v>
      </c>
      <c r="T29" s="17">
        <f>AVERAGE(Table143690117171198152176[[#This Row],[Teste 1]:[Teste 3]])</f>
        <v>281.55258076534136</v>
      </c>
    </row>
    <row r="30" spans="1:20" x14ac:dyDescent="0.25">
      <c r="A30" s="16" t="s">
        <v>17</v>
      </c>
      <c r="B30" s="16" t="s">
        <v>6</v>
      </c>
      <c r="C30" s="17">
        <v>235</v>
      </c>
      <c r="D30" s="17">
        <v>171</v>
      </c>
      <c r="E30" s="17">
        <v>102</v>
      </c>
      <c r="F30" s="17">
        <f>AVERAGE(Table143690117171198152[[#This Row],[Teste 1]:[Teste 3]])</f>
        <v>169.33333333333334</v>
      </c>
      <c r="G30" s="16"/>
      <c r="H30" s="16" t="s">
        <v>17</v>
      </c>
      <c r="I30" s="16" t="s">
        <v>6</v>
      </c>
      <c r="J30" s="17">
        <v>333</v>
      </c>
      <c r="K30" s="17">
        <v>344</v>
      </c>
      <c r="L30" s="17">
        <v>338</v>
      </c>
      <c r="M30" s="17">
        <f>AVERAGE(Table143690117171198152164[[#This Row],[Teste 1]:[Teste 3]])</f>
        <v>338.33333333333331</v>
      </c>
      <c r="N30" s="16"/>
      <c r="O30" s="16" t="s">
        <v>17</v>
      </c>
      <c r="P30" s="16" t="s">
        <v>6</v>
      </c>
      <c r="Q30" s="17">
        <v>186</v>
      </c>
      <c r="R30" s="17">
        <v>192</v>
      </c>
      <c r="S30" s="17">
        <v>189</v>
      </c>
      <c r="T30" s="17">
        <f>AVERAGE(Table143690117171198152176[[#This Row],[Teste 1]:[Teste 3]])</f>
        <v>189</v>
      </c>
    </row>
    <row r="31" spans="1:20" x14ac:dyDescent="0.25">
      <c r="A31" s="16" t="s">
        <v>17</v>
      </c>
      <c r="B31" s="16" t="s">
        <v>7</v>
      </c>
      <c r="C31" s="17">
        <v>39423</v>
      </c>
      <c r="D31" s="17">
        <v>15175</v>
      </c>
      <c r="E31" s="17">
        <v>34751</v>
      </c>
      <c r="F31" s="17">
        <f>AVERAGE(Table143690117171198152[[#This Row],[Teste 1]:[Teste 3]])</f>
        <v>29783</v>
      </c>
      <c r="G31" s="16"/>
      <c r="H31" s="16" t="s">
        <v>17</v>
      </c>
      <c r="I31" s="16" t="s">
        <v>7</v>
      </c>
      <c r="J31" s="17">
        <v>21965</v>
      </c>
      <c r="K31" s="17">
        <v>24328</v>
      </c>
      <c r="L31" s="17">
        <v>62491</v>
      </c>
      <c r="M31" s="17">
        <f>AVERAGE(Table143690117171198152164[[#This Row],[Teste 1]:[Teste 3]])</f>
        <v>36261.333333333336</v>
      </c>
      <c r="N31" s="16"/>
      <c r="O31" s="16" t="s">
        <v>17</v>
      </c>
      <c r="P31" s="16" t="s">
        <v>7</v>
      </c>
      <c r="Q31" s="17">
        <v>12271</v>
      </c>
      <c r="R31" s="17">
        <v>13591</v>
      </c>
      <c r="S31" s="17">
        <v>34911</v>
      </c>
      <c r="T31" s="17">
        <f>AVERAGE(Table143690117171198152176[[#This Row],[Teste 1]:[Teste 3]])</f>
        <v>20257.666666666668</v>
      </c>
    </row>
    <row r="32" spans="1:20" x14ac:dyDescent="0.25">
      <c r="A32" s="16" t="s">
        <v>17</v>
      </c>
      <c r="B32" s="16" t="s">
        <v>8</v>
      </c>
      <c r="C32" s="17">
        <v>875</v>
      </c>
      <c r="D32" s="17">
        <v>901</v>
      </c>
      <c r="E32" s="17">
        <v>1059</v>
      </c>
      <c r="F32" s="17">
        <f>AVERAGE(Table143690117171198152[[#This Row],[Teste 1]:[Teste 3]])</f>
        <v>945</v>
      </c>
      <c r="G32" s="16"/>
      <c r="H32" s="16" t="s">
        <v>17</v>
      </c>
      <c r="I32" s="16" t="s">
        <v>8</v>
      </c>
      <c r="J32" s="17">
        <v>810</v>
      </c>
      <c r="K32" s="17">
        <v>807</v>
      </c>
      <c r="L32" s="17">
        <v>780</v>
      </c>
      <c r="M32" s="17">
        <f>AVERAGE(Table143690117171198152164[[#This Row],[Teste 1]:[Teste 3]])</f>
        <v>799</v>
      </c>
      <c r="N32" s="16"/>
      <c r="O32" s="16" t="s">
        <v>17</v>
      </c>
      <c r="P32" s="16" t="s">
        <v>8</v>
      </c>
      <c r="Q32" s="17">
        <v>452</v>
      </c>
      <c r="R32" s="17">
        <v>451</v>
      </c>
      <c r="S32" s="17">
        <v>436</v>
      </c>
      <c r="T32" s="17">
        <f>AVERAGE(Table143690117171198152176[[#This Row],[Teste 1]:[Teste 3]])</f>
        <v>446.33333333333331</v>
      </c>
    </row>
    <row r="33" spans="1:20" x14ac:dyDescent="0.25">
      <c r="A33" s="16" t="s">
        <v>17</v>
      </c>
      <c r="B33" s="16" t="s">
        <v>9</v>
      </c>
      <c r="C33" s="17">
        <v>1560</v>
      </c>
      <c r="D33" s="17">
        <v>1536</v>
      </c>
      <c r="E33" s="17">
        <v>2437</v>
      </c>
      <c r="F33" s="17">
        <f>AVERAGE(Table143690117171198152[[#This Row],[Teste 1]:[Teste 3]])</f>
        <v>1844.3333333333333</v>
      </c>
      <c r="G33" s="16"/>
      <c r="H33" s="16" t="s">
        <v>17</v>
      </c>
      <c r="I33" s="16" t="s">
        <v>9</v>
      </c>
      <c r="J33" s="17">
        <v>1128</v>
      </c>
      <c r="K33" s="17">
        <v>1115</v>
      </c>
      <c r="L33" s="17">
        <v>1044</v>
      </c>
      <c r="M33" s="17">
        <f>AVERAGE(Table143690117171198152164[[#This Row],[Teste 1]:[Teste 3]])</f>
        <v>1095.6666666666667</v>
      </c>
      <c r="N33" s="16"/>
      <c r="O33" s="16" t="s">
        <v>17</v>
      </c>
      <c r="P33" s="16" t="s">
        <v>9</v>
      </c>
      <c r="Q33" s="17">
        <v>630</v>
      </c>
      <c r="R33" s="17">
        <v>623</v>
      </c>
      <c r="S33" s="17">
        <v>583</v>
      </c>
      <c r="T33" s="17">
        <f>AVERAGE(Table143690117171198152176[[#This Row],[Teste 1]:[Teste 3]])</f>
        <v>612</v>
      </c>
    </row>
    <row r="34" spans="1:20" x14ac:dyDescent="0.25">
      <c r="A34" s="16" t="s">
        <v>17</v>
      </c>
      <c r="B34" s="16" t="s">
        <v>11</v>
      </c>
      <c r="C34" s="17">
        <v>49968</v>
      </c>
      <c r="D34" s="17">
        <v>49838</v>
      </c>
      <c r="E34" s="17">
        <v>49948</v>
      </c>
      <c r="F34" s="17">
        <f>AVERAGE(Table143690117171198152[[#This Row],[Teste 1]:[Teste 3]])</f>
        <v>49918</v>
      </c>
      <c r="G34" s="16"/>
      <c r="H34" s="16" t="s">
        <v>17</v>
      </c>
      <c r="I34" s="16" t="s">
        <v>11</v>
      </c>
      <c r="J34" s="17">
        <v>49794</v>
      </c>
      <c r="K34" s="17">
        <v>50008</v>
      </c>
      <c r="L34" s="17">
        <v>50425</v>
      </c>
      <c r="M34" s="17">
        <f>AVERAGE(Table143690117171198152164[[#This Row],[Teste 1]:[Teste 3]])</f>
        <v>50075.666666666664</v>
      </c>
      <c r="N34" s="16"/>
      <c r="O34" s="16" t="s">
        <v>17</v>
      </c>
      <c r="P34" s="16" t="s">
        <v>11</v>
      </c>
      <c r="Q34" s="17">
        <v>49967</v>
      </c>
      <c r="R34" s="17">
        <v>49752</v>
      </c>
      <c r="S34" s="17">
        <v>50019</v>
      </c>
      <c r="T34" s="17">
        <f>AVERAGE(Table143690117171198152176[[#This Row],[Teste 1]:[Teste 3]])</f>
        <v>49912.666666666664</v>
      </c>
    </row>
    <row r="35" spans="1:20" x14ac:dyDescent="0.25">
      <c r="A35" s="16"/>
      <c r="B35" s="16"/>
      <c r="C35" s="17"/>
      <c r="D35" s="17"/>
      <c r="E35" s="17"/>
      <c r="F35" s="17"/>
      <c r="G35" s="16"/>
      <c r="H35" s="16"/>
      <c r="I35" s="16"/>
      <c r="J35" s="17"/>
      <c r="K35" s="17"/>
      <c r="L35" s="17"/>
      <c r="M35" s="17"/>
      <c r="N35" s="16"/>
      <c r="O35" s="16"/>
      <c r="P35" s="16"/>
      <c r="Q35" s="17"/>
      <c r="R35" s="17"/>
      <c r="S35" s="17"/>
      <c r="T35" s="17"/>
    </row>
    <row r="36" spans="1:20" x14ac:dyDescent="0.25">
      <c r="A36" s="16"/>
      <c r="B36" s="16"/>
      <c r="C36" s="17"/>
      <c r="D36" s="17"/>
      <c r="E36" s="17"/>
      <c r="F36" s="17"/>
      <c r="G36" s="16"/>
      <c r="H36" s="16"/>
      <c r="I36" s="16"/>
      <c r="J36" s="17"/>
      <c r="K36" s="17"/>
      <c r="L36" s="17"/>
      <c r="M36" s="17"/>
      <c r="N36" s="16"/>
      <c r="O36" s="16"/>
      <c r="P36" s="16"/>
      <c r="Q36" s="17"/>
      <c r="R36" s="17"/>
      <c r="S36" s="17"/>
      <c r="T36" s="17"/>
    </row>
    <row r="37" spans="1:20" x14ac:dyDescent="0.25">
      <c r="A37" s="16"/>
      <c r="B37" s="16"/>
      <c r="C37" s="17"/>
      <c r="D37" s="17"/>
      <c r="E37" s="17"/>
      <c r="F37" s="17"/>
      <c r="G37" s="16"/>
      <c r="H37" s="16"/>
      <c r="I37" s="16"/>
      <c r="J37" s="17"/>
      <c r="K37" s="17"/>
      <c r="L37" s="17"/>
      <c r="M37" s="17"/>
      <c r="N37" s="16"/>
      <c r="O37" s="16"/>
      <c r="P37" s="16"/>
      <c r="Q37" s="17"/>
      <c r="R37" s="17"/>
      <c r="S37" s="17"/>
      <c r="T37" s="17"/>
    </row>
    <row r="39" spans="1:20" ht="15.75" x14ac:dyDescent="0.25">
      <c r="A39" s="2" t="s">
        <v>74</v>
      </c>
      <c r="H39" s="2" t="s">
        <v>74</v>
      </c>
      <c r="O39" s="2" t="s">
        <v>74</v>
      </c>
    </row>
    <row r="40" spans="1:20" ht="15.75" x14ac:dyDescent="0.25">
      <c r="A40" s="16" t="s">
        <v>59</v>
      </c>
      <c r="B40" s="21" t="s">
        <v>62</v>
      </c>
      <c r="C40" s="16" t="s">
        <v>82</v>
      </c>
      <c r="D40" s="16" t="s">
        <v>64</v>
      </c>
      <c r="E40" s="16" t="s">
        <v>63</v>
      </c>
      <c r="F40" s="16" t="s">
        <v>18</v>
      </c>
      <c r="G40" s="16"/>
      <c r="H40" s="16" t="s">
        <v>12</v>
      </c>
      <c r="I40" s="21" t="s">
        <v>62</v>
      </c>
      <c r="J40" s="16" t="s">
        <v>82</v>
      </c>
      <c r="K40" s="16" t="s">
        <v>64</v>
      </c>
      <c r="L40" s="16" t="s">
        <v>63</v>
      </c>
      <c r="M40" s="16" t="s">
        <v>18</v>
      </c>
      <c r="N40" s="16"/>
      <c r="O40" s="16" t="s">
        <v>13</v>
      </c>
      <c r="P40" s="21" t="s">
        <v>62</v>
      </c>
      <c r="Q40" s="16" t="s">
        <v>82</v>
      </c>
      <c r="R40" s="16" t="s">
        <v>64</v>
      </c>
      <c r="S40" s="16" t="s">
        <v>63</v>
      </c>
      <c r="T40" s="16" t="s">
        <v>18</v>
      </c>
    </row>
    <row r="41" spans="1:20" x14ac:dyDescent="0.25">
      <c r="A41" s="16" t="s">
        <v>0</v>
      </c>
      <c r="B41" s="16" t="s">
        <v>1</v>
      </c>
      <c r="C41" s="17">
        <v>34660</v>
      </c>
      <c r="D41" s="17">
        <v>32201</v>
      </c>
      <c r="E41" s="17">
        <v>32603</v>
      </c>
      <c r="F41" s="17">
        <f>AVERAGE(Table143690117171198152153[[#This Row],[Teste 1]:[Teste 3]])</f>
        <v>33154.666666666664</v>
      </c>
      <c r="G41" s="16"/>
      <c r="H41" s="16" t="s">
        <v>0</v>
      </c>
      <c r="I41" s="16" t="s">
        <v>1</v>
      </c>
      <c r="J41" s="17">
        <v>23410</v>
      </c>
      <c r="K41" s="17">
        <v>22246</v>
      </c>
      <c r="L41" s="17">
        <v>22096</v>
      </c>
      <c r="M41" s="17">
        <f>AVERAGE(Table143690117171198152153165[[#This Row],[Teste 1]:[Teste 3]])</f>
        <v>22584</v>
      </c>
      <c r="N41" s="16"/>
      <c r="O41" s="16" t="s">
        <v>0</v>
      </c>
      <c r="P41" s="16" t="s">
        <v>1</v>
      </c>
      <c r="Q41" s="17">
        <v>14018</v>
      </c>
      <c r="R41" s="17">
        <v>13321</v>
      </c>
      <c r="S41" s="17">
        <v>13231</v>
      </c>
      <c r="T41" s="17">
        <f>AVERAGE(Table143690117171198152153177[[#This Row],[Teste 1]:[Teste 3]])</f>
        <v>13523.333333333334</v>
      </c>
    </row>
    <row r="42" spans="1:20" x14ac:dyDescent="0.25">
      <c r="A42" s="16" t="s">
        <v>0</v>
      </c>
      <c r="B42" s="16" t="s">
        <v>2</v>
      </c>
      <c r="C42" s="17">
        <v>2885.17022504327</v>
      </c>
      <c r="D42" s="17">
        <v>3105.4936182106098</v>
      </c>
      <c r="E42" s="17">
        <v>3023.0078901403299</v>
      </c>
      <c r="F42" s="17">
        <f>AVERAGE(Table143690117171198152153[[#This Row],[Teste 1]:[Teste 3]])</f>
        <v>3004.5572444647369</v>
      </c>
      <c r="G42" s="16"/>
      <c r="H42" s="16" t="s">
        <v>0</v>
      </c>
      <c r="I42" s="16" t="s">
        <v>2</v>
      </c>
      <c r="J42" s="17">
        <v>4272</v>
      </c>
      <c r="K42" s="17">
        <v>4495</v>
      </c>
      <c r="L42" s="17">
        <v>4526</v>
      </c>
      <c r="M42" s="17">
        <f>AVERAGE(Table143690117171198152153165[[#This Row],[Teste 1]:[Teste 3]])</f>
        <v>4431</v>
      </c>
      <c r="N42" s="16"/>
      <c r="O42" s="16" t="s">
        <v>0</v>
      </c>
      <c r="P42" s="16" t="s">
        <v>2</v>
      </c>
      <c r="Q42" s="17">
        <v>7133.6852618062403</v>
      </c>
      <c r="R42" s="17">
        <v>7506.9439231288898</v>
      </c>
      <c r="S42" s="17">
        <v>7558.0077091678604</v>
      </c>
      <c r="T42" s="17">
        <f>AVERAGE(Table143690117171198152153177[[#This Row],[Teste 1]:[Teste 3]])</f>
        <v>7399.5456313676632</v>
      </c>
    </row>
    <row r="43" spans="1:20" x14ac:dyDescent="0.25">
      <c r="A43" s="16" t="s">
        <v>16</v>
      </c>
      <c r="B43" s="16" t="s">
        <v>4</v>
      </c>
      <c r="C43" s="17">
        <v>100000</v>
      </c>
      <c r="D43" s="17">
        <v>100000</v>
      </c>
      <c r="E43" s="17">
        <v>100000</v>
      </c>
      <c r="F43" s="17">
        <f>AVERAGE(Table143690117171198152153[[#This Row],[Teste 1]:[Teste 3]])</f>
        <v>100000</v>
      </c>
      <c r="G43" s="16"/>
      <c r="H43" s="16" t="s">
        <v>16</v>
      </c>
      <c r="I43" s="16" t="s">
        <v>4</v>
      </c>
      <c r="J43" s="17">
        <v>100000</v>
      </c>
      <c r="K43" s="17">
        <v>100000</v>
      </c>
      <c r="L43" s="17">
        <v>100000</v>
      </c>
      <c r="M43" s="17">
        <f>AVERAGE(Table143690117171198152153165[[#This Row],[Teste 1]:[Teste 3]])</f>
        <v>100000</v>
      </c>
      <c r="N43" s="16"/>
      <c r="O43" s="16" t="s">
        <v>16</v>
      </c>
      <c r="P43" s="16" t="s">
        <v>4</v>
      </c>
      <c r="Q43" s="17">
        <v>100000</v>
      </c>
      <c r="R43" s="17">
        <v>100000</v>
      </c>
      <c r="S43" s="17">
        <v>100000</v>
      </c>
      <c r="T43" s="17">
        <f>AVERAGE(Table143690117171198152153177[[#This Row],[Teste 1]:[Teste 3]])</f>
        <v>100000</v>
      </c>
    </row>
    <row r="44" spans="1:20" x14ac:dyDescent="0.25">
      <c r="A44" s="16" t="s">
        <v>16</v>
      </c>
      <c r="B44" s="16" t="s">
        <v>5</v>
      </c>
      <c r="C44" s="17">
        <v>638.58984999999996</v>
      </c>
      <c r="D44" s="17">
        <v>585.55724999999995</v>
      </c>
      <c r="E44" s="17">
        <v>302.84030999999999</v>
      </c>
      <c r="F44" s="17">
        <f>AVERAGE(Table143690117171198152153[[#This Row],[Teste 1]:[Teste 3]])</f>
        <v>508.9958033333333</v>
      </c>
      <c r="G44" s="16"/>
      <c r="H44" s="16" t="s">
        <v>16</v>
      </c>
      <c r="I44" s="16" t="s">
        <v>5</v>
      </c>
      <c r="J44" s="17">
        <v>349.94</v>
      </c>
      <c r="K44" s="17">
        <v>353.02</v>
      </c>
      <c r="L44" s="17">
        <v>335.49</v>
      </c>
      <c r="M44" s="17">
        <f>AVERAGE(Table143690117171198152153165[[#This Row],[Teste 1]:[Teste 3]])</f>
        <v>346.15000000000003</v>
      </c>
      <c r="N44" s="16"/>
      <c r="O44" s="16" t="s">
        <v>16</v>
      </c>
      <c r="P44" s="16" t="s">
        <v>5</v>
      </c>
      <c r="Q44" s="17">
        <v>209.54510999999999</v>
      </c>
      <c r="R44" s="17">
        <v>211.38624999999999</v>
      </c>
      <c r="S44" s="17">
        <v>200.89463000000001</v>
      </c>
      <c r="T44" s="17">
        <f>AVERAGE(Table143690117171198152153177[[#This Row],[Teste 1]:[Teste 3]])</f>
        <v>207.27533000000003</v>
      </c>
    </row>
    <row r="45" spans="1:20" x14ac:dyDescent="0.25">
      <c r="A45" s="16" t="s">
        <v>16</v>
      </c>
      <c r="B45" s="16" t="s">
        <v>6</v>
      </c>
      <c r="C45" s="17">
        <v>167</v>
      </c>
      <c r="D45" s="17">
        <v>112</v>
      </c>
      <c r="E45" s="17">
        <v>81</v>
      </c>
      <c r="F45" s="17">
        <f>AVERAGE(Table143690117171198152153[[#This Row],[Teste 1]:[Teste 3]])</f>
        <v>120</v>
      </c>
      <c r="G45" s="16"/>
      <c r="H45" s="16" t="s">
        <v>16</v>
      </c>
      <c r="I45" s="16" t="s">
        <v>6</v>
      </c>
      <c r="J45" s="17">
        <v>177</v>
      </c>
      <c r="K45" s="17">
        <v>160</v>
      </c>
      <c r="L45" s="17">
        <v>182</v>
      </c>
      <c r="M45" s="17">
        <f>AVERAGE(Table143690117171198152153165[[#This Row],[Teste 1]:[Teste 3]])</f>
        <v>173</v>
      </c>
      <c r="N45" s="16"/>
      <c r="O45" s="16" t="s">
        <v>16</v>
      </c>
      <c r="P45" s="16" t="s">
        <v>6</v>
      </c>
      <c r="Q45" s="17">
        <v>106</v>
      </c>
      <c r="R45" s="17">
        <v>96</v>
      </c>
      <c r="S45" s="17">
        <v>109</v>
      </c>
      <c r="T45" s="17">
        <f>AVERAGE(Table143690117171198152153177[[#This Row],[Teste 1]:[Teste 3]])</f>
        <v>103.66666666666667</v>
      </c>
    </row>
    <row r="46" spans="1:20" x14ac:dyDescent="0.25">
      <c r="A46" s="16" t="s">
        <v>16</v>
      </c>
      <c r="B46" s="16" t="s">
        <v>7</v>
      </c>
      <c r="C46" s="17">
        <v>130943</v>
      </c>
      <c r="D46" s="17">
        <v>52383</v>
      </c>
      <c r="E46" s="17">
        <v>73791</v>
      </c>
      <c r="F46" s="17">
        <f>AVERAGE(Table143690117171198152153[[#This Row],[Teste 1]:[Teste 3]])</f>
        <v>85705.666666666672</v>
      </c>
      <c r="G46" s="16"/>
      <c r="H46" s="16" t="s">
        <v>16</v>
      </c>
      <c r="I46" s="16" t="s">
        <v>7</v>
      </c>
      <c r="J46" s="17">
        <v>1086754</v>
      </c>
      <c r="K46" s="17">
        <v>1061103</v>
      </c>
      <c r="L46" s="17">
        <v>1062109.21</v>
      </c>
      <c r="M46" s="17">
        <f>AVERAGE(Table143690117171198152153165[[#This Row],[Teste 1]:[Teste 3]])</f>
        <v>1069988.7366666666</v>
      </c>
      <c r="N46" s="16"/>
      <c r="O46" s="16" t="s">
        <v>16</v>
      </c>
      <c r="P46" s="16" t="s">
        <v>7</v>
      </c>
      <c r="Q46" s="17">
        <v>650751</v>
      </c>
      <c r="R46" s="17">
        <v>635391</v>
      </c>
      <c r="S46" s="17">
        <v>35263</v>
      </c>
      <c r="T46" s="17">
        <f>AVERAGE(Table143690117171198152153177[[#This Row],[Teste 1]:[Teste 3]])</f>
        <v>440468.33333333331</v>
      </c>
    </row>
    <row r="47" spans="1:20" x14ac:dyDescent="0.25">
      <c r="A47" s="16" t="s">
        <v>16</v>
      </c>
      <c r="B47" s="16" t="s">
        <v>8</v>
      </c>
      <c r="C47" s="17">
        <v>1141</v>
      </c>
      <c r="D47" s="17">
        <v>1045</v>
      </c>
      <c r="E47" s="17">
        <v>595</v>
      </c>
      <c r="F47" s="17">
        <f>AVERAGE(Table143690117171198152153[[#This Row],[Teste 1]:[Teste 3]])</f>
        <v>927</v>
      </c>
      <c r="G47" s="16"/>
      <c r="H47" s="16" t="s">
        <v>16</v>
      </c>
      <c r="I47" s="16" t="s">
        <v>8</v>
      </c>
      <c r="J47" s="17">
        <v>513</v>
      </c>
      <c r="K47" s="17">
        <v>496</v>
      </c>
      <c r="L47" s="17">
        <v>494</v>
      </c>
      <c r="M47" s="17">
        <f>AVERAGE(Table143690117171198152153165[[#This Row],[Teste 1]:[Teste 3]])</f>
        <v>501</v>
      </c>
      <c r="N47" s="16"/>
      <c r="O47" s="16" t="s">
        <v>16</v>
      </c>
      <c r="P47" s="16" t="s">
        <v>8</v>
      </c>
      <c r="Q47" s="17">
        <v>307</v>
      </c>
      <c r="R47" s="17">
        <v>297</v>
      </c>
      <c r="S47" s="17">
        <v>296</v>
      </c>
      <c r="T47" s="17">
        <f>AVERAGE(Table143690117171198152153177[[#This Row],[Teste 1]:[Teste 3]])</f>
        <v>300</v>
      </c>
    </row>
    <row r="48" spans="1:20" x14ac:dyDescent="0.25">
      <c r="A48" s="16" t="s">
        <v>16</v>
      </c>
      <c r="B48" s="16" t="s">
        <v>9</v>
      </c>
      <c r="C48" s="17">
        <v>2203</v>
      </c>
      <c r="D48" s="17">
        <v>1886</v>
      </c>
      <c r="E48" s="17">
        <v>1094</v>
      </c>
      <c r="F48" s="17">
        <f>AVERAGE(Table143690117171198152153[[#This Row],[Teste 1]:[Teste 3]])</f>
        <v>1727.6666666666667</v>
      </c>
      <c r="G48" s="16"/>
      <c r="H48" s="16" t="s">
        <v>16</v>
      </c>
      <c r="I48" s="16" t="s">
        <v>9</v>
      </c>
      <c r="J48" s="17">
        <v>942</v>
      </c>
      <c r="K48" s="17">
        <v>830</v>
      </c>
      <c r="L48" s="17">
        <v>854</v>
      </c>
      <c r="M48" s="17">
        <f>AVERAGE(Table143690117171198152153165[[#This Row],[Teste 1]:[Teste 3]])</f>
        <v>875.33333333333337</v>
      </c>
      <c r="N48" s="16"/>
      <c r="O48" s="16" t="s">
        <v>16</v>
      </c>
      <c r="P48" s="16" t="s">
        <v>9</v>
      </c>
      <c r="Q48" s="17">
        <v>564</v>
      </c>
      <c r="R48" s="17">
        <v>497</v>
      </c>
      <c r="S48" s="17">
        <v>511</v>
      </c>
      <c r="T48" s="17">
        <f>AVERAGE(Table143690117171198152153177[[#This Row],[Teste 1]:[Teste 3]])</f>
        <v>524</v>
      </c>
    </row>
    <row r="49" spans="1:20" x14ac:dyDescent="0.25">
      <c r="A49" s="16" t="s">
        <v>16</v>
      </c>
      <c r="B49" s="16" t="s">
        <v>11</v>
      </c>
      <c r="C49" s="17">
        <v>100000</v>
      </c>
      <c r="D49" s="17">
        <v>100000</v>
      </c>
      <c r="E49" s="17">
        <v>100000</v>
      </c>
      <c r="F49" s="17">
        <f>AVERAGE(Table143690117171198152153[[#This Row],[Teste 1]:[Teste 3]])</f>
        <v>100000</v>
      </c>
      <c r="G49" s="16"/>
      <c r="H49" s="16" t="s">
        <v>16</v>
      </c>
      <c r="I49" s="16" t="s">
        <v>11</v>
      </c>
      <c r="J49" s="17">
        <v>100000</v>
      </c>
      <c r="K49" s="17">
        <v>100000</v>
      </c>
      <c r="L49" s="17">
        <v>100000</v>
      </c>
      <c r="M49" s="17">
        <f>AVERAGE(Table143690117171198152153165[[#This Row],[Teste 1]:[Teste 3]])</f>
        <v>100000</v>
      </c>
      <c r="N49" s="16"/>
      <c r="O49" s="16" t="s">
        <v>16</v>
      </c>
      <c r="P49" s="16" t="s">
        <v>11</v>
      </c>
      <c r="Q49" s="17">
        <v>100000</v>
      </c>
      <c r="R49" s="17">
        <v>100000</v>
      </c>
      <c r="S49" s="17">
        <v>100000</v>
      </c>
      <c r="T49" s="17">
        <f>AVERAGE(Table143690117171198152153177[[#This Row],[Teste 1]:[Teste 3]])</f>
        <v>100000</v>
      </c>
    </row>
    <row r="50" spans="1:20" x14ac:dyDescent="0.25">
      <c r="A50" s="16" t="s">
        <v>72</v>
      </c>
      <c r="B50" s="16" t="s">
        <v>4</v>
      </c>
      <c r="C50" s="17">
        <v>49632</v>
      </c>
      <c r="D50" s="17">
        <v>49794</v>
      </c>
      <c r="E50" s="17">
        <v>50037</v>
      </c>
      <c r="F50" s="17">
        <f>AVERAGE(Table143690117171198152153[[#This Row],[Teste 1]:[Teste 3]])</f>
        <v>49821</v>
      </c>
      <c r="G50" s="16"/>
      <c r="H50" s="16" t="s">
        <v>72</v>
      </c>
      <c r="I50" s="16" t="s">
        <v>4</v>
      </c>
      <c r="J50" s="17">
        <v>49838</v>
      </c>
      <c r="K50" s="17">
        <v>49967</v>
      </c>
      <c r="L50" s="17">
        <v>50019</v>
      </c>
      <c r="M50" s="17">
        <f>AVERAGE(Table143690117171198152153165[[#This Row],[Teste 1]:[Teste 3]])</f>
        <v>49941.333333333336</v>
      </c>
      <c r="N50" s="16"/>
      <c r="O50" s="16" t="s">
        <v>72</v>
      </c>
      <c r="P50" s="16" t="s">
        <v>4</v>
      </c>
      <c r="Q50" s="17">
        <v>50008</v>
      </c>
      <c r="R50" s="17">
        <v>49954</v>
      </c>
      <c r="S50" s="17">
        <v>50125</v>
      </c>
      <c r="T50" s="17">
        <f>AVERAGE(Table143690117171198152153177[[#This Row],[Teste 1]:[Teste 3]])</f>
        <v>50029</v>
      </c>
    </row>
    <row r="51" spans="1:20" x14ac:dyDescent="0.25">
      <c r="A51" s="16" t="s">
        <v>72</v>
      </c>
      <c r="B51" s="16" t="s">
        <v>5</v>
      </c>
      <c r="C51" s="17">
        <v>1303.4740691489301</v>
      </c>
      <c r="D51" s="17">
        <v>1208.4920070691201</v>
      </c>
      <c r="E51" s="17">
        <v>628.41187521234201</v>
      </c>
      <c r="F51" s="17">
        <f>AVERAGE(Table143690117171198152153[[#This Row],[Teste 1]:[Teste 3]])</f>
        <v>1046.7926504767975</v>
      </c>
      <c r="G51" s="16"/>
      <c r="H51" s="16" t="s">
        <v>72</v>
      </c>
      <c r="I51" s="16" t="s">
        <v>5</v>
      </c>
      <c r="J51" s="17">
        <v>932.97</v>
      </c>
      <c r="K51" s="17">
        <v>896.02</v>
      </c>
      <c r="L51" s="17">
        <v>898.53</v>
      </c>
      <c r="M51" s="17">
        <f>AVERAGE(Table143690117171198152153165[[#This Row],[Teste 1]:[Teste 3]])</f>
        <v>909.17333333333329</v>
      </c>
      <c r="N51" s="16"/>
      <c r="O51" s="16" t="s">
        <v>72</v>
      </c>
      <c r="P51" s="16" t="s">
        <v>5</v>
      </c>
      <c r="Q51" s="17">
        <v>558.66201407774702</v>
      </c>
      <c r="R51" s="17">
        <v>536.53663370300603</v>
      </c>
      <c r="S51" s="17">
        <v>538.04079800498698</v>
      </c>
      <c r="T51" s="17">
        <f>AVERAGE(Table143690117171198152153177[[#This Row],[Teste 1]:[Teste 3]])</f>
        <v>544.41314859524675</v>
      </c>
    </row>
    <row r="52" spans="1:20" x14ac:dyDescent="0.25">
      <c r="A52" s="16" t="s">
        <v>72</v>
      </c>
      <c r="B52" s="16" t="s">
        <v>6</v>
      </c>
      <c r="C52" s="17">
        <v>461</v>
      </c>
      <c r="D52" s="17">
        <v>342</v>
      </c>
      <c r="E52" s="17">
        <v>204</v>
      </c>
      <c r="F52" s="17">
        <f>AVERAGE(Table143690117171198152153[[#This Row],[Teste 1]:[Teste 3]])</f>
        <v>335.66666666666669</v>
      </c>
      <c r="G52" s="16"/>
      <c r="H52" s="16" t="s">
        <v>72</v>
      </c>
      <c r="I52" s="16" t="s">
        <v>6</v>
      </c>
      <c r="J52" s="17">
        <v>548</v>
      </c>
      <c r="K52" s="17">
        <v>509</v>
      </c>
      <c r="L52" s="17">
        <v>533</v>
      </c>
      <c r="M52" s="17">
        <f>AVERAGE(Table143690117171198152153165[[#This Row],[Teste 1]:[Teste 3]])</f>
        <v>530</v>
      </c>
      <c r="N52" s="16"/>
      <c r="O52" s="16" t="s">
        <v>72</v>
      </c>
      <c r="P52" s="16" t="s">
        <v>6</v>
      </c>
      <c r="Q52" s="17">
        <v>328</v>
      </c>
      <c r="R52" s="17">
        <v>305</v>
      </c>
      <c r="S52" s="17">
        <v>319</v>
      </c>
      <c r="T52" s="17">
        <f>AVERAGE(Table143690117171198152153177[[#This Row],[Teste 1]:[Teste 3]])</f>
        <v>317.33333333333331</v>
      </c>
    </row>
    <row r="53" spans="1:20" x14ac:dyDescent="0.25">
      <c r="A53" s="16" t="s">
        <v>72</v>
      </c>
      <c r="B53" s="16" t="s">
        <v>7</v>
      </c>
      <c r="C53" s="17">
        <v>126783</v>
      </c>
      <c r="D53" s="17">
        <v>101503</v>
      </c>
      <c r="E53" s="17">
        <v>38815</v>
      </c>
      <c r="F53" s="17">
        <f>AVERAGE(Table143690117171198152153[[#This Row],[Teste 1]:[Teste 3]])</f>
        <v>89033.666666666672</v>
      </c>
      <c r="G53" s="16"/>
      <c r="H53" s="16" t="s">
        <v>72</v>
      </c>
      <c r="I53" s="16" t="s">
        <v>7</v>
      </c>
      <c r="J53" s="17">
        <v>1090174</v>
      </c>
      <c r="K53" s="17">
        <v>1055973</v>
      </c>
      <c r="L53" s="17">
        <v>1065379</v>
      </c>
      <c r="M53" s="17">
        <f>AVERAGE(Table143690117171198152153165[[#This Row],[Teste 1]:[Teste 3]])</f>
        <v>1070508.6666666667</v>
      </c>
      <c r="N53" s="16"/>
      <c r="O53" s="16" t="s">
        <v>72</v>
      </c>
      <c r="P53" s="16" t="s">
        <v>7</v>
      </c>
      <c r="Q53" s="17">
        <v>652799</v>
      </c>
      <c r="R53" s="17">
        <v>632319</v>
      </c>
      <c r="S53" s="17">
        <v>53119</v>
      </c>
      <c r="T53" s="17">
        <f>AVERAGE(Table143690117171198152153177[[#This Row],[Teste 1]:[Teste 3]])</f>
        <v>446079</v>
      </c>
    </row>
    <row r="54" spans="1:20" x14ac:dyDescent="0.25">
      <c r="A54" s="16" t="s">
        <v>72</v>
      </c>
      <c r="B54" s="16" t="s">
        <v>8</v>
      </c>
      <c r="C54" s="17">
        <v>2247</v>
      </c>
      <c r="D54" s="17">
        <v>2035</v>
      </c>
      <c r="E54" s="17">
        <v>1186</v>
      </c>
      <c r="F54" s="17">
        <f>AVERAGE(Table143690117171198152153[[#This Row],[Teste 1]:[Teste 3]])</f>
        <v>1822.6666666666667</v>
      </c>
      <c r="G54" s="16"/>
      <c r="H54" s="16" t="s">
        <v>72</v>
      </c>
      <c r="I54" s="16" t="s">
        <v>8</v>
      </c>
      <c r="J54" s="17">
        <v>1356</v>
      </c>
      <c r="K54" s="17">
        <v>1296</v>
      </c>
      <c r="L54" s="17">
        <v>1291</v>
      </c>
      <c r="M54" s="17">
        <f>AVERAGE(Table143690117171198152153165[[#This Row],[Teste 1]:[Teste 3]])</f>
        <v>1314.3333333333333</v>
      </c>
      <c r="N54" s="16"/>
      <c r="O54" s="16" t="s">
        <v>72</v>
      </c>
      <c r="P54" s="16" t="s">
        <v>8</v>
      </c>
      <c r="Q54" s="17">
        <v>812</v>
      </c>
      <c r="R54" s="17">
        <v>776</v>
      </c>
      <c r="S54" s="17">
        <v>773</v>
      </c>
      <c r="T54" s="17">
        <f>AVERAGE(Table143690117171198152153177[[#This Row],[Teste 1]:[Teste 3]])</f>
        <v>787</v>
      </c>
    </row>
    <row r="55" spans="1:20" x14ac:dyDescent="0.25">
      <c r="A55" s="16" t="s">
        <v>72</v>
      </c>
      <c r="B55" s="16" t="s">
        <v>9</v>
      </c>
      <c r="C55" s="17">
        <v>4803</v>
      </c>
      <c r="D55" s="17">
        <v>4027</v>
      </c>
      <c r="E55" s="17">
        <v>2235</v>
      </c>
      <c r="F55" s="17">
        <f>AVERAGE(Table143690117171198152153[[#This Row],[Teste 1]:[Teste 3]])</f>
        <v>3688.3333333333335</v>
      </c>
      <c r="G55" s="16"/>
      <c r="H55" s="16" t="s">
        <v>72</v>
      </c>
      <c r="I55" s="16" t="s">
        <v>9</v>
      </c>
      <c r="J55" s="17">
        <v>2198</v>
      </c>
      <c r="K55" s="17">
        <v>2039</v>
      </c>
      <c r="L55" s="17">
        <v>2012</v>
      </c>
      <c r="M55" s="17">
        <f>AVERAGE(Table143690117171198152153165[[#This Row],[Teste 1]:[Teste 3]])</f>
        <v>2083</v>
      </c>
      <c r="N55" s="16"/>
      <c r="O55" s="16" t="s">
        <v>72</v>
      </c>
      <c r="P55" s="16" t="s">
        <v>9</v>
      </c>
      <c r="Q55" s="17">
        <v>1316</v>
      </c>
      <c r="R55" s="17">
        <v>1221</v>
      </c>
      <c r="S55" s="17">
        <v>1205</v>
      </c>
      <c r="T55" s="17">
        <f>AVERAGE(Table143690117171198152153177[[#This Row],[Teste 1]:[Teste 3]])</f>
        <v>1247.3333333333333</v>
      </c>
    </row>
    <row r="56" spans="1:20" x14ac:dyDescent="0.25">
      <c r="A56" s="16" t="s">
        <v>3</v>
      </c>
      <c r="B56" s="16" t="s">
        <v>4</v>
      </c>
      <c r="C56" s="17">
        <v>3</v>
      </c>
      <c r="D56" s="17">
        <v>3</v>
      </c>
      <c r="E56" s="17">
        <v>3</v>
      </c>
      <c r="F56" s="17">
        <f>AVERAGE(Table143690117171198152153[[#This Row],[Teste 1]:[Teste 3]])</f>
        <v>3</v>
      </c>
      <c r="G56" s="16"/>
      <c r="H56" s="16" t="s">
        <v>3</v>
      </c>
      <c r="I56" s="16" t="s">
        <v>4</v>
      </c>
      <c r="J56" s="17">
        <v>3</v>
      </c>
      <c r="K56" s="17">
        <v>3</v>
      </c>
      <c r="L56" s="17">
        <v>3</v>
      </c>
      <c r="M56" s="17">
        <f>AVERAGE(Table143690117171198152153165[[#This Row],[Teste 1]:[Teste 3]])</f>
        <v>3</v>
      </c>
      <c r="N56" s="16"/>
      <c r="O56" s="16" t="s">
        <v>3</v>
      </c>
      <c r="P56" s="16" t="s">
        <v>4</v>
      </c>
      <c r="Q56" s="17">
        <v>3</v>
      </c>
      <c r="R56" s="17">
        <v>3</v>
      </c>
      <c r="S56" s="17">
        <v>3</v>
      </c>
      <c r="T56" s="17">
        <f>AVERAGE(Table143690117171198152153177[[#This Row],[Teste 1]:[Teste 3]])</f>
        <v>3</v>
      </c>
    </row>
    <row r="57" spans="1:20" x14ac:dyDescent="0.25">
      <c r="A57" s="16" t="s">
        <v>3</v>
      </c>
      <c r="B57" s="16" t="s">
        <v>5</v>
      </c>
      <c r="C57" s="17">
        <v>9.6666666666666607</v>
      </c>
      <c r="D57" s="17">
        <v>5</v>
      </c>
      <c r="E57" s="17">
        <v>3.3333333333333299</v>
      </c>
      <c r="F57" s="17">
        <f>AVERAGE(Table143690117171198152153[[#This Row],[Teste 1]:[Teste 3]])</f>
        <v>5.9999999999999964</v>
      </c>
      <c r="G57" s="16"/>
      <c r="H57" s="16" t="s">
        <v>3</v>
      </c>
      <c r="I57" s="16" t="s">
        <v>5</v>
      </c>
      <c r="J57" s="17">
        <v>3.33</v>
      </c>
      <c r="K57" s="17">
        <v>1.33</v>
      </c>
      <c r="L57" s="17">
        <v>1.33</v>
      </c>
      <c r="M57" s="17">
        <f>AVERAGE(Table143690117171198152153165[[#This Row],[Teste 1]:[Teste 3]])</f>
        <v>1.9966666666666668</v>
      </c>
      <c r="N57" s="16"/>
      <c r="O57" s="16" t="s">
        <v>3</v>
      </c>
      <c r="P57" s="16" t="s">
        <v>5</v>
      </c>
      <c r="Q57" s="17">
        <v>395.33333333333297</v>
      </c>
      <c r="R57" s="17">
        <v>673.33333333333303</v>
      </c>
      <c r="S57" s="17">
        <v>456</v>
      </c>
      <c r="T57" s="17">
        <f>AVERAGE(Table143690117171198152153177[[#This Row],[Teste 1]:[Teste 3]])</f>
        <v>508.222222222222</v>
      </c>
    </row>
    <row r="58" spans="1:20" x14ac:dyDescent="0.25">
      <c r="A58" s="16" t="s">
        <v>3</v>
      </c>
      <c r="B58" s="16" t="s">
        <v>6</v>
      </c>
      <c r="C58" s="17">
        <v>1</v>
      </c>
      <c r="D58" s="17">
        <v>1</v>
      </c>
      <c r="E58" s="17">
        <v>1</v>
      </c>
      <c r="F58" s="17">
        <f>AVERAGE(Table143690117171198152153[[#This Row],[Teste 1]:[Teste 3]])</f>
        <v>1</v>
      </c>
      <c r="G58" s="16"/>
      <c r="H58" s="16" t="s">
        <v>3</v>
      </c>
      <c r="I58" s="16" t="s">
        <v>6</v>
      </c>
      <c r="J58" s="17">
        <v>2</v>
      </c>
      <c r="K58" s="17">
        <v>2</v>
      </c>
      <c r="L58" s="17">
        <v>2</v>
      </c>
      <c r="M58" s="17">
        <f>AVERAGE(Table143690117171198152153165[[#This Row],[Teste 1]:[Teste 3]])</f>
        <v>2</v>
      </c>
      <c r="N58" s="16"/>
      <c r="O58" s="16" t="s">
        <v>3</v>
      </c>
      <c r="P58" s="16" t="s">
        <v>6</v>
      </c>
      <c r="Q58" s="17">
        <v>2</v>
      </c>
      <c r="R58" s="17">
        <v>3</v>
      </c>
      <c r="S58" s="17">
        <v>2</v>
      </c>
      <c r="T58" s="17">
        <f>AVERAGE(Table143690117171198152153177[[#This Row],[Teste 1]:[Teste 3]])</f>
        <v>2.3333333333333335</v>
      </c>
    </row>
    <row r="59" spans="1:20" x14ac:dyDescent="0.25">
      <c r="A59" s="16" t="s">
        <v>3</v>
      </c>
      <c r="B59" s="16" t="s">
        <v>7</v>
      </c>
      <c r="C59" s="17">
        <v>26</v>
      </c>
      <c r="D59" s="17">
        <v>13</v>
      </c>
      <c r="E59" s="17">
        <v>7</v>
      </c>
      <c r="F59" s="17">
        <f>AVERAGE(Table143690117171198152153[[#This Row],[Teste 1]:[Teste 3]])</f>
        <v>15.333333333333334</v>
      </c>
      <c r="G59" s="16"/>
      <c r="H59" s="16" t="s">
        <v>3</v>
      </c>
      <c r="I59" s="16" t="s">
        <v>7</v>
      </c>
      <c r="J59" s="17">
        <v>9</v>
      </c>
      <c r="K59" s="17">
        <v>7</v>
      </c>
      <c r="L59" s="17">
        <v>7</v>
      </c>
      <c r="M59" s="17">
        <f>AVERAGE(Table143690117171198152153165[[#This Row],[Teste 1]:[Teste 3]])</f>
        <v>7.666666666666667</v>
      </c>
      <c r="N59" s="16"/>
      <c r="O59" s="16" t="s">
        <v>3</v>
      </c>
      <c r="P59" s="16" t="s">
        <v>7</v>
      </c>
      <c r="Q59" s="17">
        <v>1170</v>
      </c>
      <c r="R59" s="17">
        <v>1999</v>
      </c>
      <c r="S59" s="17">
        <v>1356</v>
      </c>
      <c r="T59" s="17">
        <f>AVERAGE(Table143690117171198152153177[[#This Row],[Teste 1]:[Teste 3]])</f>
        <v>1508.3333333333333</v>
      </c>
    </row>
    <row r="60" spans="1:20" x14ac:dyDescent="0.25">
      <c r="A60" s="16" t="s">
        <v>3</v>
      </c>
      <c r="B60" s="16" t="s">
        <v>8</v>
      </c>
      <c r="C60" s="17">
        <v>26</v>
      </c>
      <c r="D60" s="17">
        <v>13</v>
      </c>
      <c r="E60" s="17">
        <v>7</v>
      </c>
      <c r="F60" s="17">
        <f>AVERAGE(Table143690117171198152153[[#This Row],[Teste 1]:[Teste 3]])</f>
        <v>15.333333333333334</v>
      </c>
      <c r="G60" s="16"/>
      <c r="H60" s="16" t="s">
        <v>3</v>
      </c>
      <c r="I60" s="16" t="s">
        <v>8</v>
      </c>
      <c r="J60" s="17">
        <v>9</v>
      </c>
      <c r="K60" s="17">
        <v>7</v>
      </c>
      <c r="L60" s="17">
        <v>7</v>
      </c>
      <c r="M60" s="17">
        <f>AVERAGE(Table143690117171198152153165[[#This Row],[Teste 1]:[Teste 3]])</f>
        <v>7.666666666666667</v>
      </c>
      <c r="N60" s="16"/>
      <c r="O60" s="16" t="s">
        <v>3</v>
      </c>
      <c r="P60" s="16" t="s">
        <v>8</v>
      </c>
      <c r="Q60" s="17">
        <v>1170</v>
      </c>
      <c r="R60" s="17">
        <v>1999</v>
      </c>
      <c r="S60" s="17">
        <v>1356</v>
      </c>
      <c r="T60" s="17">
        <f>AVERAGE(Table143690117171198152153177[[#This Row],[Teste 1]:[Teste 3]])</f>
        <v>1508.3333333333333</v>
      </c>
    </row>
    <row r="61" spans="1:20" x14ac:dyDescent="0.25">
      <c r="A61" s="16" t="s">
        <v>3</v>
      </c>
      <c r="B61" s="16" t="s">
        <v>9</v>
      </c>
      <c r="C61" s="17">
        <v>26</v>
      </c>
      <c r="D61" s="17">
        <v>13</v>
      </c>
      <c r="E61" s="17">
        <v>7</v>
      </c>
      <c r="F61" s="17">
        <f>AVERAGE(Table143690117171198152153[[#This Row],[Teste 1]:[Teste 3]])</f>
        <v>15.333333333333334</v>
      </c>
      <c r="G61" s="16"/>
      <c r="H61" s="16" t="s">
        <v>3</v>
      </c>
      <c r="I61" s="16" t="s">
        <v>9</v>
      </c>
      <c r="J61" s="17">
        <v>9</v>
      </c>
      <c r="K61" s="17">
        <v>7</v>
      </c>
      <c r="L61" s="17">
        <v>7</v>
      </c>
      <c r="M61" s="17">
        <f>AVERAGE(Table143690117171198152153165[[#This Row],[Teste 1]:[Teste 3]])</f>
        <v>7.666666666666667</v>
      </c>
      <c r="N61" s="16"/>
      <c r="O61" s="16" t="s">
        <v>3</v>
      </c>
      <c r="P61" s="16" t="s">
        <v>9</v>
      </c>
      <c r="Q61" s="17">
        <v>1170</v>
      </c>
      <c r="R61" s="17">
        <v>1999</v>
      </c>
      <c r="S61" s="17">
        <v>1356</v>
      </c>
      <c r="T61" s="17">
        <f>AVERAGE(Table143690117171198152153177[[#This Row],[Teste 1]:[Teste 3]])</f>
        <v>1508.3333333333333</v>
      </c>
    </row>
    <row r="62" spans="1:20" x14ac:dyDescent="0.25">
      <c r="A62" s="16" t="s">
        <v>17</v>
      </c>
      <c r="B62" s="16" t="s">
        <v>4</v>
      </c>
      <c r="C62" s="17">
        <v>49632</v>
      </c>
      <c r="D62" s="17">
        <v>49794</v>
      </c>
      <c r="E62" s="17">
        <v>50037</v>
      </c>
      <c r="F62" s="17">
        <f>AVERAGE(Table143690117171198152153[[#This Row],[Teste 1]:[Teste 3]])</f>
        <v>49821</v>
      </c>
      <c r="G62" s="16"/>
      <c r="H62" s="16" t="s">
        <v>17</v>
      </c>
      <c r="I62" s="16" t="s">
        <v>4</v>
      </c>
      <c r="J62" s="17">
        <v>49838</v>
      </c>
      <c r="K62" s="17">
        <v>49967</v>
      </c>
      <c r="L62" s="17">
        <v>50019</v>
      </c>
      <c r="M62" s="17">
        <f>AVERAGE(Table143690117171198152153165[[#This Row],[Teste 1]:[Teste 3]])</f>
        <v>49941.333333333336</v>
      </c>
      <c r="N62" s="16"/>
      <c r="O62" s="16" t="s">
        <v>17</v>
      </c>
      <c r="P62" s="16" t="s">
        <v>4</v>
      </c>
      <c r="Q62" s="17">
        <v>50008</v>
      </c>
      <c r="R62" s="17">
        <v>49954</v>
      </c>
      <c r="S62" s="17">
        <v>50125</v>
      </c>
      <c r="T62" s="17">
        <f>AVERAGE(Table143690117171198152153177[[#This Row],[Teste 1]:[Teste 3]])</f>
        <v>50029</v>
      </c>
    </row>
    <row r="63" spans="1:20" x14ac:dyDescent="0.25">
      <c r="A63" s="16" t="s">
        <v>17</v>
      </c>
      <c r="B63" s="16" t="s">
        <v>5</v>
      </c>
      <c r="C63" s="17">
        <v>656.02222356544098</v>
      </c>
      <c r="D63" s="17">
        <v>615.500923806081</v>
      </c>
      <c r="E63" s="17">
        <v>321.00705477946298</v>
      </c>
      <c r="F63" s="17">
        <f>AVERAGE(Table143690117171198152153[[#This Row],[Teste 1]:[Teste 3]])</f>
        <v>530.84340071699501</v>
      </c>
      <c r="G63" s="16"/>
      <c r="H63" s="16" t="s">
        <v>17</v>
      </c>
      <c r="I63" s="16" t="s">
        <v>5</v>
      </c>
      <c r="J63" s="17">
        <v>567.32000000000005</v>
      </c>
      <c r="K63" s="17">
        <v>528.91999999999996</v>
      </c>
      <c r="L63" s="17">
        <v>555.57000000000005</v>
      </c>
      <c r="M63" s="17">
        <f>AVERAGE(Table143690117171198152153165[[#This Row],[Teste 1]:[Teste 3]])</f>
        <v>550.60333333333335</v>
      </c>
      <c r="N63" s="16"/>
      <c r="O63" s="16" t="s">
        <v>17</v>
      </c>
      <c r="P63" s="16" t="s">
        <v>5</v>
      </c>
      <c r="Q63" s="17">
        <v>339.71346584546399</v>
      </c>
      <c r="R63" s="17">
        <v>316.716118829322</v>
      </c>
      <c r="S63" s="17">
        <v>332.67227930174499</v>
      </c>
      <c r="T63" s="17">
        <f>AVERAGE(Table143690117171198152153177[[#This Row],[Teste 1]:[Teste 3]])</f>
        <v>329.70062132551033</v>
      </c>
    </row>
    <row r="64" spans="1:20" x14ac:dyDescent="0.25">
      <c r="A64" s="16" t="s">
        <v>17</v>
      </c>
      <c r="B64" s="16" t="s">
        <v>6</v>
      </c>
      <c r="C64" s="17">
        <v>217</v>
      </c>
      <c r="D64" s="17">
        <v>159</v>
      </c>
      <c r="E64" s="17">
        <v>99</v>
      </c>
      <c r="F64" s="17">
        <f>AVERAGE(Table143690117171198152153[[#This Row],[Teste 1]:[Teste 3]])</f>
        <v>158.33333333333334</v>
      </c>
      <c r="G64" s="16"/>
      <c r="H64" s="16" t="s">
        <v>17</v>
      </c>
      <c r="I64" s="16" t="s">
        <v>6</v>
      </c>
      <c r="J64" s="17">
        <v>314</v>
      </c>
      <c r="K64" s="17">
        <v>297</v>
      </c>
      <c r="L64" s="17">
        <v>322</v>
      </c>
      <c r="M64" s="17">
        <f>AVERAGE(Table143690117171198152153165[[#This Row],[Teste 1]:[Teste 3]])</f>
        <v>311</v>
      </c>
      <c r="N64" s="16"/>
      <c r="O64" s="16" t="s">
        <v>17</v>
      </c>
      <c r="P64" s="16" t="s">
        <v>6</v>
      </c>
      <c r="Q64" s="17">
        <v>188</v>
      </c>
      <c r="R64" s="17">
        <v>178</v>
      </c>
      <c r="S64" s="17">
        <v>193</v>
      </c>
      <c r="T64" s="17">
        <f>AVERAGE(Table143690117171198152153177[[#This Row],[Teste 1]:[Teste 3]])</f>
        <v>186.33333333333334</v>
      </c>
    </row>
    <row r="65" spans="1:20" x14ac:dyDescent="0.25">
      <c r="A65" s="16" t="s">
        <v>17</v>
      </c>
      <c r="B65" s="16" t="s">
        <v>7</v>
      </c>
      <c r="C65" s="17">
        <v>98623</v>
      </c>
      <c r="D65" s="17">
        <v>98175</v>
      </c>
      <c r="E65" s="17">
        <v>27071</v>
      </c>
      <c r="F65" s="17">
        <f>AVERAGE(Table143690117171198152153[[#This Row],[Teste 1]:[Teste 3]])</f>
        <v>74623</v>
      </c>
      <c r="G65" s="16"/>
      <c r="H65" s="16" t="s">
        <v>17</v>
      </c>
      <c r="I65" s="16" t="s">
        <v>7</v>
      </c>
      <c r="J65" s="17">
        <v>17994</v>
      </c>
      <c r="K65" s="17">
        <v>17807</v>
      </c>
      <c r="L65" s="17">
        <v>17634</v>
      </c>
      <c r="M65" s="17">
        <f>AVERAGE(Table143690117171198152153165[[#This Row],[Teste 1]:[Teste 3]])</f>
        <v>17811.666666666668</v>
      </c>
      <c r="N65" s="16"/>
      <c r="O65" s="16" t="s">
        <v>17</v>
      </c>
      <c r="P65" s="16" t="s">
        <v>7</v>
      </c>
      <c r="Q65" s="17">
        <v>10775</v>
      </c>
      <c r="R65" s="17">
        <v>10663</v>
      </c>
      <c r="S65" s="17">
        <v>10559</v>
      </c>
      <c r="T65" s="17">
        <f>AVERAGE(Table143690117171198152153177[[#This Row],[Teste 1]:[Teste 3]])</f>
        <v>10665.666666666666</v>
      </c>
    </row>
    <row r="66" spans="1:20" x14ac:dyDescent="0.25">
      <c r="A66" s="16" t="s">
        <v>17</v>
      </c>
      <c r="B66" s="16" t="s">
        <v>8</v>
      </c>
      <c r="C66" s="17">
        <v>1197</v>
      </c>
      <c r="D66" s="17">
        <v>1084</v>
      </c>
      <c r="E66" s="17">
        <v>636</v>
      </c>
      <c r="F66" s="17">
        <f>AVERAGE(Table143690117171198152153[[#This Row],[Teste 1]:[Teste 3]])</f>
        <v>972.33333333333337</v>
      </c>
      <c r="G66" s="16"/>
      <c r="H66" s="16" t="s">
        <v>17</v>
      </c>
      <c r="I66" s="16" t="s">
        <v>8</v>
      </c>
      <c r="J66" s="17">
        <v>855</v>
      </c>
      <c r="K66" s="17">
        <v>820</v>
      </c>
      <c r="L66" s="17">
        <v>818</v>
      </c>
      <c r="M66" s="17">
        <f>AVERAGE(Table143690117171198152153165[[#This Row],[Teste 1]:[Teste 3]])</f>
        <v>831</v>
      </c>
      <c r="N66" s="16"/>
      <c r="O66" s="16" t="s">
        <v>17</v>
      </c>
      <c r="P66" s="16" t="s">
        <v>8</v>
      </c>
      <c r="Q66" s="17">
        <v>512</v>
      </c>
      <c r="R66" s="17">
        <v>491</v>
      </c>
      <c r="S66" s="17">
        <v>490</v>
      </c>
      <c r="T66" s="17">
        <f>AVERAGE(Table143690117171198152153177[[#This Row],[Teste 1]:[Teste 3]])</f>
        <v>497.66666666666669</v>
      </c>
    </row>
    <row r="67" spans="1:20" x14ac:dyDescent="0.25">
      <c r="A67" s="16" t="s">
        <v>17</v>
      </c>
      <c r="B67" s="16" t="s">
        <v>9</v>
      </c>
      <c r="C67" s="17">
        <v>2423</v>
      </c>
      <c r="D67" s="17">
        <v>2033</v>
      </c>
      <c r="E67" s="17">
        <v>1165</v>
      </c>
      <c r="F67" s="17">
        <f>AVERAGE(Table143690117171198152153[[#This Row],[Teste 1]:[Teste 3]])</f>
        <v>1873.6666666666667</v>
      </c>
      <c r="G67" s="16"/>
      <c r="H67" s="16" t="s">
        <v>17</v>
      </c>
      <c r="I67" s="16" t="s">
        <v>9</v>
      </c>
      <c r="J67" s="17">
        <v>1301</v>
      </c>
      <c r="K67" s="17">
        <v>1243</v>
      </c>
      <c r="L67" s="17">
        <v>1208</v>
      </c>
      <c r="M67" s="17">
        <f>AVERAGE(Table143690117171198152153165[[#This Row],[Teste 1]:[Teste 3]])</f>
        <v>1250.6666666666667</v>
      </c>
      <c r="N67" s="16"/>
      <c r="O67" s="16" t="s">
        <v>17</v>
      </c>
      <c r="P67" s="16" t="s">
        <v>9</v>
      </c>
      <c r="Q67" s="17">
        <v>779</v>
      </c>
      <c r="R67" s="17">
        <v>744</v>
      </c>
      <c r="S67" s="17">
        <v>723</v>
      </c>
      <c r="T67" s="17">
        <f>AVERAGE(Table143690117171198152153177[[#This Row],[Teste 1]:[Teste 3]])</f>
        <v>748.66666666666663</v>
      </c>
    </row>
    <row r="68" spans="1:20" x14ac:dyDescent="0.25">
      <c r="A68" s="16" t="s">
        <v>17</v>
      </c>
      <c r="B68" s="16" t="s">
        <v>11</v>
      </c>
      <c r="C68" s="17">
        <v>49632</v>
      </c>
      <c r="D68" s="17">
        <v>49794</v>
      </c>
      <c r="E68" s="17">
        <v>50037</v>
      </c>
      <c r="F68" s="17">
        <f>AVERAGE(Table143690117171198152153[[#This Row],[Teste 1]:[Teste 3]])</f>
        <v>49821</v>
      </c>
      <c r="G68" s="16"/>
      <c r="H68" s="16" t="s">
        <v>17</v>
      </c>
      <c r="I68" s="16" t="s">
        <v>11</v>
      </c>
      <c r="J68" s="17">
        <v>49838</v>
      </c>
      <c r="K68" s="17">
        <v>49967</v>
      </c>
      <c r="L68" s="17">
        <v>50019</v>
      </c>
      <c r="M68" s="17">
        <f>AVERAGE(Table143690117171198152153165[[#This Row],[Teste 1]:[Teste 3]])</f>
        <v>49941.333333333336</v>
      </c>
      <c r="N68" s="16"/>
      <c r="O68" s="16" t="s">
        <v>17</v>
      </c>
      <c r="P68" s="16" t="s">
        <v>11</v>
      </c>
      <c r="Q68" s="17">
        <v>50008</v>
      </c>
      <c r="R68" s="17">
        <v>49954</v>
      </c>
      <c r="S68" s="17">
        <v>50125</v>
      </c>
      <c r="T68" s="17">
        <f>AVERAGE(Table143690117171198152153177[[#This Row],[Teste 1]:[Teste 3]])</f>
        <v>50029</v>
      </c>
    </row>
    <row r="69" spans="1:20" x14ac:dyDescent="0.25">
      <c r="A69" s="16"/>
      <c r="B69" s="16"/>
      <c r="C69" s="17"/>
      <c r="D69" s="17"/>
      <c r="E69" s="17"/>
      <c r="F69" s="17"/>
      <c r="G69" s="16"/>
      <c r="H69" s="16"/>
      <c r="I69" s="16"/>
      <c r="J69" s="17"/>
      <c r="K69" s="17"/>
      <c r="L69" s="17"/>
      <c r="M69" s="17"/>
      <c r="N69" s="16"/>
      <c r="O69" s="16"/>
      <c r="P69" s="16"/>
      <c r="Q69" s="17"/>
      <c r="R69" s="17"/>
      <c r="S69" s="17"/>
      <c r="T69" s="17"/>
    </row>
    <row r="70" spans="1:20" x14ac:dyDescent="0.25">
      <c r="A70" s="16"/>
      <c r="B70" s="16"/>
      <c r="C70" s="17"/>
      <c r="D70" s="17"/>
      <c r="E70" s="17"/>
      <c r="F70" s="17"/>
      <c r="G70" s="16"/>
      <c r="H70" s="16"/>
      <c r="I70" s="16"/>
      <c r="J70" s="17"/>
      <c r="K70" s="17"/>
      <c r="L70" s="17"/>
      <c r="M70" s="17"/>
      <c r="N70" s="16"/>
      <c r="O70" s="16"/>
      <c r="P70" s="16"/>
      <c r="Q70" s="17"/>
      <c r="R70" s="17"/>
      <c r="S70" s="17"/>
      <c r="T70" s="17"/>
    </row>
    <row r="71" spans="1:20" x14ac:dyDescent="0.25">
      <c r="A71" s="16"/>
      <c r="B71" s="16"/>
      <c r="C71" s="17"/>
      <c r="D71" s="17"/>
      <c r="E71" s="17"/>
      <c r="F71" s="17"/>
      <c r="G71" s="16"/>
      <c r="H71" s="16"/>
      <c r="I71" s="16"/>
      <c r="J71" s="17"/>
      <c r="K71" s="17"/>
      <c r="L71" s="17"/>
      <c r="M71" s="17"/>
      <c r="N71" s="16"/>
      <c r="O71" s="16"/>
      <c r="P71" s="16"/>
      <c r="Q71" s="17"/>
      <c r="R71" s="17"/>
      <c r="S71" s="17"/>
      <c r="T71" s="17"/>
    </row>
    <row r="73" spans="1:20" ht="15.75" x14ac:dyDescent="0.25">
      <c r="A73" s="2" t="s">
        <v>73</v>
      </c>
      <c r="H73" s="2" t="s">
        <v>73</v>
      </c>
      <c r="O73" s="2" t="s">
        <v>73</v>
      </c>
    </row>
    <row r="74" spans="1:20" ht="15.75" x14ac:dyDescent="0.25">
      <c r="A74" s="16" t="s">
        <v>59</v>
      </c>
      <c r="B74" s="21" t="s">
        <v>62</v>
      </c>
      <c r="C74" s="16" t="s">
        <v>82</v>
      </c>
      <c r="D74" s="16" t="s">
        <v>64</v>
      </c>
      <c r="E74" s="16" t="s">
        <v>63</v>
      </c>
      <c r="F74" s="16" t="s">
        <v>18</v>
      </c>
      <c r="G74" s="16"/>
      <c r="H74" s="16" t="s">
        <v>12</v>
      </c>
      <c r="I74" s="21" t="s">
        <v>62</v>
      </c>
      <c r="J74" s="16" t="s">
        <v>82</v>
      </c>
      <c r="K74" s="16" t="s">
        <v>64</v>
      </c>
      <c r="L74" s="16" t="s">
        <v>63</v>
      </c>
      <c r="M74" s="16" t="s">
        <v>18</v>
      </c>
      <c r="N74" s="16"/>
      <c r="O74" s="16" t="s">
        <v>13</v>
      </c>
      <c r="P74" s="21" t="s">
        <v>62</v>
      </c>
      <c r="Q74" s="16" t="s">
        <v>82</v>
      </c>
      <c r="R74" s="16" t="s">
        <v>64</v>
      </c>
      <c r="S74" s="16" t="s">
        <v>63</v>
      </c>
      <c r="T74" s="16" t="s">
        <v>18</v>
      </c>
    </row>
    <row r="75" spans="1:20" x14ac:dyDescent="0.25">
      <c r="A75" s="16" t="s">
        <v>0</v>
      </c>
      <c r="B75" s="16" t="s">
        <v>1</v>
      </c>
      <c r="C75" s="17">
        <v>10721</v>
      </c>
      <c r="D75" s="17">
        <v>10422</v>
      </c>
      <c r="E75" s="17">
        <v>9760</v>
      </c>
      <c r="F75" s="17">
        <f>AVERAGE(Table143690117171198152154[[#This Row],[Teste 1]:[Teste 3]])</f>
        <v>10301</v>
      </c>
      <c r="G75" s="16"/>
      <c r="H75" s="16" t="s">
        <v>0</v>
      </c>
      <c r="I75" s="16" t="s">
        <v>1</v>
      </c>
      <c r="J75" s="17">
        <v>12089</v>
      </c>
      <c r="K75" s="17">
        <v>12271</v>
      </c>
      <c r="L75" s="17">
        <v>13021</v>
      </c>
      <c r="M75" s="17">
        <f>AVERAGE(Table143690117171198152154166[[#This Row],[Teste 1]:[Teste 3]])</f>
        <v>12460.333333333334</v>
      </c>
      <c r="N75" s="16"/>
      <c r="O75" s="16" t="s">
        <v>0</v>
      </c>
      <c r="P75" s="16" t="s">
        <v>1</v>
      </c>
      <c r="Q75" s="17">
        <v>9909</v>
      </c>
      <c r="R75" s="17">
        <v>10058</v>
      </c>
      <c r="S75" s="17">
        <v>10673</v>
      </c>
      <c r="T75" s="17">
        <f>AVERAGE(Table143690117171198152154178[[#This Row],[Teste 1]:[Teste 3]])</f>
        <v>10213.333333333334</v>
      </c>
    </row>
    <row r="76" spans="1:20" x14ac:dyDescent="0.25">
      <c r="A76" s="16" t="s">
        <v>0</v>
      </c>
      <c r="B76" s="16" t="s">
        <v>2</v>
      </c>
      <c r="C76" s="17">
        <v>9461.0172156277004</v>
      </c>
      <c r="D76" s="17">
        <v>9595.0873152945696</v>
      </c>
      <c r="E76" s="17">
        <v>10245.9016393442</v>
      </c>
      <c r="F76" s="17">
        <f>AVERAGE(Table143690117171198152154[[#This Row],[Teste 1]:[Teste 3]])</f>
        <v>9767.3353900888233</v>
      </c>
      <c r="G76" s="16"/>
      <c r="H76" s="16" t="s">
        <v>0</v>
      </c>
      <c r="I76" s="16" t="s">
        <v>2</v>
      </c>
      <c r="J76" s="17">
        <v>8272.99</v>
      </c>
      <c r="K76" s="17">
        <v>8149.45</v>
      </c>
      <c r="L76" s="17">
        <v>7679.87</v>
      </c>
      <c r="M76" s="17">
        <f>AVERAGE(Table143690117171198152154166[[#This Row],[Teste 1]:[Teste 3]])</f>
        <v>8034.1033333333326</v>
      </c>
      <c r="N76" s="16"/>
      <c r="O76" s="16" t="s">
        <v>0</v>
      </c>
      <c r="P76" s="16" t="s">
        <v>2</v>
      </c>
      <c r="Q76" s="17">
        <v>10091.8357049147</v>
      </c>
      <c r="R76" s="17">
        <v>9942.3344601312292</v>
      </c>
      <c r="S76" s="17">
        <v>9369.4368968425006</v>
      </c>
      <c r="T76" s="17">
        <f>AVERAGE(Table143690117171198152154178[[#This Row],[Teste 1]:[Teste 3]])</f>
        <v>9801.2023539628099</v>
      </c>
    </row>
    <row r="77" spans="1:20" x14ac:dyDescent="0.25">
      <c r="A77" s="16" t="s">
        <v>16</v>
      </c>
      <c r="B77" s="16" t="s">
        <v>4</v>
      </c>
      <c r="C77" s="17">
        <v>100000</v>
      </c>
      <c r="D77" s="17">
        <v>100000</v>
      </c>
      <c r="E77" s="17">
        <v>100000</v>
      </c>
      <c r="F77" s="17">
        <f>AVERAGE(Table143690117171198152154[[#This Row],[Teste 1]:[Teste 3]])</f>
        <v>100000</v>
      </c>
      <c r="G77" s="16"/>
      <c r="H77" s="16" t="s">
        <v>16</v>
      </c>
      <c r="I77" s="16" t="s">
        <v>4</v>
      </c>
      <c r="J77" s="17">
        <v>100000</v>
      </c>
      <c r="K77" s="17">
        <v>100000</v>
      </c>
      <c r="L77" s="17">
        <v>100000</v>
      </c>
      <c r="M77" s="17">
        <f>AVERAGE(Table143690117171198152154166[[#This Row],[Teste 1]:[Teste 3]])</f>
        <v>100000</v>
      </c>
      <c r="N77" s="16"/>
      <c r="O77" s="16" t="s">
        <v>16</v>
      </c>
      <c r="P77" s="16" t="s">
        <v>4</v>
      </c>
      <c r="Q77" s="17">
        <v>100000</v>
      </c>
      <c r="R77" s="17">
        <v>100000</v>
      </c>
      <c r="S77" s="17">
        <v>100000</v>
      </c>
      <c r="T77" s="17">
        <f>AVERAGE(Table143690117171198152154178[[#This Row],[Teste 1]:[Teste 3]])</f>
        <v>100000</v>
      </c>
    </row>
    <row r="78" spans="1:20" x14ac:dyDescent="0.25">
      <c r="A78" s="16" t="s">
        <v>16</v>
      </c>
      <c r="B78" s="16" t="s">
        <v>5</v>
      </c>
      <c r="C78" s="17">
        <v>460.86275000000001</v>
      </c>
      <c r="D78" s="17">
        <v>362.16426999999999</v>
      </c>
      <c r="E78" s="17">
        <v>343.20109000000002</v>
      </c>
      <c r="F78" s="17">
        <f>AVERAGE(Table143690117171198152154[[#This Row],[Teste 1]:[Teste 3]])</f>
        <v>388.74270333333334</v>
      </c>
      <c r="G78" s="16"/>
      <c r="H78" s="16" t="s">
        <v>16</v>
      </c>
      <c r="I78" s="16" t="s">
        <v>5</v>
      </c>
      <c r="J78" s="17">
        <v>378.3</v>
      </c>
      <c r="K78" s="17">
        <v>386.15</v>
      </c>
      <c r="L78" s="17">
        <v>418.19</v>
      </c>
      <c r="M78" s="17">
        <f>AVERAGE(Table143690117171198152154166[[#This Row],[Teste 1]:[Teste 3]])</f>
        <v>394.21333333333337</v>
      </c>
      <c r="N78" s="16"/>
      <c r="O78" s="16" t="s">
        <v>16</v>
      </c>
      <c r="P78" s="16" t="s">
        <v>5</v>
      </c>
      <c r="Q78" s="17">
        <v>310.08172999999999</v>
      </c>
      <c r="R78" s="17">
        <v>316.51531</v>
      </c>
      <c r="S78" s="17">
        <v>342.78681999999998</v>
      </c>
      <c r="T78" s="17">
        <f>AVERAGE(Table143690117171198152154178[[#This Row],[Teste 1]:[Teste 3]])</f>
        <v>323.12795333333332</v>
      </c>
    </row>
    <row r="79" spans="1:20" x14ac:dyDescent="0.25">
      <c r="A79" s="16" t="s">
        <v>16</v>
      </c>
      <c r="B79" s="16" t="s">
        <v>6</v>
      </c>
      <c r="C79" s="17">
        <v>93</v>
      </c>
      <c r="D79" s="17">
        <v>75</v>
      </c>
      <c r="E79" s="17">
        <v>82</v>
      </c>
      <c r="F79" s="17">
        <f>AVERAGE(Table143690117171198152154[[#This Row],[Teste 1]:[Teste 3]])</f>
        <v>83.333333333333329</v>
      </c>
      <c r="G79" s="16"/>
      <c r="H79" s="16" t="s">
        <v>16</v>
      </c>
      <c r="I79" s="16" t="s">
        <v>6</v>
      </c>
      <c r="J79" s="17">
        <v>140</v>
      </c>
      <c r="K79" s="17">
        <v>126</v>
      </c>
      <c r="L79" s="17">
        <v>121</v>
      </c>
      <c r="M79" s="17">
        <f>AVERAGE(Table143690117171198152154166[[#This Row],[Teste 1]:[Teste 3]])</f>
        <v>129</v>
      </c>
      <c r="N79" s="16"/>
      <c r="O79" s="16" t="s">
        <v>16</v>
      </c>
      <c r="P79" s="16" t="s">
        <v>6</v>
      </c>
      <c r="Q79" s="17">
        <v>115</v>
      </c>
      <c r="R79" s="17">
        <v>103</v>
      </c>
      <c r="S79" s="17">
        <v>99</v>
      </c>
      <c r="T79" s="17">
        <f>AVERAGE(Table143690117171198152154178[[#This Row],[Teste 1]:[Teste 3]])</f>
        <v>105.66666666666667</v>
      </c>
    </row>
    <row r="80" spans="1:20" x14ac:dyDescent="0.25">
      <c r="A80" s="16" t="s">
        <v>16</v>
      </c>
      <c r="B80" s="16" t="s">
        <v>7</v>
      </c>
      <c r="C80" s="17">
        <v>106111</v>
      </c>
      <c r="D80" s="17">
        <v>102143</v>
      </c>
      <c r="E80" s="17">
        <v>168319</v>
      </c>
      <c r="F80" s="17">
        <f>AVERAGE(Table143690117171198152154[[#This Row],[Teste 1]:[Teste 3]])</f>
        <v>125524.33333333333</v>
      </c>
      <c r="G80" s="16"/>
      <c r="H80" s="16" t="s">
        <v>16</v>
      </c>
      <c r="I80" s="16" t="s">
        <v>7</v>
      </c>
      <c r="J80" s="17">
        <v>45637</v>
      </c>
      <c r="K80" s="17">
        <v>40561</v>
      </c>
      <c r="L80" s="17">
        <v>138825</v>
      </c>
      <c r="M80" s="17">
        <f>AVERAGE(Table143690117171198152154166[[#This Row],[Teste 1]:[Teste 3]])</f>
        <v>75007.666666666672</v>
      </c>
      <c r="N80" s="16"/>
      <c r="O80" s="16" t="s">
        <v>16</v>
      </c>
      <c r="P80" s="16" t="s">
        <v>7</v>
      </c>
      <c r="Q80" s="17">
        <v>37407</v>
      </c>
      <c r="R80" s="17">
        <v>33247</v>
      </c>
      <c r="S80" s="17">
        <v>113791</v>
      </c>
      <c r="T80" s="17">
        <f>AVERAGE(Table143690117171198152154178[[#This Row],[Teste 1]:[Teste 3]])</f>
        <v>61481.666666666664</v>
      </c>
    </row>
    <row r="81" spans="1:20" x14ac:dyDescent="0.25">
      <c r="A81" s="16" t="s">
        <v>16</v>
      </c>
      <c r="B81" s="16" t="s">
        <v>8</v>
      </c>
      <c r="C81" s="17">
        <v>776</v>
      </c>
      <c r="D81" s="17">
        <v>766</v>
      </c>
      <c r="E81" s="17">
        <v>678</v>
      </c>
      <c r="F81" s="17">
        <f>AVERAGE(Table143690117171198152154[[#This Row],[Teste 1]:[Teste 3]])</f>
        <v>740</v>
      </c>
      <c r="G81" s="16"/>
      <c r="H81" s="16" t="s">
        <v>16</v>
      </c>
      <c r="I81" s="16" t="s">
        <v>8</v>
      </c>
      <c r="J81" s="17">
        <v>937</v>
      </c>
      <c r="K81" s="17">
        <v>970</v>
      </c>
      <c r="L81" s="17">
        <v>904</v>
      </c>
      <c r="M81" s="17">
        <f>AVERAGE(Table143690117171198152154166[[#This Row],[Teste 1]:[Teste 3]])</f>
        <v>937</v>
      </c>
      <c r="N81" s="16"/>
      <c r="O81" s="16" t="s">
        <v>16</v>
      </c>
      <c r="P81" s="16" t="s">
        <v>8</v>
      </c>
      <c r="Q81" s="17">
        <v>768</v>
      </c>
      <c r="R81" s="17">
        <v>795</v>
      </c>
      <c r="S81" s="17">
        <v>741</v>
      </c>
      <c r="T81" s="17">
        <f>AVERAGE(Table143690117171198152154178[[#This Row],[Teste 1]:[Teste 3]])</f>
        <v>768</v>
      </c>
    </row>
    <row r="82" spans="1:20" x14ac:dyDescent="0.25">
      <c r="A82" s="16" t="s">
        <v>16</v>
      </c>
      <c r="B82" s="16" t="s">
        <v>9</v>
      </c>
      <c r="C82" s="17">
        <v>1494</v>
      </c>
      <c r="D82" s="17">
        <v>1845</v>
      </c>
      <c r="E82" s="17">
        <v>1622</v>
      </c>
      <c r="F82" s="17">
        <f>AVERAGE(Table143690117171198152154[[#This Row],[Teste 1]:[Teste 3]])</f>
        <v>1653.6666666666667</v>
      </c>
      <c r="G82" s="16"/>
      <c r="H82" s="16" t="s">
        <v>16</v>
      </c>
      <c r="I82" s="16" t="s">
        <v>9</v>
      </c>
      <c r="J82" s="17">
        <v>1809</v>
      </c>
      <c r="K82" s="17">
        <v>1819</v>
      </c>
      <c r="L82" s="17">
        <v>2152</v>
      </c>
      <c r="M82" s="17">
        <f>AVERAGE(Table143690117171198152154166[[#This Row],[Teste 1]:[Teste 3]])</f>
        <v>1926.6666666666667</v>
      </c>
      <c r="N82" s="16"/>
      <c r="O82" s="16" t="s">
        <v>16</v>
      </c>
      <c r="P82" s="16" t="s">
        <v>9</v>
      </c>
      <c r="Q82" s="17">
        <v>1483</v>
      </c>
      <c r="R82" s="17">
        <v>1491</v>
      </c>
      <c r="S82" s="17">
        <v>1764</v>
      </c>
      <c r="T82" s="17">
        <f>AVERAGE(Table143690117171198152154178[[#This Row],[Teste 1]:[Teste 3]])</f>
        <v>1579.3333333333333</v>
      </c>
    </row>
    <row r="83" spans="1:20" x14ac:dyDescent="0.25">
      <c r="A83" s="16" t="s">
        <v>16</v>
      </c>
      <c r="B83" s="16" t="s">
        <v>11</v>
      </c>
      <c r="C83" s="17">
        <v>100000</v>
      </c>
      <c r="D83" s="17">
        <v>100000</v>
      </c>
      <c r="E83" s="17">
        <v>100000</v>
      </c>
      <c r="F83" s="17">
        <f>AVERAGE(Table143690117171198152154[[#This Row],[Teste 1]:[Teste 3]])</f>
        <v>100000</v>
      </c>
      <c r="G83" s="16"/>
      <c r="H83" s="16" t="s">
        <v>16</v>
      </c>
      <c r="I83" s="16" t="s">
        <v>11</v>
      </c>
      <c r="J83" s="17">
        <v>100000</v>
      </c>
      <c r="K83" s="17">
        <v>100000</v>
      </c>
      <c r="L83" s="17">
        <v>100000</v>
      </c>
      <c r="M83" s="17">
        <f>AVERAGE(Table143690117171198152154166[[#This Row],[Teste 1]:[Teste 3]])</f>
        <v>100000</v>
      </c>
      <c r="N83" s="16"/>
      <c r="O83" s="16" t="s">
        <v>16</v>
      </c>
      <c r="P83" s="16" t="s">
        <v>11</v>
      </c>
      <c r="Q83" s="17">
        <v>100000</v>
      </c>
      <c r="R83" s="17">
        <v>100000</v>
      </c>
      <c r="S83" s="17">
        <v>100000</v>
      </c>
      <c r="T83" s="17">
        <f>AVERAGE(Table143690117171198152154178[[#This Row],[Teste 1]:[Teste 3]])</f>
        <v>100000</v>
      </c>
    </row>
    <row r="84" spans="1:20" x14ac:dyDescent="0.25">
      <c r="A84" s="16" t="s">
        <v>72</v>
      </c>
      <c r="B84" s="16" t="s">
        <v>4</v>
      </c>
      <c r="C84" s="17">
        <v>49834</v>
      </c>
      <c r="D84" s="17">
        <v>49859</v>
      </c>
      <c r="E84" s="17">
        <v>50071</v>
      </c>
      <c r="F84" s="17">
        <f>AVERAGE(Table143690117171198152154[[#This Row],[Teste 1]:[Teste 3]])</f>
        <v>49921.333333333336</v>
      </c>
      <c r="G84" s="16"/>
      <c r="H84" s="16" t="s">
        <v>72</v>
      </c>
      <c r="I84" s="16" t="s">
        <v>4</v>
      </c>
      <c r="J84" s="17">
        <v>49954</v>
      </c>
      <c r="K84" s="17">
        <v>50125</v>
      </c>
      <c r="L84" s="17">
        <v>49794</v>
      </c>
      <c r="M84" s="17">
        <f>AVERAGE(Table143690117171198152154166[[#This Row],[Teste 1]:[Teste 3]])</f>
        <v>49957.666666666664</v>
      </c>
      <c r="N84" s="16"/>
      <c r="O84" s="16" t="s">
        <v>72</v>
      </c>
      <c r="P84" s="16" t="s">
        <v>4</v>
      </c>
      <c r="Q84" s="17">
        <v>50425</v>
      </c>
      <c r="R84" s="17">
        <v>50023</v>
      </c>
      <c r="S84" s="17">
        <v>49976</v>
      </c>
      <c r="T84" s="17">
        <f>AVERAGE(Table143690117171198152154178[[#This Row],[Teste 1]:[Teste 3]])</f>
        <v>50141.333333333336</v>
      </c>
    </row>
    <row r="85" spans="1:20" x14ac:dyDescent="0.25">
      <c r="A85" s="16" t="s">
        <v>72</v>
      </c>
      <c r="B85" s="16" t="s">
        <v>5</v>
      </c>
      <c r="C85" s="17">
        <v>935.66013163703497</v>
      </c>
      <c r="D85" s="17">
        <v>737.37315228945602</v>
      </c>
      <c r="E85" s="17">
        <v>692.27556869245598</v>
      </c>
      <c r="F85" s="17">
        <f>AVERAGE(Table143690117171198152154[[#This Row],[Teste 1]:[Teste 3]])</f>
        <v>788.43628420631569</v>
      </c>
      <c r="G85" s="16"/>
      <c r="H85" s="16" t="s">
        <v>72</v>
      </c>
      <c r="I85" s="16" t="s">
        <v>5</v>
      </c>
      <c r="J85" s="17">
        <v>939.87</v>
      </c>
      <c r="K85" s="17">
        <v>953.58969999999999</v>
      </c>
      <c r="L85" s="17">
        <v>1005.26</v>
      </c>
      <c r="M85" s="17">
        <f>AVERAGE(Table143690117171198152154166[[#This Row],[Teste 1]:[Teste 3]])</f>
        <v>966.23989999999992</v>
      </c>
      <c r="N85" s="16"/>
      <c r="O85" s="16" t="s">
        <v>72</v>
      </c>
      <c r="P85" s="16" t="s">
        <v>5</v>
      </c>
      <c r="Q85" s="17">
        <v>770.388339117501</v>
      </c>
      <c r="R85" s="17">
        <v>781.63090978150001</v>
      </c>
      <c r="S85" s="17">
        <v>823.98143108692102</v>
      </c>
      <c r="T85" s="17">
        <f>AVERAGE(Table143690117171198152154178[[#This Row],[Teste 1]:[Teste 3]])</f>
        <v>792.00022666197401</v>
      </c>
    </row>
    <row r="86" spans="1:20" x14ac:dyDescent="0.25">
      <c r="A86" s="16" t="s">
        <v>72</v>
      </c>
      <c r="B86" s="16" t="s">
        <v>6</v>
      </c>
      <c r="C86" s="17">
        <v>273</v>
      </c>
      <c r="D86" s="17">
        <v>199</v>
      </c>
      <c r="E86" s="17">
        <v>215</v>
      </c>
      <c r="F86" s="17">
        <f>AVERAGE(Table143690117171198152154[[#This Row],[Teste 1]:[Teste 3]])</f>
        <v>229</v>
      </c>
      <c r="G86" s="16"/>
      <c r="H86" s="16" t="s">
        <v>72</v>
      </c>
      <c r="I86" s="16" t="s">
        <v>6</v>
      </c>
      <c r="J86" s="17">
        <v>415</v>
      </c>
      <c r="K86" s="17">
        <v>432</v>
      </c>
      <c r="L86" s="17">
        <v>361</v>
      </c>
      <c r="M86" s="17">
        <f>AVERAGE(Table143690117171198152154166[[#This Row],[Teste 1]:[Teste 3]])</f>
        <v>402.66666666666669</v>
      </c>
      <c r="N86" s="16"/>
      <c r="O86" s="16" t="s">
        <v>72</v>
      </c>
      <c r="P86" s="16" t="s">
        <v>6</v>
      </c>
      <c r="Q86" s="17">
        <v>340</v>
      </c>
      <c r="R86" s="17">
        <v>354</v>
      </c>
      <c r="S86" s="17">
        <v>296</v>
      </c>
      <c r="T86" s="17">
        <f>AVERAGE(Table143690117171198152154178[[#This Row],[Teste 1]:[Teste 3]])</f>
        <v>330</v>
      </c>
    </row>
    <row r="87" spans="1:20" x14ac:dyDescent="0.25">
      <c r="A87" s="16" t="s">
        <v>72</v>
      </c>
      <c r="B87" s="16" t="s">
        <v>7</v>
      </c>
      <c r="C87" s="17">
        <v>118719</v>
      </c>
      <c r="D87" s="17">
        <v>284671</v>
      </c>
      <c r="E87" s="17">
        <v>134655</v>
      </c>
      <c r="F87" s="17">
        <f>AVERAGE(Table143690117171198152154[[#This Row],[Teste 1]:[Teste 3]])</f>
        <v>179348.33333333334</v>
      </c>
      <c r="G87" s="16"/>
      <c r="H87" s="16" t="s">
        <v>72</v>
      </c>
      <c r="I87" s="16" t="s">
        <v>7</v>
      </c>
      <c r="J87" s="17">
        <v>68163</v>
      </c>
      <c r="K87" s="17">
        <v>67382</v>
      </c>
      <c r="L87" s="17">
        <v>67102</v>
      </c>
      <c r="M87" s="17">
        <f>AVERAGE(Table143690117171198152154166[[#This Row],[Teste 1]:[Teste 3]])</f>
        <v>67549</v>
      </c>
      <c r="N87" s="16"/>
      <c r="O87" s="16" t="s">
        <v>72</v>
      </c>
      <c r="P87" s="16" t="s">
        <v>7</v>
      </c>
      <c r="Q87" s="17">
        <v>55871</v>
      </c>
      <c r="R87" s="17">
        <v>55231</v>
      </c>
      <c r="S87" s="17">
        <v>116671</v>
      </c>
      <c r="T87" s="17">
        <f>AVERAGE(Table143690117171198152154178[[#This Row],[Teste 1]:[Teste 3]])</f>
        <v>75924.333333333328</v>
      </c>
    </row>
    <row r="88" spans="1:20" x14ac:dyDescent="0.25">
      <c r="A88" s="16" t="s">
        <v>72</v>
      </c>
      <c r="B88" s="16" t="s">
        <v>8</v>
      </c>
      <c r="C88" s="17">
        <v>1542</v>
      </c>
      <c r="D88" s="17">
        <v>1594</v>
      </c>
      <c r="E88" s="17">
        <v>1399</v>
      </c>
      <c r="F88" s="17">
        <f>AVERAGE(Table143690117171198152154[[#This Row],[Teste 1]:[Teste 3]])</f>
        <v>1511.6666666666667</v>
      </c>
      <c r="G88" s="16"/>
      <c r="H88" s="16" t="s">
        <v>72</v>
      </c>
      <c r="I88" s="16" t="s">
        <v>8</v>
      </c>
      <c r="J88" s="17">
        <v>1938</v>
      </c>
      <c r="K88" s="17">
        <v>1982</v>
      </c>
      <c r="L88" s="17">
        <v>2037</v>
      </c>
      <c r="M88" s="17">
        <f>AVERAGE(Table143690117171198152154166[[#This Row],[Teste 1]:[Teste 3]])</f>
        <v>1985.6666666666667</v>
      </c>
      <c r="N88" s="16"/>
      <c r="O88" s="16" t="s">
        <v>72</v>
      </c>
      <c r="P88" s="16" t="s">
        <v>8</v>
      </c>
      <c r="Q88" s="17">
        <v>1588</v>
      </c>
      <c r="R88" s="17">
        <v>1624</v>
      </c>
      <c r="S88" s="17">
        <v>1670</v>
      </c>
      <c r="T88" s="17">
        <f>AVERAGE(Table143690117171198152154178[[#This Row],[Teste 1]:[Teste 3]])</f>
        <v>1627.3333333333333</v>
      </c>
    </row>
    <row r="89" spans="1:20" x14ac:dyDescent="0.25">
      <c r="A89" s="16" t="s">
        <v>72</v>
      </c>
      <c r="B89" s="16" t="s">
        <v>9</v>
      </c>
      <c r="C89" s="17">
        <v>3199</v>
      </c>
      <c r="D89" s="17">
        <v>3881</v>
      </c>
      <c r="E89" s="17">
        <v>3699</v>
      </c>
      <c r="F89" s="17">
        <f>AVERAGE(Table143690117171198152154[[#This Row],[Teste 1]:[Teste 3]])</f>
        <v>3593</v>
      </c>
      <c r="G89" s="16"/>
      <c r="H89" s="16" t="s">
        <v>72</v>
      </c>
      <c r="I89" s="16" t="s">
        <v>9</v>
      </c>
      <c r="J89" s="17">
        <v>3491</v>
      </c>
      <c r="K89" s="17">
        <v>3381</v>
      </c>
      <c r="L89" s="17">
        <v>4357</v>
      </c>
      <c r="M89" s="17">
        <f>AVERAGE(Table143690117171198152154166[[#This Row],[Teste 1]:[Teste 3]])</f>
        <v>3743</v>
      </c>
      <c r="N89" s="16"/>
      <c r="O89" s="16" t="s">
        <v>72</v>
      </c>
      <c r="P89" s="16" t="s">
        <v>9</v>
      </c>
      <c r="Q89" s="17">
        <v>2861</v>
      </c>
      <c r="R89" s="17">
        <v>2771</v>
      </c>
      <c r="S89" s="17">
        <v>3571</v>
      </c>
      <c r="T89" s="17">
        <f>AVERAGE(Table143690117171198152154178[[#This Row],[Teste 1]:[Teste 3]])</f>
        <v>3067.6666666666665</v>
      </c>
    </row>
    <row r="90" spans="1:20" x14ac:dyDescent="0.25">
      <c r="A90" s="16" t="s">
        <v>3</v>
      </c>
      <c r="B90" s="16" t="s">
        <v>4</v>
      </c>
      <c r="C90" s="17">
        <v>6</v>
      </c>
      <c r="D90" s="17">
        <v>6</v>
      </c>
      <c r="E90" s="17">
        <v>6</v>
      </c>
      <c r="F90" s="17">
        <f>AVERAGE(Table143690117171198152154[[#This Row],[Teste 1]:[Teste 3]])</f>
        <v>6</v>
      </c>
      <c r="G90" s="16"/>
      <c r="H90" s="16" t="s">
        <v>3</v>
      </c>
      <c r="I90" s="16" t="s">
        <v>4</v>
      </c>
      <c r="J90" s="17">
        <v>6</v>
      </c>
      <c r="K90" s="17">
        <v>6</v>
      </c>
      <c r="L90" s="17">
        <v>6</v>
      </c>
      <c r="M90" s="17">
        <f>AVERAGE(Table143690117171198152154166[[#This Row],[Teste 1]:[Teste 3]])</f>
        <v>6</v>
      </c>
      <c r="N90" s="16"/>
      <c r="O90" s="16" t="s">
        <v>3</v>
      </c>
      <c r="P90" s="16" t="s">
        <v>4</v>
      </c>
      <c r="Q90" s="17">
        <v>6</v>
      </c>
      <c r="R90" s="17">
        <v>6</v>
      </c>
      <c r="S90" s="17">
        <v>6</v>
      </c>
      <c r="T90" s="17">
        <f>AVERAGE(Table143690117171198152154178[[#This Row],[Teste 1]:[Teste 3]])</f>
        <v>6</v>
      </c>
    </row>
    <row r="91" spans="1:20" x14ac:dyDescent="0.25">
      <c r="A91" s="16" t="s">
        <v>3</v>
      </c>
      <c r="B91" s="16" t="s">
        <v>5</v>
      </c>
      <c r="C91" s="17">
        <v>2</v>
      </c>
      <c r="D91" s="17">
        <v>2.6666666666666599</v>
      </c>
      <c r="E91" s="17">
        <v>2.1666666666666599</v>
      </c>
      <c r="F91" s="17">
        <f>AVERAGE(Table143690117171198152154[[#This Row],[Teste 1]:[Teste 3]])</f>
        <v>2.2777777777777732</v>
      </c>
      <c r="G91" s="16"/>
      <c r="H91" s="16" t="s">
        <v>3</v>
      </c>
      <c r="I91" s="16" t="s">
        <v>5</v>
      </c>
      <c r="J91" s="17">
        <v>3.33</v>
      </c>
      <c r="K91" s="17">
        <v>7.67</v>
      </c>
      <c r="L91" s="17">
        <v>5</v>
      </c>
      <c r="M91" s="17">
        <f>AVERAGE(Table143690117171198152154166[[#This Row],[Teste 1]:[Teste 3]])</f>
        <v>5.333333333333333</v>
      </c>
      <c r="N91" s="16"/>
      <c r="O91" s="16" t="s">
        <v>3</v>
      </c>
      <c r="P91" s="16" t="s">
        <v>5</v>
      </c>
      <c r="Q91" s="17">
        <v>282.83333333333297</v>
      </c>
      <c r="R91" s="17">
        <v>255</v>
      </c>
      <c r="S91" s="17">
        <v>242.333333333333</v>
      </c>
      <c r="T91" s="17">
        <f>AVERAGE(Table143690117171198152154178[[#This Row],[Teste 1]:[Teste 3]])</f>
        <v>260.05555555555537</v>
      </c>
    </row>
    <row r="92" spans="1:20" x14ac:dyDescent="0.25">
      <c r="A92" s="16" t="s">
        <v>3</v>
      </c>
      <c r="B92" s="16" t="s">
        <v>6</v>
      </c>
      <c r="C92" s="17">
        <v>1</v>
      </c>
      <c r="D92" s="17">
        <v>1</v>
      </c>
      <c r="E92" s="17">
        <v>1</v>
      </c>
      <c r="F92" s="17">
        <f>AVERAGE(Table143690117171198152154[[#This Row],[Teste 1]:[Teste 3]])</f>
        <v>1</v>
      </c>
      <c r="G92" s="16"/>
      <c r="H92" s="16" t="s">
        <v>3</v>
      </c>
      <c r="I92" s="16" t="s">
        <v>6</v>
      </c>
      <c r="J92" s="17">
        <v>2</v>
      </c>
      <c r="K92" s="17">
        <v>2</v>
      </c>
      <c r="L92" s="17">
        <v>2</v>
      </c>
      <c r="M92" s="17">
        <f>AVERAGE(Table143690117171198152154166[[#This Row],[Teste 1]:[Teste 3]])</f>
        <v>2</v>
      </c>
      <c r="N92" s="16"/>
      <c r="O92" s="16" t="s">
        <v>3</v>
      </c>
      <c r="P92" s="16" t="s">
        <v>6</v>
      </c>
      <c r="Q92" s="17">
        <v>2</v>
      </c>
      <c r="R92" s="17">
        <v>1</v>
      </c>
      <c r="S92" s="17">
        <v>2</v>
      </c>
      <c r="T92" s="17">
        <f>AVERAGE(Table143690117171198152154178[[#This Row],[Teste 1]:[Teste 3]])</f>
        <v>1.6666666666666667</v>
      </c>
    </row>
    <row r="93" spans="1:20" x14ac:dyDescent="0.25">
      <c r="A93" s="16" t="s">
        <v>3</v>
      </c>
      <c r="B93" s="16" t="s">
        <v>7</v>
      </c>
      <c r="C93" s="17">
        <v>6</v>
      </c>
      <c r="D93" s="17">
        <v>11</v>
      </c>
      <c r="E93" s="17">
        <v>6</v>
      </c>
      <c r="F93" s="17">
        <f>AVERAGE(Table143690117171198152154[[#This Row],[Teste 1]:[Teste 3]])</f>
        <v>7.666666666666667</v>
      </c>
      <c r="G93" s="16"/>
      <c r="H93" s="16" t="s">
        <v>3</v>
      </c>
      <c r="I93" s="16" t="s">
        <v>7</v>
      </c>
      <c r="J93" s="17">
        <v>13</v>
      </c>
      <c r="K93" s="17">
        <v>26</v>
      </c>
      <c r="L93" s="17">
        <v>7</v>
      </c>
      <c r="M93" s="17">
        <f>AVERAGE(Table143690117171198152154166[[#This Row],[Teste 1]:[Teste 3]])</f>
        <v>15.333333333333334</v>
      </c>
      <c r="N93" s="16"/>
      <c r="O93" s="16" t="s">
        <v>3</v>
      </c>
      <c r="P93" s="16" t="s">
        <v>7</v>
      </c>
      <c r="Q93" s="17">
        <v>1676</v>
      </c>
      <c r="R93" s="17">
        <v>1508</v>
      </c>
      <c r="S93" s="17">
        <v>1432</v>
      </c>
      <c r="T93" s="17">
        <f>AVERAGE(Table143690117171198152154178[[#This Row],[Teste 1]:[Teste 3]])</f>
        <v>1538.6666666666667</v>
      </c>
    </row>
    <row r="94" spans="1:20" x14ac:dyDescent="0.25">
      <c r="A94" s="16" t="s">
        <v>3</v>
      </c>
      <c r="B94" s="16" t="s">
        <v>8</v>
      </c>
      <c r="C94" s="17">
        <v>6</v>
      </c>
      <c r="D94" s="17">
        <v>11</v>
      </c>
      <c r="E94" s="17">
        <v>6</v>
      </c>
      <c r="F94" s="17">
        <f>AVERAGE(Table143690117171198152154[[#This Row],[Teste 1]:[Teste 3]])</f>
        <v>7.666666666666667</v>
      </c>
      <c r="G94" s="16"/>
      <c r="H94" s="16" t="s">
        <v>3</v>
      </c>
      <c r="I94" s="16" t="s">
        <v>8</v>
      </c>
      <c r="J94" s="17">
        <v>13</v>
      </c>
      <c r="K94" s="17">
        <v>26</v>
      </c>
      <c r="L94" s="17">
        <v>7</v>
      </c>
      <c r="M94" s="17">
        <f>AVERAGE(Table143690117171198152154166[[#This Row],[Teste 1]:[Teste 3]])</f>
        <v>15.333333333333334</v>
      </c>
      <c r="N94" s="16"/>
      <c r="O94" s="16" t="s">
        <v>3</v>
      </c>
      <c r="P94" s="16" t="s">
        <v>8</v>
      </c>
      <c r="Q94" s="17">
        <v>1676</v>
      </c>
      <c r="R94" s="17">
        <v>1508</v>
      </c>
      <c r="S94" s="17">
        <v>1432</v>
      </c>
      <c r="T94" s="17">
        <f>AVERAGE(Table143690117171198152154178[[#This Row],[Teste 1]:[Teste 3]])</f>
        <v>1538.6666666666667</v>
      </c>
    </row>
    <row r="95" spans="1:20" x14ac:dyDescent="0.25">
      <c r="A95" s="16" t="s">
        <v>3</v>
      </c>
      <c r="B95" s="16" t="s">
        <v>9</v>
      </c>
      <c r="C95" s="17">
        <v>6</v>
      </c>
      <c r="D95" s="17">
        <v>11</v>
      </c>
      <c r="E95" s="17">
        <v>6</v>
      </c>
      <c r="F95" s="17">
        <f>AVERAGE(Table143690117171198152154[[#This Row],[Teste 1]:[Teste 3]])</f>
        <v>7.666666666666667</v>
      </c>
      <c r="G95" s="16"/>
      <c r="H95" s="16" t="s">
        <v>3</v>
      </c>
      <c r="I95" s="16" t="s">
        <v>9</v>
      </c>
      <c r="J95" s="17">
        <v>13</v>
      </c>
      <c r="K95" s="17">
        <v>26</v>
      </c>
      <c r="L95" s="17">
        <v>7</v>
      </c>
      <c r="M95" s="17">
        <f>AVERAGE(Table143690117171198152154166[[#This Row],[Teste 1]:[Teste 3]])</f>
        <v>15.333333333333334</v>
      </c>
      <c r="N95" s="16"/>
      <c r="O95" s="16" t="s">
        <v>3</v>
      </c>
      <c r="P95" s="16" t="s">
        <v>9</v>
      </c>
      <c r="Q95" s="17">
        <v>1676</v>
      </c>
      <c r="R95" s="17">
        <v>1508</v>
      </c>
      <c r="S95" s="17">
        <v>1432</v>
      </c>
      <c r="T95" s="17">
        <f>AVERAGE(Table143690117171198152154178[[#This Row],[Teste 1]:[Teste 3]])</f>
        <v>1538.6666666666667</v>
      </c>
    </row>
    <row r="96" spans="1:20" x14ac:dyDescent="0.25">
      <c r="A96" s="16" t="s">
        <v>17</v>
      </c>
      <c r="B96" s="16" t="s">
        <v>4</v>
      </c>
      <c r="C96" s="17">
        <v>49834</v>
      </c>
      <c r="D96" s="17">
        <v>49859</v>
      </c>
      <c r="E96" s="17">
        <v>50071</v>
      </c>
      <c r="F96" s="17">
        <f>AVERAGE(Table143690117171198152154[[#This Row],[Teste 1]:[Teste 3]])</f>
        <v>49921.333333333336</v>
      </c>
      <c r="G96" s="16"/>
      <c r="H96" s="16" t="s">
        <v>17</v>
      </c>
      <c r="I96" s="16" t="s">
        <v>4</v>
      </c>
      <c r="J96" s="17">
        <v>49954</v>
      </c>
      <c r="K96" s="17">
        <v>50125</v>
      </c>
      <c r="L96" s="17">
        <v>49794</v>
      </c>
      <c r="M96" s="17">
        <f>AVERAGE(Table143690117171198152154166[[#This Row],[Teste 1]:[Teste 3]])</f>
        <v>49957.666666666664</v>
      </c>
      <c r="N96" s="16"/>
      <c r="O96" s="16" t="s">
        <v>17</v>
      </c>
      <c r="P96" s="16" t="s">
        <v>4</v>
      </c>
      <c r="Q96" s="17">
        <v>50425</v>
      </c>
      <c r="R96" s="17">
        <v>50023</v>
      </c>
      <c r="S96" s="17">
        <v>49976</v>
      </c>
      <c r="T96" s="17">
        <f>AVERAGE(Table143690117171198152154178[[#This Row],[Teste 1]:[Teste 3]])</f>
        <v>50141.333333333336</v>
      </c>
    </row>
    <row r="97" spans="1:20" x14ac:dyDescent="0.25">
      <c r="A97" s="16" t="s">
        <v>17</v>
      </c>
      <c r="B97" s="16" t="s">
        <v>5</v>
      </c>
      <c r="C97" s="17">
        <v>476.32393546574599</v>
      </c>
      <c r="D97" s="17">
        <v>372.423554423474</v>
      </c>
      <c r="E97" s="17">
        <v>344.29226498372299</v>
      </c>
      <c r="F97" s="17">
        <f>AVERAGE(Table143690117171198152154[[#This Row],[Teste 1]:[Teste 3]])</f>
        <v>397.67991829098099</v>
      </c>
      <c r="G97" s="16"/>
      <c r="H97" s="16" t="s">
        <v>17</v>
      </c>
      <c r="I97" s="16" t="s">
        <v>5</v>
      </c>
      <c r="J97" s="17">
        <v>557.39</v>
      </c>
      <c r="K97" s="17">
        <v>565.09</v>
      </c>
      <c r="L97" s="17">
        <v>581.64</v>
      </c>
      <c r="M97" s="17">
        <f>AVERAGE(Table143690117171198152154166[[#This Row],[Teste 1]:[Teste 3]])</f>
        <v>568.04</v>
      </c>
      <c r="N97" s="16"/>
      <c r="O97" s="16" t="s">
        <v>17</v>
      </c>
      <c r="P97" s="16" t="s">
        <v>5</v>
      </c>
      <c r="Q97" s="17">
        <v>456.87280118988599</v>
      </c>
      <c r="R97" s="17">
        <v>463.17941746796402</v>
      </c>
      <c r="S97" s="17">
        <v>476.75540259324401</v>
      </c>
      <c r="T97" s="17">
        <f>AVERAGE(Table143690117171198152154178[[#This Row],[Teste 1]:[Teste 3]])</f>
        <v>465.60254041703138</v>
      </c>
    </row>
    <row r="98" spans="1:20" x14ac:dyDescent="0.25">
      <c r="A98" s="16" t="s">
        <v>17</v>
      </c>
      <c r="B98" s="16" t="s">
        <v>6</v>
      </c>
      <c r="C98" s="17">
        <v>125</v>
      </c>
      <c r="D98" s="17">
        <v>97</v>
      </c>
      <c r="E98" s="17">
        <v>98</v>
      </c>
      <c r="F98" s="17">
        <f>AVERAGE(Table143690117171198152154[[#This Row],[Teste 1]:[Teste 3]])</f>
        <v>106.66666666666667</v>
      </c>
      <c r="G98" s="16"/>
      <c r="H98" s="16" t="s">
        <v>17</v>
      </c>
      <c r="I98" s="16" t="s">
        <v>6</v>
      </c>
      <c r="J98" s="17">
        <v>237</v>
      </c>
      <c r="K98" s="17">
        <v>238</v>
      </c>
      <c r="L98" s="17">
        <v>206</v>
      </c>
      <c r="M98" s="17">
        <f>AVERAGE(Table143690117171198152154166[[#This Row],[Teste 1]:[Teste 3]])</f>
        <v>227</v>
      </c>
      <c r="N98" s="16"/>
      <c r="O98" s="16" t="s">
        <v>17</v>
      </c>
      <c r="P98" s="16" t="s">
        <v>6</v>
      </c>
      <c r="Q98" s="17">
        <v>194</v>
      </c>
      <c r="R98" s="17">
        <v>195</v>
      </c>
      <c r="S98" s="17">
        <v>169</v>
      </c>
      <c r="T98" s="17">
        <f>AVERAGE(Table143690117171198152154178[[#This Row],[Teste 1]:[Teste 3]])</f>
        <v>186</v>
      </c>
    </row>
    <row r="99" spans="1:20" x14ac:dyDescent="0.25">
      <c r="A99" s="16" t="s">
        <v>17</v>
      </c>
      <c r="B99" s="16" t="s">
        <v>7</v>
      </c>
      <c r="C99" s="17">
        <v>116287</v>
      </c>
      <c r="D99" s="17">
        <v>284159</v>
      </c>
      <c r="E99" s="17">
        <v>110847</v>
      </c>
      <c r="F99" s="17">
        <f>AVERAGE(Table143690117171198152154[[#This Row],[Teste 1]:[Teste 3]])</f>
        <v>170431</v>
      </c>
      <c r="G99" s="16"/>
      <c r="H99" s="16" t="s">
        <v>17</v>
      </c>
      <c r="I99" s="16" t="s">
        <v>7</v>
      </c>
      <c r="J99" s="17">
        <v>32812</v>
      </c>
      <c r="K99" s="17">
        <v>25394</v>
      </c>
      <c r="L99" s="17">
        <v>53327</v>
      </c>
      <c r="M99" s="17">
        <f>AVERAGE(Table143690117171198152154166[[#This Row],[Teste 1]:[Teste 3]])</f>
        <v>37177.666666666664</v>
      </c>
      <c r="N99" s="16"/>
      <c r="O99" s="16" t="s">
        <v>17</v>
      </c>
      <c r="P99" s="16" t="s">
        <v>7</v>
      </c>
      <c r="Q99" s="17">
        <v>26895</v>
      </c>
      <c r="R99" s="17">
        <v>20815</v>
      </c>
      <c r="S99" s="17">
        <v>43711</v>
      </c>
      <c r="T99" s="17">
        <f>AVERAGE(Table143690117171198152154178[[#This Row],[Teste 1]:[Teste 3]])</f>
        <v>30473.666666666668</v>
      </c>
    </row>
    <row r="100" spans="1:20" x14ac:dyDescent="0.25">
      <c r="A100" s="16" t="s">
        <v>17</v>
      </c>
      <c r="B100" s="16" t="s">
        <v>8</v>
      </c>
      <c r="C100" s="17">
        <v>810</v>
      </c>
      <c r="D100" s="17">
        <v>805</v>
      </c>
      <c r="E100" s="17">
        <v>704</v>
      </c>
      <c r="F100" s="17">
        <f>AVERAGE(Table143690117171198152154[[#This Row],[Teste 1]:[Teste 3]])</f>
        <v>773</v>
      </c>
      <c r="G100" s="16"/>
      <c r="H100" s="16" t="s">
        <v>17</v>
      </c>
      <c r="I100" s="16" t="s">
        <v>8</v>
      </c>
      <c r="J100" s="17">
        <v>1208</v>
      </c>
      <c r="K100" s="17">
        <v>1224</v>
      </c>
      <c r="L100" s="17">
        <v>1172</v>
      </c>
      <c r="M100" s="17">
        <f>AVERAGE(Table143690117171198152154166[[#This Row],[Teste 1]:[Teste 3]])</f>
        <v>1201.3333333333333</v>
      </c>
      <c r="N100" s="16"/>
      <c r="O100" s="16" t="s">
        <v>17</v>
      </c>
      <c r="P100" s="16" t="s">
        <v>8</v>
      </c>
      <c r="Q100" s="17">
        <v>990</v>
      </c>
      <c r="R100" s="17">
        <v>1003</v>
      </c>
      <c r="S100" s="17">
        <v>961</v>
      </c>
      <c r="T100" s="17">
        <f>AVERAGE(Table143690117171198152154178[[#This Row],[Teste 1]:[Teste 3]])</f>
        <v>984.66666666666663</v>
      </c>
    </row>
    <row r="101" spans="1:20" x14ac:dyDescent="0.25">
      <c r="A101" s="16" t="s">
        <v>17</v>
      </c>
      <c r="B101" s="16" t="s">
        <v>9</v>
      </c>
      <c r="C101" s="17">
        <v>1534</v>
      </c>
      <c r="D101" s="17">
        <v>1954</v>
      </c>
      <c r="E101" s="17">
        <v>1773</v>
      </c>
      <c r="F101" s="17">
        <f>AVERAGE(Table143690117171198152154[[#This Row],[Teste 1]:[Teste 3]])</f>
        <v>1753.6666666666667</v>
      </c>
      <c r="G101" s="16"/>
      <c r="H101" s="16" t="s">
        <v>17</v>
      </c>
      <c r="I101" s="16" t="s">
        <v>9</v>
      </c>
      <c r="J101" s="17">
        <v>2152</v>
      </c>
      <c r="K101" s="17">
        <v>2134</v>
      </c>
      <c r="L101" s="17">
        <v>2399</v>
      </c>
      <c r="M101" s="17">
        <f>AVERAGE(Table143690117171198152154166[[#This Row],[Teste 1]:[Teste 3]])</f>
        <v>2228.3333333333335</v>
      </c>
      <c r="N101" s="16"/>
      <c r="O101" s="16" t="s">
        <v>17</v>
      </c>
      <c r="P101" s="16" t="s">
        <v>9</v>
      </c>
      <c r="Q101" s="17">
        <v>1764</v>
      </c>
      <c r="R101" s="17">
        <v>1749</v>
      </c>
      <c r="S101" s="17">
        <v>1966</v>
      </c>
      <c r="T101" s="17">
        <f>AVERAGE(Table143690117171198152154178[[#This Row],[Teste 1]:[Teste 3]])</f>
        <v>1826.3333333333333</v>
      </c>
    </row>
    <row r="102" spans="1:20" x14ac:dyDescent="0.25">
      <c r="A102" s="16" t="s">
        <v>17</v>
      </c>
      <c r="B102" s="16" t="s">
        <v>11</v>
      </c>
      <c r="C102" s="17">
        <v>49834</v>
      </c>
      <c r="D102" s="17">
        <v>49859</v>
      </c>
      <c r="E102" s="17">
        <v>50071</v>
      </c>
      <c r="F102" s="17">
        <f>AVERAGE(Table143690117171198152154[[#This Row],[Teste 1]:[Teste 3]])</f>
        <v>49921.333333333336</v>
      </c>
      <c r="G102" s="16"/>
      <c r="H102" s="16" t="s">
        <v>17</v>
      </c>
      <c r="I102" s="16" t="s">
        <v>11</v>
      </c>
      <c r="J102" s="17">
        <v>49954</v>
      </c>
      <c r="K102" s="17">
        <v>50125</v>
      </c>
      <c r="L102" s="17">
        <v>49794</v>
      </c>
      <c r="M102" s="17">
        <f>AVERAGE(Table143690117171198152154166[[#This Row],[Teste 1]:[Teste 3]])</f>
        <v>49957.666666666664</v>
      </c>
      <c r="N102" s="16"/>
      <c r="O102" s="16" t="s">
        <v>17</v>
      </c>
      <c r="P102" s="16" t="s">
        <v>11</v>
      </c>
      <c r="Q102" s="17">
        <v>50425</v>
      </c>
      <c r="R102" s="17">
        <v>50023</v>
      </c>
      <c r="S102" s="17">
        <v>49976</v>
      </c>
      <c r="T102" s="17">
        <f>AVERAGE(Table143690117171198152154178[[#This Row],[Teste 1]:[Teste 3]])</f>
        <v>50141.333333333336</v>
      </c>
    </row>
    <row r="103" spans="1:20" x14ac:dyDescent="0.25">
      <c r="A103" s="16"/>
      <c r="B103" s="16"/>
      <c r="C103" s="17"/>
      <c r="D103" s="17"/>
      <c r="E103" s="17"/>
      <c r="F103" s="17"/>
      <c r="G103" s="16"/>
      <c r="H103" s="16"/>
      <c r="I103" s="16"/>
      <c r="J103" s="17"/>
      <c r="K103" s="17"/>
      <c r="L103" s="17"/>
      <c r="M103" s="17"/>
      <c r="N103" s="16"/>
      <c r="O103" s="16"/>
      <c r="P103" s="16"/>
      <c r="Q103" s="17"/>
      <c r="R103" s="17"/>
      <c r="S103" s="17"/>
      <c r="T103" s="17"/>
    </row>
    <row r="104" spans="1:20" x14ac:dyDescent="0.25">
      <c r="A104" s="16"/>
      <c r="B104" s="16"/>
      <c r="C104" s="17"/>
      <c r="D104" s="17"/>
      <c r="E104" s="17"/>
      <c r="F104" s="17"/>
      <c r="G104" s="16"/>
      <c r="H104" s="16"/>
      <c r="I104" s="16"/>
      <c r="J104" s="17"/>
      <c r="K104" s="17"/>
      <c r="L104" s="17"/>
      <c r="M104" s="17"/>
      <c r="N104" s="16"/>
      <c r="O104" s="16"/>
      <c r="P104" s="16"/>
      <c r="Q104" s="17"/>
      <c r="R104" s="17"/>
      <c r="S104" s="17"/>
      <c r="T104" s="17"/>
    </row>
    <row r="105" spans="1:20" x14ac:dyDescent="0.25">
      <c r="A105" s="16"/>
      <c r="B105" s="16"/>
      <c r="C105" s="17"/>
      <c r="D105" s="17"/>
      <c r="E105" s="17"/>
      <c r="F105" s="17"/>
      <c r="G105" s="16"/>
      <c r="H105" s="16"/>
      <c r="I105" s="16"/>
      <c r="J105" s="17"/>
      <c r="K105" s="17"/>
      <c r="L105" s="17"/>
      <c r="M105" s="17"/>
      <c r="N105" s="16"/>
      <c r="O105" s="16"/>
      <c r="P105" s="16"/>
      <c r="Q105" s="17"/>
      <c r="R105" s="17"/>
      <c r="S105" s="17"/>
      <c r="T105" s="17"/>
    </row>
    <row r="108" spans="1:20" ht="15.75" x14ac:dyDescent="0.25">
      <c r="A108" s="2" t="s">
        <v>66</v>
      </c>
      <c r="H108" s="2" t="s">
        <v>66</v>
      </c>
      <c r="O108" s="2" t="s">
        <v>66</v>
      </c>
    </row>
    <row r="109" spans="1:20" ht="15.75" x14ac:dyDescent="0.25">
      <c r="A109" s="2" t="s">
        <v>65</v>
      </c>
      <c r="H109" s="2" t="s">
        <v>65</v>
      </c>
      <c r="O109" s="2" t="s">
        <v>65</v>
      </c>
    </row>
    <row r="110" spans="1:20" ht="15.75" x14ac:dyDescent="0.25">
      <c r="A110" s="16" t="s">
        <v>59</v>
      </c>
      <c r="B110" s="21" t="s">
        <v>66</v>
      </c>
      <c r="C110" s="16" t="s">
        <v>82</v>
      </c>
      <c r="D110" s="16" t="s">
        <v>64</v>
      </c>
      <c r="E110" s="16" t="s">
        <v>63</v>
      </c>
      <c r="F110" s="16" t="s">
        <v>18</v>
      </c>
      <c r="G110" s="16"/>
      <c r="H110" s="16" t="s">
        <v>12</v>
      </c>
      <c r="I110" s="21" t="s">
        <v>66</v>
      </c>
      <c r="J110" s="16" t="s">
        <v>82</v>
      </c>
      <c r="K110" s="16" t="s">
        <v>64</v>
      </c>
      <c r="L110" s="16" t="s">
        <v>63</v>
      </c>
      <c r="M110" s="16" t="s">
        <v>18</v>
      </c>
      <c r="N110" s="16"/>
      <c r="O110" s="16" t="s">
        <v>13</v>
      </c>
      <c r="P110" s="21" t="s">
        <v>66</v>
      </c>
      <c r="Q110" s="16" t="s">
        <v>82</v>
      </c>
      <c r="R110" s="16" t="s">
        <v>64</v>
      </c>
      <c r="S110" s="16" t="s">
        <v>63</v>
      </c>
      <c r="T110" s="16" t="s">
        <v>18</v>
      </c>
    </row>
    <row r="111" spans="1:20" x14ac:dyDescent="0.25">
      <c r="A111" s="16" t="s">
        <v>0</v>
      </c>
      <c r="B111" s="16" t="s">
        <v>1</v>
      </c>
      <c r="C111" s="17">
        <v>6715526</v>
      </c>
      <c r="D111" s="17">
        <v>6468691</v>
      </c>
      <c r="E111" s="17">
        <v>7294238</v>
      </c>
      <c r="F111" s="17">
        <f>AVERAGE(Table143690117171198152155[[#This Row],[Teste 1]:[Teste 3]])</f>
        <v>6826151.666666667</v>
      </c>
      <c r="G111" s="16"/>
      <c r="H111" s="16" t="s">
        <v>0</v>
      </c>
      <c r="I111" s="16" t="s">
        <v>1</v>
      </c>
      <c r="J111" s="17">
        <v>1555425</v>
      </c>
      <c r="K111" s="17">
        <v>1493454</v>
      </c>
      <c r="L111" s="17">
        <v>1465432</v>
      </c>
      <c r="M111" s="17">
        <f>AVERAGE(Table143690117171198152155167[[#This Row],[Teste 1]:[Teste 3]])</f>
        <v>1504770.3333333333</v>
      </c>
      <c r="N111" s="16"/>
      <c r="O111" s="16" t="s">
        <v>0</v>
      </c>
      <c r="P111" s="16" t="s">
        <v>1</v>
      </c>
      <c r="Q111" s="17">
        <v>578440</v>
      </c>
      <c r="R111" s="17">
        <v>555394</v>
      </c>
      <c r="S111" s="17">
        <v>544973</v>
      </c>
      <c r="T111" s="17">
        <f>AVERAGE(Table143690117171198152155179[[#This Row],[Teste 1]:[Teste 3]])</f>
        <v>559602.33333333337</v>
      </c>
    </row>
    <row r="112" spans="1:20" x14ac:dyDescent="0.25">
      <c r="A112" s="16" t="s">
        <v>0</v>
      </c>
      <c r="B112" s="16" t="s">
        <v>2</v>
      </c>
      <c r="C112" s="17">
        <v>148.90866329755801</v>
      </c>
      <c r="D112" s="17">
        <v>182.85911564577299</v>
      </c>
      <c r="E112" s="17">
        <v>137.09451213409801</v>
      </c>
      <c r="F112" s="17">
        <f>AVERAGE(Table143690117171198152155[[#This Row],[Teste 1]:[Teste 3]])</f>
        <v>156.287430359143</v>
      </c>
      <c r="G112" s="16"/>
      <c r="H112" s="16" t="s">
        <v>0</v>
      </c>
      <c r="I112" s="16" t="s">
        <v>2</v>
      </c>
      <c r="J112" s="17">
        <v>642.91</v>
      </c>
      <c r="K112" s="17">
        <v>669.59</v>
      </c>
      <c r="L112" s="17">
        <v>682.39</v>
      </c>
      <c r="M112" s="17">
        <f>AVERAGE(Table143690117171198152155167[[#This Row],[Teste 1]:[Teste 3]])</f>
        <v>664.96333333333325</v>
      </c>
      <c r="N112" s="16"/>
      <c r="O112" s="16" t="s">
        <v>0</v>
      </c>
      <c r="P112" s="16" t="s">
        <v>2</v>
      </c>
      <c r="Q112" s="17">
        <v>1728.7877740128599</v>
      </c>
      <c r="R112" s="17">
        <v>1800.52359226062</v>
      </c>
      <c r="S112" s="17">
        <v>1834.95329126397</v>
      </c>
      <c r="T112" s="17">
        <f>AVERAGE(Table143690117171198152155179[[#This Row],[Teste 1]:[Teste 3]])</f>
        <v>1788.08821917915</v>
      </c>
    </row>
    <row r="113" spans="1:20" x14ac:dyDescent="0.25">
      <c r="A113" s="16" t="s">
        <v>16</v>
      </c>
      <c r="B113" s="16" t="s">
        <v>4</v>
      </c>
      <c r="C113" s="17">
        <v>1000000</v>
      </c>
      <c r="D113" s="17">
        <v>1000000</v>
      </c>
      <c r="E113" s="17">
        <v>1000000</v>
      </c>
      <c r="F113" s="17">
        <f>AVERAGE(Table143690117171198152155[[#This Row],[Teste 1]:[Teste 3]])</f>
        <v>1000000</v>
      </c>
      <c r="G113" s="16"/>
      <c r="H113" s="16" t="s">
        <v>16</v>
      </c>
      <c r="I113" s="16" t="s">
        <v>4</v>
      </c>
      <c r="J113" s="17">
        <v>1000000</v>
      </c>
      <c r="K113" s="17">
        <v>1000000</v>
      </c>
      <c r="L113" s="17">
        <v>1000000</v>
      </c>
      <c r="M113" s="17">
        <f>AVERAGE(Table143690117171198152155167[[#This Row],[Teste 1]:[Teste 3]])</f>
        <v>1000000</v>
      </c>
      <c r="N113" s="16"/>
      <c r="O113" s="16" t="s">
        <v>16</v>
      </c>
      <c r="P113" s="16" t="s">
        <v>4</v>
      </c>
      <c r="Q113" s="17">
        <v>1000000</v>
      </c>
      <c r="R113" s="17">
        <v>1000000</v>
      </c>
      <c r="S113" s="17">
        <v>1000000</v>
      </c>
      <c r="T113" s="17">
        <f>AVERAGE(Table143690117171198152155179[[#This Row],[Teste 1]:[Teste 3]])</f>
        <v>1000000</v>
      </c>
    </row>
    <row r="114" spans="1:20" x14ac:dyDescent="0.25">
      <c r="A114" s="16" t="s">
        <v>16</v>
      </c>
      <c r="B114" s="16" t="s">
        <v>5</v>
      </c>
      <c r="C114" s="17">
        <v>6528.5111800000004</v>
      </c>
      <c r="D114" s="17">
        <v>5289.5920589999996</v>
      </c>
      <c r="E114" s="17">
        <v>7101.7862880000002</v>
      </c>
      <c r="F114" s="17">
        <f>AVERAGE(Table143690117171198152155[[#This Row],[Teste 1]:[Teste 3]])</f>
        <v>6306.6298423333328</v>
      </c>
      <c r="G114" s="16"/>
      <c r="H114" s="16" t="s">
        <v>16</v>
      </c>
      <c r="I114" s="16" t="s">
        <v>5</v>
      </c>
      <c r="J114" s="17">
        <v>1091.8399999999999</v>
      </c>
      <c r="K114" s="17">
        <v>1051.1600000000001</v>
      </c>
      <c r="L114" s="17">
        <v>1018.12</v>
      </c>
      <c r="M114" s="17">
        <f>AVERAGE(Table143690117171198152155167[[#This Row],[Teste 1]:[Teste 3]])</f>
        <v>1053.7066666666667</v>
      </c>
      <c r="N114" s="16"/>
      <c r="O114" s="16" t="s">
        <v>16</v>
      </c>
      <c r="P114" s="16" t="s">
        <v>5</v>
      </c>
      <c r="Q114" s="17">
        <v>406.038838</v>
      </c>
      <c r="R114" s="17">
        <v>390.91276399999998</v>
      </c>
      <c r="S114" s="17">
        <v>378.62547499999999</v>
      </c>
      <c r="T114" s="17">
        <f>AVERAGE(Table143690117171198152155179[[#This Row],[Teste 1]:[Teste 3]])</f>
        <v>391.85902566666664</v>
      </c>
    </row>
    <row r="115" spans="1:20" x14ac:dyDescent="0.25">
      <c r="A115" s="16" t="s">
        <v>16</v>
      </c>
      <c r="B115" s="16" t="s">
        <v>6</v>
      </c>
      <c r="C115" s="17">
        <v>83</v>
      </c>
      <c r="D115" s="17">
        <v>84</v>
      </c>
      <c r="E115" s="17">
        <v>80</v>
      </c>
      <c r="F115" s="17">
        <f>AVERAGE(Table143690117171198152155[[#This Row],[Teste 1]:[Teste 3]])</f>
        <v>82.333333333333329</v>
      </c>
      <c r="G115" s="16"/>
      <c r="H115" s="16" t="s">
        <v>16</v>
      </c>
      <c r="I115" s="16" t="s">
        <v>6</v>
      </c>
      <c r="J115" s="17">
        <v>272</v>
      </c>
      <c r="K115" s="17">
        <v>285</v>
      </c>
      <c r="L115" s="17">
        <v>296</v>
      </c>
      <c r="M115" s="17">
        <f>AVERAGE(Table143690117171198152155167[[#This Row],[Teste 1]:[Teste 3]])</f>
        <v>284.33333333333331</v>
      </c>
      <c r="N115" s="16"/>
      <c r="O115" s="16" t="s">
        <v>16</v>
      </c>
      <c r="P115" s="16" t="s">
        <v>6</v>
      </c>
      <c r="Q115" s="17">
        <v>101</v>
      </c>
      <c r="R115" s="17">
        <v>106</v>
      </c>
      <c r="S115" s="17">
        <v>110</v>
      </c>
      <c r="T115" s="17">
        <f>AVERAGE(Table143690117171198152155179[[#This Row],[Teste 1]:[Teste 3]])</f>
        <v>105.66666666666667</v>
      </c>
    </row>
    <row r="116" spans="1:20" x14ac:dyDescent="0.25">
      <c r="A116" s="16" t="s">
        <v>16</v>
      </c>
      <c r="B116" s="16" t="s">
        <v>7</v>
      </c>
      <c r="C116" s="17">
        <v>6729727</v>
      </c>
      <c r="D116" s="17">
        <v>5791743</v>
      </c>
      <c r="E116" s="17">
        <v>6057983</v>
      </c>
      <c r="F116" s="17">
        <f>AVERAGE(Table143690117171198152155[[#This Row],[Teste 1]:[Teste 3]])</f>
        <v>6193151</v>
      </c>
      <c r="G116" s="16"/>
      <c r="H116" s="16" t="s">
        <v>16</v>
      </c>
      <c r="I116" s="16" t="s">
        <v>7</v>
      </c>
      <c r="J116" s="17">
        <v>8122929</v>
      </c>
      <c r="K116" s="17">
        <v>5410696</v>
      </c>
      <c r="L116" s="17">
        <v>5176645</v>
      </c>
      <c r="M116" s="17">
        <f>AVERAGE(Table143690117171198152155167[[#This Row],[Teste 1]:[Teste 3]])</f>
        <v>6236756.666666667</v>
      </c>
      <c r="N116" s="16"/>
      <c r="O116" s="16" t="s">
        <v>16</v>
      </c>
      <c r="P116" s="16" t="s">
        <v>7</v>
      </c>
      <c r="Q116" s="17">
        <v>3020799</v>
      </c>
      <c r="R116" s="17">
        <v>2012159</v>
      </c>
      <c r="S116" s="17">
        <v>1925119</v>
      </c>
      <c r="T116" s="17">
        <f>AVERAGE(Table143690117171198152155179[[#This Row],[Teste 1]:[Teste 3]])</f>
        <v>2319359</v>
      </c>
    </row>
    <row r="117" spans="1:20" x14ac:dyDescent="0.25">
      <c r="A117" s="16" t="s">
        <v>16</v>
      </c>
      <c r="B117" s="16" t="s">
        <v>8</v>
      </c>
      <c r="C117" s="17">
        <v>7275</v>
      </c>
      <c r="D117" s="17">
        <v>7015</v>
      </c>
      <c r="E117" s="17">
        <v>8103</v>
      </c>
      <c r="F117" s="17">
        <f>AVERAGE(Table143690117171198152155[[#This Row],[Teste 1]:[Teste 3]])</f>
        <v>7464.333333333333</v>
      </c>
      <c r="G117" s="16"/>
      <c r="H117" s="16" t="s">
        <v>16</v>
      </c>
      <c r="I117" s="16" t="s">
        <v>8</v>
      </c>
      <c r="J117" s="17">
        <v>2194</v>
      </c>
      <c r="K117" s="17">
        <v>2329</v>
      </c>
      <c r="L117" s="17">
        <v>2122</v>
      </c>
      <c r="M117" s="17">
        <f>AVERAGE(Table143690117171198152155167[[#This Row],[Teste 1]:[Teste 3]])</f>
        <v>2215</v>
      </c>
      <c r="N117" s="16"/>
      <c r="O117" s="16" t="s">
        <v>16</v>
      </c>
      <c r="P117" s="16" t="s">
        <v>8</v>
      </c>
      <c r="Q117" s="17">
        <v>816</v>
      </c>
      <c r="R117" s="17">
        <v>866</v>
      </c>
      <c r="S117" s="17">
        <v>789</v>
      </c>
      <c r="T117" s="17">
        <f>AVERAGE(Table143690117171198152155179[[#This Row],[Teste 1]:[Teste 3]])</f>
        <v>823.66666666666663</v>
      </c>
    </row>
    <row r="118" spans="1:20" x14ac:dyDescent="0.25">
      <c r="A118" s="16" t="s">
        <v>16</v>
      </c>
      <c r="B118" s="16" t="s">
        <v>9</v>
      </c>
      <c r="C118" s="17">
        <v>61791</v>
      </c>
      <c r="D118" s="17">
        <v>56703</v>
      </c>
      <c r="E118" s="17">
        <v>58719</v>
      </c>
      <c r="F118" s="17">
        <f>AVERAGE(Table143690117171198152155[[#This Row],[Teste 1]:[Teste 3]])</f>
        <v>59071</v>
      </c>
      <c r="G118" s="16"/>
      <c r="H118" s="16" t="s">
        <v>16</v>
      </c>
      <c r="I118" s="16" t="s">
        <v>9</v>
      </c>
      <c r="J118" s="17">
        <v>7527</v>
      </c>
      <c r="K118" s="17">
        <v>6844</v>
      </c>
      <c r="L118" s="17">
        <v>6446</v>
      </c>
      <c r="M118" s="17">
        <f>AVERAGE(Table143690117171198152155167[[#This Row],[Teste 1]:[Teste 3]])</f>
        <v>6939</v>
      </c>
      <c r="N118" s="16"/>
      <c r="O118" s="16" t="s">
        <v>16</v>
      </c>
      <c r="P118" s="16" t="s">
        <v>9</v>
      </c>
      <c r="Q118" s="17">
        <v>2799</v>
      </c>
      <c r="R118" s="17">
        <v>2545</v>
      </c>
      <c r="S118" s="17">
        <v>2397</v>
      </c>
      <c r="T118" s="17">
        <f>AVERAGE(Table143690117171198152155179[[#This Row],[Teste 1]:[Teste 3]])</f>
        <v>2580.3333333333335</v>
      </c>
    </row>
    <row r="119" spans="1:20" x14ac:dyDescent="0.25">
      <c r="A119" s="16" t="s">
        <v>16</v>
      </c>
      <c r="B119" s="16" t="s">
        <v>11</v>
      </c>
      <c r="C119" s="17">
        <v>1000000</v>
      </c>
      <c r="D119" s="17">
        <v>1000000</v>
      </c>
      <c r="E119" s="17">
        <v>1000000</v>
      </c>
      <c r="F119" s="17">
        <f>AVERAGE(Table143690117171198152155[[#This Row],[Teste 1]:[Teste 3]])</f>
        <v>1000000</v>
      </c>
      <c r="G119" s="16"/>
      <c r="H119" s="16" t="s">
        <v>16</v>
      </c>
      <c r="I119" s="16" t="s">
        <v>11</v>
      </c>
      <c r="J119" s="17">
        <v>1000000</v>
      </c>
      <c r="K119" s="17">
        <v>1000000</v>
      </c>
      <c r="L119" s="17">
        <v>1000000</v>
      </c>
      <c r="M119" s="17">
        <f>AVERAGE(Table143690117171198152155167[[#This Row],[Teste 1]:[Teste 3]])</f>
        <v>1000000</v>
      </c>
      <c r="N119" s="16"/>
      <c r="O119" s="16" t="s">
        <v>16</v>
      </c>
      <c r="P119" s="16" t="s">
        <v>11</v>
      </c>
      <c r="Q119" s="17">
        <v>1000000</v>
      </c>
      <c r="R119" s="17">
        <v>1000000</v>
      </c>
      <c r="S119" s="17">
        <v>1000000</v>
      </c>
      <c r="T119" s="17">
        <f>AVERAGE(Table143690117171198152155179[[#This Row],[Teste 1]:[Teste 3]])</f>
        <v>1000000</v>
      </c>
    </row>
    <row r="120" spans="1:20" x14ac:dyDescent="0.25">
      <c r="A120" s="16" t="s">
        <v>72</v>
      </c>
      <c r="B120" s="16" t="s">
        <v>4</v>
      </c>
      <c r="C120" s="17">
        <v>499972</v>
      </c>
      <c r="D120" s="17">
        <v>500732</v>
      </c>
      <c r="E120" s="17">
        <v>499434</v>
      </c>
      <c r="F120" s="17">
        <f>AVERAGE(Table143690117171198152155[[#This Row],[Teste 1]:[Teste 3]])</f>
        <v>500046</v>
      </c>
      <c r="G120" s="16"/>
      <c r="H120" s="16" t="s">
        <v>72</v>
      </c>
      <c r="I120" s="16" t="s">
        <v>4</v>
      </c>
      <c r="J120" s="17">
        <v>500011</v>
      </c>
      <c r="K120" s="17">
        <v>499400</v>
      </c>
      <c r="L120" s="17">
        <v>500619</v>
      </c>
      <c r="M120" s="17">
        <f>AVERAGE(Table143690117171198152155167[[#This Row],[Teste 1]:[Teste 3]])</f>
        <v>500010</v>
      </c>
      <c r="N120" s="16"/>
      <c r="O120" s="16" t="s">
        <v>72</v>
      </c>
      <c r="P120" s="16" t="s">
        <v>4</v>
      </c>
      <c r="Q120" s="17">
        <v>500118</v>
      </c>
      <c r="R120" s="17">
        <v>499856</v>
      </c>
      <c r="S120" s="17">
        <v>500462</v>
      </c>
      <c r="T120" s="17">
        <f>AVERAGE(Table143690117171198152155179[[#This Row],[Teste 1]:[Teste 3]])</f>
        <v>500145.33333333331</v>
      </c>
    </row>
    <row r="121" spans="1:20" x14ac:dyDescent="0.25">
      <c r="A121" s="16" t="s">
        <v>72</v>
      </c>
      <c r="B121" s="16" t="s">
        <v>5</v>
      </c>
      <c r="C121" s="17">
        <v>6840.4966698135004</v>
      </c>
      <c r="D121" s="17">
        <v>5722.3218288425696</v>
      </c>
      <c r="E121" s="17">
        <v>7518.9770019662201</v>
      </c>
      <c r="F121" s="17">
        <f>AVERAGE(Table143690117171198152155[[#This Row],[Teste 1]:[Teste 3]])</f>
        <v>6693.9318335407634</v>
      </c>
      <c r="G121" s="16"/>
      <c r="H121" s="16" t="s">
        <v>72</v>
      </c>
      <c r="I121" s="16" t="s">
        <v>5</v>
      </c>
      <c r="J121" s="17">
        <v>1998.22</v>
      </c>
      <c r="K121" s="17">
        <v>1934.05</v>
      </c>
      <c r="L121" s="17">
        <v>1905.94</v>
      </c>
      <c r="M121" s="17">
        <f>AVERAGE(Table143690117171198152155167[[#This Row],[Teste 1]:[Teste 3]])</f>
        <v>1946.07</v>
      </c>
      <c r="N121" s="16"/>
      <c r="O121" s="16" t="s">
        <v>72</v>
      </c>
      <c r="P121" s="16" t="s">
        <v>5</v>
      </c>
      <c r="Q121" s="17">
        <v>743.10803650338505</v>
      </c>
      <c r="R121" s="17">
        <v>719.24529464485704</v>
      </c>
      <c r="S121" s="17">
        <v>708.79047759869798</v>
      </c>
      <c r="T121" s="17">
        <f>AVERAGE(Table143690117171198152155179[[#This Row],[Teste 1]:[Teste 3]])</f>
        <v>723.71460291564665</v>
      </c>
    </row>
    <row r="122" spans="1:20" x14ac:dyDescent="0.25">
      <c r="A122" s="16" t="s">
        <v>72</v>
      </c>
      <c r="B122" s="16" t="s">
        <v>6</v>
      </c>
      <c r="C122" s="17">
        <v>219</v>
      </c>
      <c r="D122" s="17">
        <v>219</v>
      </c>
      <c r="E122" s="17">
        <v>209</v>
      </c>
      <c r="F122" s="17">
        <f>AVERAGE(Table143690117171198152155[[#This Row],[Teste 1]:[Teste 3]])</f>
        <v>215.66666666666666</v>
      </c>
      <c r="G122" s="16"/>
      <c r="H122" s="16" t="s">
        <v>72</v>
      </c>
      <c r="I122" s="16" t="s">
        <v>6</v>
      </c>
      <c r="J122" s="17">
        <v>861</v>
      </c>
      <c r="K122" s="17">
        <v>852</v>
      </c>
      <c r="L122" s="17">
        <v>868</v>
      </c>
      <c r="M122" s="17">
        <f>AVERAGE(Table143690117171198152155167[[#This Row],[Teste 1]:[Teste 3]])</f>
        <v>860.33333333333337</v>
      </c>
      <c r="N122" s="16"/>
      <c r="O122" s="16" t="s">
        <v>72</v>
      </c>
      <c r="P122" s="16" t="s">
        <v>6</v>
      </c>
      <c r="Q122" s="17">
        <v>320</v>
      </c>
      <c r="R122" s="17">
        <v>317</v>
      </c>
      <c r="S122" s="17">
        <v>323</v>
      </c>
      <c r="T122" s="17">
        <f>AVERAGE(Table143690117171198152155179[[#This Row],[Teste 1]:[Teste 3]])</f>
        <v>320</v>
      </c>
    </row>
    <row r="123" spans="1:20" x14ac:dyDescent="0.25">
      <c r="A123" s="16" t="s">
        <v>72</v>
      </c>
      <c r="B123" s="16" t="s">
        <v>7</v>
      </c>
      <c r="C123" s="17">
        <v>6701055</v>
      </c>
      <c r="D123" s="17">
        <v>5795839</v>
      </c>
      <c r="E123" s="17">
        <v>5984255</v>
      </c>
      <c r="F123" s="17">
        <f>AVERAGE(Table143690117171198152155[[#This Row],[Teste 1]:[Teste 3]])</f>
        <v>6160383</v>
      </c>
      <c r="G123" s="16"/>
      <c r="H123" s="16" t="s">
        <v>72</v>
      </c>
      <c r="I123" s="16" t="s">
        <v>7</v>
      </c>
      <c r="J123" s="17">
        <v>5128436</v>
      </c>
      <c r="K123" s="17">
        <v>5410696</v>
      </c>
      <c r="L123" s="17">
        <v>5179399</v>
      </c>
      <c r="M123" s="17">
        <f>AVERAGE(Table143690117171198152155167[[#This Row],[Teste 1]:[Teste 3]])</f>
        <v>5239510.333333333</v>
      </c>
      <c r="N123" s="16"/>
      <c r="O123" s="16" t="s">
        <v>72</v>
      </c>
      <c r="P123" s="16" t="s">
        <v>7</v>
      </c>
      <c r="Q123" s="17">
        <v>3022847</v>
      </c>
      <c r="R123" s="17">
        <v>2012159</v>
      </c>
      <c r="S123" s="17">
        <v>1926143</v>
      </c>
      <c r="T123" s="17">
        <f>AVERAGE(Table143690117171198152155179[[#This Row],[Teste 1]:[Teste 3]])</f>
        <v>2320383</v>
      </c>
    </row>
    <row r="124" spans="1:20" x14ac:dyDescent="0.25">
      <c r="A124" s="16" t="s">
        <v>72</v>
      </c>
      <c r="B124" s="16" t="s">
        <v>8</v>
      </c>
      <c r="C124" s="17">
        <v>7783</v>
      </c>
      <c r="D124" s="17">
        <v>7523</v>
      </c>
      <c r="E124" s="17">
        <v>8927</v>
      </c>
      <c r="F124" s="17">
        <f>AVERAGE(Table143690117171198152155[[#This Row],[Teste 1]:[Teste 3]])</f>
        <v>8077.666666666667</v>
      </c>
      <c r="G124" s="16"/>
      <c r="H124" s="16" t="s">
        <v>72</v>
      </c>
      <c r="I124" s="16" t="s">
        <v>8</v>
      </c>
      <c r="J124" s="17">
        <v>3442</v>
      </c>
      <c r="K124" s="17">
        <v>3749</v>
      </c>
      <c r="L124" s="17">
        <v>3337</v>
      </c>
      <c r="M124" s="17">
        <f>AVERAGE(Table143690117171198152155167[[#This Row],[Teste 1]:[Teste 3]])</f>
        <v>3509.3333333333335</v>
      </c>
      <c r="N124" s="16"/>
      <c r="O124" s="16" t="s">
        <v>72</v>
      </c>
      <c r="P124" s="16" t="s">
        <v>8</v>
      </c>
      <c r="Q124" s="17">
        <v>1280</v>
      </c>
      <c r="R124" s="17">
        <v>1394</v>
      </c>
      <c r="S124" s="17">
        <v>1241</v>
      </c>
      <c r="T124" s="17">
        <f>AVERAGE(Table143690117171198152155179[[#This Row],[Teste 1]:[Teste 3]])</f>
        <v>1305</v>
      </c>
    </row>
    <row r="125" spans="1:20" x14ac:dyDescent="0.25">
      <c r="A125" s="16" t="s">
        <v>72</v>
      </c>
      <c r="B125" s="16" t="s">
        <v>9</v>
      </c>
      <c r="C125" s="17">
        <v>62239</v>
      </c>
      <c r="D125" s="17">
        <v>57119</v>
      </c>
      <c r="E125" s="17">
        <v>59199</v>
      </c>
      <c r="F125" s="17">
        <f>AVERAGE(Table143690117171198152155[[#This Row],[Teste 1]:[Teste 3]])</f>
        <v>59519</v>
      </c>
      <c r="G125" s="16"/>
      <c r="H125" s="16" t="s">
        <v>72</v>
      </c>
      <c r="I125" s="16" t="s">
        <v>9</v>
      </c>
      <c r="J125" s="17">
        <v>9242</v>
      </c>
      <c r="K125" s="17">
        <v>8753</v>
      </c>
      <c r="L125" s="17">
        <v>8150</v>
      </c>
      <c r="M125" s="17">
        <f>AVERAGE(Table143690117171198152155167[[#This Row],[Teste 1]:[Teste 3]])</f>
        <v>8715</v>
      </c>
      <c r="N125" s="16"/>
      <c r="O125" s="16" t="s">
        <v>72</v>
      </c>
      <c r="P125" s="16" t="s">
        <v>9</v>
      </c>
      <c r="Q125" s="17">
        <v>3437</v>
      </c>
      <c r="R125" s="17">
        <v>3255</v>
      </c>
      <c r="S125" s="17">
        <v>3031</v>
      </c>
      <c r="T125" s="17">
        <f>AVERAGE(Table143690117171198152155179[[#This Row],[Teste 1]:[Teste 3]])</f>
        <v>3241</v>
      </c>
    </row>
    <row r="126" spans="1:20" x14ac:dyDescent="0.25">
      <c r="A126" s="16" t="s">
        <v>3</v>
      </c>
      <c r="B126" s="16" t="s">
        <v>4</v>
      </c>
      <c r="C126" s="17">
        <v>1</v>
      </c>
      <c r="D126" s="17">
        <v>1</v>
      </c>
      <c r="E126" s="17">
        <v>1</v>
      </c>
      <c r="F126" s="17">
        <f>AVERAGE(Table143690117171198152155[[#This Row],[Teste 1]:[Teste 3]])</f>
        <v>1</v>
      </c>
      <c r="G126" s="16"/>
      <c r="H126" s="16" t="s">
        <v>3</v>
      </c>
      <c r="I126" s="16" t="s">
        <v>4</v>
      </c>
      <c r="J126" s="17">
        <v>1</v>
      </c>
      <c r="K126" s="17">
        <v>1</v>
      </c>
      <c r="L126" s="17">
        <v>1</v>
      </c>
      <c r="M126" s="17">
        <f>AVERAGE(Table143690117171198152155167[[#This Row],[Teste 1]:[Teste 3]])</f>
        <v>1</v>
      </c>
      <c r="N126" s="16"/>
      <c r="O126" s="16" t="s">
        <v>3</v>
      </c>
      <c r="P126" s="16" t="s">
        <v>4</v>
      </c>
      <c r="Q126" s="17">
        <v>1</v>
      </c>
      <c r="R126" s="17">
        <v>1</v>
      </c>
      <c r="S126" s="17">
        <v>1</v>
      </c>
      <c r="T126" s="17">
        <f>AVERAGE(Table143690117171198152155179[[#This Row],[Teste 1]:[Teste 3]])</f>
        <v>1</v>
      </c>
    </row>
    <row r="127" spans="1:20" x14ac:dyDescent="0.25">
      <c r="A127" s="16" t="s">
        <v>3</v>
      </c>
      <c r="B127" s="16" t="s">
        <v>5</v>
      </c>
      <c r="C127" s="17">
        <v>19</v>
      </c>
      <c r="D127" s="17">
        <v>2</v>
      </c>
      <c r="E127" s="17">
        <v>4</v>
      </c>
      <c r="F127" s="17">
        <f>AVERAGE(Table143690117171198152155[[#This Row],[Teste 1]:[Teste 3]])</f>
        <v>8.3333333333333339</v>
      </c>
      <c r="G127" s="16"/>
      <c r="H127" s="16" t="s">
        <v>3</v>
      </c>
      <c r="I127" s="16" t="s">
        <v>5</v>
      </c>
      <c r="J127" s="17">
        <v>17</v>
      </c>
      <c r="K127" s="17">
        <v>7</v>
      </c>
      <c r="L127" s="17">
        <v>11</v>
      </c>
      <c r="M127" s="17">
        <f>AVERAGE(Table143690117171198152155167[[#This Row],[Teste 1]:[Teste 3]])</f>
        <v>11.666666666666666</v>
      </c>
      <c r="N127" s="16"/>
      <c r="O127" s="16" t="s">
        <v>3</v>
      </c>
      <c r="P127" s="16" t="s">
        <v>5</v>
      </c>
      <c r="Q127" s="17">
        <v>6002</v>
      </c>
      <c r="R127" s="17">
        <v>2939</v>
      </c>
      <c r="S127" s="17">
        <v>1944</v>
      </c>
      <c r="T127" s="17">
        <f>AVERAGE(Table143690117171198152155179[[#This Row],[Teste 1]:[Teste 3]])</f>
        <v>3628.3333333333335</v>
      </c>
    </row>
    <row r="128" spans="1:20" x14ac:dyDescent="0.25">
      <c r="A128" s="16" t="s">
        <v>3</v>
      </c>
      <c r="B128" s="16" t="s">
        <v>6</v>
      </c>
      <c r="C128" s="17">
        <v>19</v>
      </c>
      <c r="D128" s="17">
        <v>2</v>
      </c>
      <c r="E128" s="17">
        <v>4</v>
      </c>
      <c r="F128" s="17">
        <f>AVERAGE(Table143690117171198152155[[#This Row],[Teste 1]:[Teste 3]])</f>
        <v>8.3333333333333339</v>
      </c>
      <c r="G128" s="16"/>
      <c r="H128" s="16" t="s">
        <v>3</v>
      </c>
      <c r="I128" s="16" t="s">
        <v>6</v>
      </c>
      <c r="J128" s="17">
        <v>17</v>
      </c>
      <c r="K128" s="17">
        <v>7</v>
      </c>
      <c r="L128" s="17">
        <v>11</v>
      </c>
      <c r="M128" s="17">
        <f>AVERAGE(Table143690117171198152155167[[#This Row],[Teste 1]:[Teste 3]])</f>
        <v>11.666666666666666</v>
      </c>
      <c r="N128" s="16"/>
      <c r="O128" s="16" t="s">
        <v>3</v>
      </c>
      <c r="P128" s="16" t="s">
        <v>6</v>
      </c>
      <c r="Q128" s="17">
        <v>6002</v>
      </c>
      <c r="R128" s="17">
        <v>2939</v>
      </c>
      <c r="S128" s="17">
        <v>1944</v>
      </c>
      <c r="T128" s="17">
        <f>AVERAGE(Table143690117171198152155179[[#This Row],[Teste 1]:[Teste 3]])</f>
        <v>3628.3333333333335</v>
      </c>
    </row>
    <row r="129" spans="1:20" x14ac:dyDescent="0.25">
      <c r="A129" s="16" t="s">
        <v>3</v>
      </c>
      <c r="B129" s="16" t="s">
        <v>7</v>
      </c>
      <c r="C129" s="17">
        <v>19</v>
      </c>
      <c r="D129" s="17">
        <v>2</v>
      </c>
      <c r="E129" s="17">
        <v>4</v>
      </c>
      <c r="F129" s="17">
        <f>AVERAGE(Table143690117171198152155[[#This Row],[Teste 1]:[Teste 3]])</f>
        <v>8.3333333333333339</v>
      </c>
      <c r="G129" s="16"/>
      <c r="H129" s="16" t="s">
        <v>3</v>
      </c>
      <c r="I129" s="16" t="s">
        <v>7</v>
      </c>
      <c r="J129" s="17">
        <v>17</v>
      </c>
      <c r="K129" s="17">
        <v>7</v>
      </c>
      <c r="L129" s="17">
        <v>11</v>
      </c>
      <c r="M129" s="17">
        <f>AVERAGE(Table143690117171198152155167[[#This Row],[Teste 1]:[Teste 3]])</f>
        <v>11.666666666666666</v>
      </c>
      <c r="N129" s="16"/>
      <c r="O129" s="16" t="s">
        <v>3</v>
      </c>
      <c r="P129" s="16" t="s">
        <v>7</v>
      </c>
      <c r="Q129" s="17">
        <v>6002</v>
      </c>
      <c r="R129" s="17">
        <v>2939</v>
      </c>
      <c r="S129" s="17">
        <v>1944</v>
      </c>
      <c r="T129" s="17">
        <f>AVERAGE(Table143690117171198152155179[[#This Row],[Teste 1]:[Teste 3]])</f>
        <v>3628.3333333333335</v>
      </c>
    </row>
    <row r="130" spans="1:20" x14ac:dyDescent="0.25">
      <c r="A130" s="16" t="s">
        <v>3</v>
      </c>
      <c r="B130" s="16" t="s">
        <v>8</v>
      </c>
      <c r="C130" s="17">
        <v>19</v>
      </c>
      <c r="D130" s="17">
        <v>2</v>
      </c>
      <c r="E130" s="17">
        <v>4</v>
      </c>
      <c r="F130" s="17">
        <f>AVERAGE(Table143690117171198152155[[#This Row],[Teste 1]:[Teste 3]])</f>
        <v>8.3333333333333339</v>
      </c>
      <c r="G130" s="16"/>
      <c r="H130" s="16" t="s">
        <v>3</v>
      </c>
      <c r="I130" s="16" t="s">
        <v>8</v>
      </c>
      <c r="J130" s="17">
        <v>17</v>
      </c>
      <c r="K130" s="17">
        <v>7</v>
      </c>
      <c r="L130" s="17">
        <v>11</v>
      </c>
      <c r="M130" s="17">
        <f>AVERAGE(Table143690117171198152155167[[#This Row],[Teste 1]:[Teste 3]])</f>
        <v>11.666666666666666</v>
      </c>
      <c r="N130" s="16"/>
      <c r="O130" s="16" t="s">
        <v>3</v>
      </c>
      <c r="P130" s="16" t="s">
        <v>8</v>
      </c>
      <c r="Q130" s="17">
        <v>6002</v>
      </c>
      <c r="R130" s="17">
        <v>2939</v>
      </c>
      <c r="S130" s="17">
        <v>1944</v>
      </c>
      <c r="T130" s="17">
        <f>AVERAGE(Table143690117171198152155179[[#This Row],[Teste 1]:[Teste 3]])</f>
        <v>3628.3333333333335</v>
      </c>
    </row>
    <row r="131" spans="1:20" x14ac:dyDescent="0.25">
      <c r="A131" s="16" t="s">
        <v>3</v>
      </c>
      <c r="B131" s="16" t="s">
        <v>9</v>
      </c>
      <c r="C131" s="17">
        <v>19</v>
      </c>
      <c r="D131" s="17">
        <v>2</v>
      </c>
      <c r="E131" s="17">
        <v>4</v>
      </c>
      <c r="F131" s="17">
        <f>AVERAGE(Table143690117171198152155[[#This Row],[Teste 1]:[Teste 3]])</f>
        <v>8.3333333333333339</v>
      </c>
      <c r="G131" s="16"/>
      <c r="H131" s="16" t="s">
        <v>3</v>
      </c>
      <c r="I131" s="16" t="s">
        <v>9</v>
      </c>
      <c r="J131" s="17">
        <v>17</v>
      </c>
      <c r="K131" s="17">
        <v>7</v>
      </c>
      <c r="L131" s="17">
        <v>11</v>
      </c>
      <c r="M131" s="17">
        <f>AVERAGE(Table143690117171198152155167[[#This Row],[Teste 1]:[Teste 3]])</f>
        <v>11.666666666666666</v>
      </c>
      <c r="N131" s="16"/>
      <c r="O131" s="16" t="s">
        <v>3</v>
      </c>
      <c r="P131" s="16" t="s">
        <v>9</v>
      </c>
      <c r="Q131" s="17">
        <v>6002</v>
      </c>
      <c r="R131" s="17">
        <v>2939</v>
      </c>
      <c r="S131" s="17">
        <v>1944</v>
      </c>
      <c r="T131" s="17">
        <f>AVERAGE(Table143690117171198152155179[[#This Row],[Teste 1]:[Teste 3]])</f>
        <v>3628.3333333333335</v>
      </c>
    </row>
    <row r="132" spans="1:20" x14ac:dyDescent="0.25">
      <c r="A132" s="16" t="s">
        <v>17</v>
      </c>
      <c r="B132" s="16" t="s">
        <v>4</v>
      </c>
      <c r="C132" s="17">
        <v>499972</v>
      </c>
      <c r="D132" s="17">
        <v>500732</v>
      </c>
      <c r="E132" s="17">
        <v>499434</v>
      </c>
      <c r="F132" s="17">
        <f>AVERAGE(Table143690117171198152155[[#This Row],[Teste 1]:[Teste 3]])</f>
        <v>500046</v>
      </c>
      <c r="G132" s="16"/>
      <c r="H132" s="16" t="s">
        <v>17</v>
      </c>
      <c r="I132" s="16" t="s">
        <v>4</v>
      </c>
      <c r="J132" s="17">
        <v>500011</v>
      </c>
      <c r="K132" s="17">
        <v>499400</v>
      </c>
      <c r="L132" s="17">
        <v>500619</v>
      </c>
      <c r="M132" s="17">
        <f>AVERAGE(Table143690117171198152155167[[#This Row],[Teste 1]:[Teste 3]])</f>
        <v>500010</v>
      </c>
      <c r="N132" s="16"/>
      <c r="O132" s="16" t="s">
        <v>17</v>
      </c>
      <c r="P132" s="16" t="s">
        <v>4</v>
      </c>
      <c r="Q132" s="17">
        <v>500118</v>
      </c>
      <c r="R132" s="17">
        <v>499856</v>
      </c>
      <c r="S132" s="17">
        <v>500462</v>
      </c>
      <c r="T132" s="17">
        <f>AVERAGE(Table143690117171198152155179[[#This Row],[Teste 1]:[Teste 3]])</f>
        <v>500145.33333333331</v>
      </c>
    </row>
    <row r="133" spans="1:20" x14ac:dyDescent="0.25">
      <c r="A133" s="16" t="s">
        <v>17</v>
      </c>
      <c r="B133" s="16" t="s">
        <v>5</v>
      </c>
      <c r="C133" s="17">
        <v>356.29720064323601</v>
      </c>
      <c r="D133" s="17">
        <v>340.87924478563298</v>
      </c>
      <c r="E133" s="17">
        <v>368.23089537356202</v>
      </c>
      <c r="F133" s="17">
        <f>AVERAGE(Table143690117171198152155[[#This Row],[Teste 1]:[Teste 3]])</f>
        <v>355.135780267477</v>
      </c>
      <c r="G133" s="16"/>
      <c r="H133" s="16" t="s">
        <v>17</v>
      </c>
      <c r="I133" s="16" t="s">
        <v>5</v>
      </c>
      <c r="J133" s="17">
        <v>895.23</v>
      </c>
      <c r="K133" s="17">
        <v>857.6</v>
      </c>
      <c r="L133" s="17">
        <v>865.61</v>
      </c>
      <c r="M133" s="17">
        <f>AVERAGE(Table143690117171198152155167[[#This Row],[Teste 1]:[Teste 3]])</f>
        <v>872.81333333333339</v>
      </c>
      <c r="N133" s="16"/>
      <c r="O133" s="16" t="s">
        <v>17</v>
      </c>
      <c r="P133" s="16" t="s">
        <v>5</v>
      </c>
      <c r="Q133" s="17">
        <v>332.92448782087399</v>
      </c>
      <c r="R133" s="17">
        <v>318.92974576678</v>
      </c>
      <c r="S133" s="17">
        <v>321.90900408022901</v>
      </c>
      <c r="T133" s="17">
        <f>AVERAGE(Table143690117171198152155179[[#This Row],[Teste 1]:[Teste 3]])</f>
        <v>324.58774588929435</v>
      </c>
    </row>
    <row r="134" spans="1:20" x14ac:dyDescent="0.25">
      <c r="A134" s="16" t="s">
        <v>17</v>
      </c>
      <c r="B134" s="16" t="s">
        <v>6</v>
      </c>
      <c r="C134" s="17">
        <v>117</v>
      </c>
      <c r="D134" s="17">
        <v>117</v>
      </c>
      <c r="E134" s="17">
        <v>113</v>
      </c>
      <c r="F134" s="17">
        <f>AVERAGE(Table143690117171198152155[[#This Row],[Teste 1]:[Teste 3]])</f>
        <v>115.66666666666667</v>
      </c>
      <c r="G134" s="16"/>
      <c r="H134" s="16" t="s">
        <v>17</v>
      </c>
      <c r="I134" s="16" t="s">
        <v>6</v>
      </c>
      <c r="J134" s="17">
        <v>479</v>
      </c>
      <c r="K134" s="17">
        <v>476</v>
      </c>
      <c r="L134" s="17">
        <v>492</v>
      </c>
      <c r="M134" s="17">
        <f>AVERAGE(Table143690117171198152155167[[#This Row],[Teste 1]:[Teste 3]])</f>
        <v>482.33333333333331</v>
      </c>
      <c r="N134" s="16"/>
      <c r="O134" s="16" t="s">
        <v>17</v>
      </c>
      <c r="P134" s="16" t="s">
        <v>6</v>
      </c>
      <c r="Q134" s="17">
        <v>178</v>
      </c>
      <c r="R134" s="17">
        <v>177</v>
      </c>
      <c r="S134" s="17">
        <v>183</v>
      </c>
      <c r="T134" s="17">
        <f>AVERAGE(Table143690117171198152155179[[#This Row],[Teste 1]:[Teste 3]])</f>
        <v>179.33333333333334</v>
      </c>
    </row>
    <row r="135" spans="1:20" x14ac:dyDescent="0.25">
      <c r="A135" s="16" t="s">
        <v>17</v>
      </c>
      <c r="B135" s="16" t="s">
        <v>7</v>
      </c>
      <c r="C135" s="17">
        <v>169215</v>
      </c>
      <c r="D135" s="17">
        <v>63807</v>
      </c>
      <c r="E135" s="17">
        <v>495359</v>
      </c>
      <c r="F135" s="17">
        <f>AVERAGE(Table143690117171198152155[[#This Row],[Teste 1]:[Teste 3]])</f>
        <v>242793.66666666666</v>
      </c>
      <c r="G135" s="16"/>
      <c r="H135" s="16" t="s">
        <v>17</v>
      </c>
      <c r="I135" s="16" t="s">
        <v>7</v>
      </c>
      <c r="J135" s="17">
        <v>110311</v>
      </c>
      <c r="K135" s="17">
        <v>171491</v>
      </c>
      <c r="L135" s="17">
        <v>97060</v>
      </c>
      <c r="M135" s="17">
        <f>AVERAGE(Table143690117171198152155167[[#This Row],[Teste 1]:[Teste 3]])</f>
        <v>126287.33333333333</v>
      </c>
      <c r="N135" s="16"/>
      <c r="O135" s="16" t="s">
        <v>17</v>
      </c>
      <c r="P135" s="16" t="s">
        <v>7</v>
      </c>
      <c r="Q135" s="17">
        <v>41023</v>
      </c>
      <c r="R135" s="17">
        <v>63775</v>
      </c>
      <c r="S135" s="17">
        <v>36095</v>
      </c>
      <c r="T135" s="17">
        <f>AVERAGE(Table143690117171198152155179[[#This Row],[Teste 1]:[Teste 3]])</f>
        <v>46964.333333333336</v>
      </c>
    </row>
    <row r="136" spans="1:20" x14ac:dyDescent="0.25">
      <c r="A136" s="16" t="s">
        <v>17</v>
      </c>
      <c r="B136" s="16" t="s">
        <v>8</v>
      </c>
      <c r="C136" s="17">
        <v>580</v>
      </c>
      <c r="D136" s="17">
        <v>529</v>
      </c>
      <c r="E136" s="17">
        <v>581</v>
      </c>
      <c r="F136" s="17">
        <f>AVERAGE(Table143690117171198152155[[#This Row],[Teste 1]:[Teste 3]])</f>
        <v>563.33333333333337</v>
      </c>
      <c r="G136" s="16"/>
      <c r="H136" s="16" t="s">
        <v>17</v>
      </c>
      <c r="I136" s="16" t="s">
        <v>8</v>
      </c>
      <c r="J136" s="17">
        <v>1420</v>
      </c>
      <c r="K136" s="17">
        <v>1517</v>
      </c>
      <c r="L136" s="17">
        <v>1337</v>
      </c>
      <c r="M136" s="17">
        <f>AVERAGE(Table143690117171198152155167[[#This Row],[Teste 1]:[Teste 3]])</f>
        <v>1424.6666666666667</v>
      </c>
      <c r="N136" s="16"/>
      <c r="O136" s="16" t="s">
        <v>17</v>
      </c>
      <c r="P136" s="16" t="s">
        <v>8</v>
      </c>
      <c r="Q136" s="17">
        <v>528</v>
      </c>
      <c r="R136" s="17">
        <v>564</v>
      </c>
      <c r="S136" s="17">
        <v>497</v>
      </c>
      <c r="T136" s="17">
        <f>AVERAGE(Table143690117171198152155179[[#This Row],[Teste 1]:[Teste 3]])</f>
        <v>529.66666666666663</v>
      </c>
    </row>
    <row r="137" spans="1:20" x14ac:dyDescent="0.25">
      <c r="A137" s="16" t="s">
        <v>17</v>
      </c>
      <c r="B137" s="16" t="s">
        <v>9</v>
      </c>
      <c r="C137" s="17">
        <v>1043</v>
      </c>
      <c r="D137" s="17">
        <v>900</v>
      </c>
      <c r="E137" s="17">
        <v>1073</v>
      </c>
      <c r="F137" s="17">
        <f>AVERAGE(Table143690117171198152155[[#This Row],[Teste 1]:[Teste 3]])</f>
        <v>1005.3333333333334</v>
      </c>
      <c r="G137" s="16"/>
      <c r="H137" s="16" t="s">
        <v>17</v>
      </c>
      <c r="I137" s="16" t="s">
        <v>9</v>
      </c>
      <c r="J137" s="17">
        <v>1976</v>
      </c>
      <c r="K137" s="17">
        <v>2369</v>
      </c>
      <c r="L137" s="17">
        <v>1920</v>
      </c>
      <c r="M137" s="17">
        <f>AVERAGE(Table143690117171198152155167[[#This Row],[Teste 1]:[Teste 3]])</f>
        <v>2088.3333333333335</v>
      </c>
      <c r="N137" s="16"/>
      <c r="O137" s="16" t="s">
        <v>17</v>
      </c>
      <c r="P137" s="16" t="s">
        <v>9</v>
      </c>
      <c r="Q137" s="17">
        <v>735</v>
      </c>
      <c r="R137" s="17">
        <v>881</v>
      </c>
      <c r="S137" s="17">
        <v>714</v>
      </c>
      <c r="T137" s="17">
        <f>AVERAGE(Table143690117171198152155179[[#This Row],[Teste 1]:[Teste 3]])</f>
        <v>776.66666666666663</v>
      </c>
    </row>
    <row r="138" spans="1:20" x14ac:dyDescent="0.25">
      <c r="A138" s="16" t="s">
        <v>17</v>
      </c>
      <c r="B138" s="16" t="s">
        <v>11</v>
      </c>
      <c r="C138" s="17">
        <v>499972</v>
      </c>
      <c r="D138" s="17">
        <v>500732</v>
      </c>
      <c r="E138" s="17">
        <v>499434</v>
      </c>
      <c r="F138" s="17">
        <f>AVERAGE(Table143690117171198152155[[#This Row],[Teste 1]:[Teste 3]])</f>
        <v>500046</v>
      </c>
      <c r="G138" s="16"/>
      <c r="H138" s="16" t="s">
        <v>17</v>
      </c>
      <c r="I138" s="16" t="s">
        <v>11</v>
      </c>
      <c r="J138" s="17">
        <v>500011</v>
      </c>
      <c r="K138" s="17">
        <v>499400</v>
      </c>
      <c r="L138" s="17">
        <v>500619</v>
      </c>
      <c r="M138" s="17">
        <f>AVERAGE(Table143690117171198152155167[[#This Row],[Teste 1]:[Teste 3]])</f>
        <v>500010</v>
      </c>
      <c r="N138" s="16"/>
      <c r="O138" s="16" t="s">
        <v>17</v>
      </c>
      <c r="P138" s="16" t="s">
        <v>11</v>
      </c>
      <c r="Q138" s="17">
        <v>500118</v>
      </c>
      <c r="R138" s="17">
        <v>499856</v>
      </c>
      <c r="S138" s="17">
        <v>500462</v>
      </c>
      <c r="T138" s="17">
        <f>AVERAGE(Table143690117171198152155179[[#This Row],[Teste 1]:[Teste 3]])</f>
        <v>500145.33333333331</v>
      </c>
    </row>
    <row r="139" spans="1:20" x14ac:dyDescent="0.25">
      <c r="A139" s="16"/>
      <c r="B139" s="16"/>
      <c r="C139" s="17"/>
      <c r="D139" s="17"/>
      <c r="E139" s="17"/>
      <c r="F139" s="17"/>
      <c r="G139" s="16"/>
      <c r="H139" s="16"/>
      <c r="I139" s="16"/>
      <c r="J139" s="17"/>
      <c r="K139" s="17"/>
      <c r="L139" s="17"/>
      <c r="M139" s="17"/>
      <c r="N139" s="16"/>
      <c r="O139" s="16"/>
      <c r="P139" s="16"/>
      <c r="Q139" s="17"/>
      <c r="R139" s="17"/>
      <c r="S139" s="17"/>
      <c r="T139" s="17"/>
    </row>
    <row r="140" spans="1:20" x14ac:dyDescent="0.25">
      <c r="A140" s="16"/>
      <c r="B140" s="16"/>
      <c r="C140" s="17"/>
      <c r="D140" s="17"/>
      <c r="E140" s="17"/>
      <c r="F140" s="17"/>
      <c r="G140" s="16"/>
      <c r="H140" s="16"/>
      <c r="I140" s="16"/>
      <c r="J140" s="17"/>
      <c r="K140" s="17"/>
      <c r="L140" s="17"/>
      <c r="M140" s="17"/>
      <c r="N140" s="16"/>
      <c r="O140" s="16"/>
      <c r="P140" s="16"/>
      <c r="Q140" s="17"/>
      <c r="R140" s="17"/>
      <c r="S140" s="17"/>
      <c r="T140" s="17"/>
    </row>
    <row r="141" spans="1:20" x14ac:dyDescent="0.25">
      <c r="A141" s="16"/>
      <c r="B141" s="16"/>
      <c r="C141" s="17"/>
      <c r="D141" s="17"/>
      <c r="E141" s="17"/>
      <c r="F141" s="17"/>
      <c r="G141" s="16"/>
      <c r="H141" s="16"/>
      <c r="I141" s="16"/>
      <c r="J141" s="17"/>
      <c r="K141" s="17"/>
      <c r="L141" s="17"/>
      <c r="M141" s="17"/>
      <c r="N141" s="16"/>
      <c r="O141" s="16"/>
      <c r="P141" s="16"/>
      <c r="Q141" s="17"/>
      <c r="R141" s="17"/>
      <c r="S141" s="17"/>
      <c r="T141" s="17"/>
    </row>
    <row r="143" spans="1:20" ht="15.75" x14ac:dyDescent="0.25">
      <c r="A143" s="2" t="s">
        <v>74</v>
      </c>
      <c r="H143" s="2" t="s">
        <v>74</v>
      </c>
      <c r="O143" s="2" t="s">
        <v>74</v>
      </c>
    </row>
    <row r="144" spans="1:20" ht="15.75" x14ac:dyDescent="0.25">
      <c r="A144" s="16" t="s">
        <v>59</v>
      </c>
      <c r="B144" s="21" t="s">
        <v>66</v>
      </c>
      <c r="C144" s="16" t="s">
        <v>82</v>
      </c>
      <c r="D144" s="16" t="s">
        <v>64</v>
      </c>
      <c r="E144" s="16" t="s">
        <v>63</v>
      </c>
      <c r="F144" s="16" t="s">
        <v>18</v>
      </c>
      <c r="G144" s="16"/>
      <c r="H144" s="16" t="s">
        <v>12</v>
      </c>
      <c r="I144" s="21" t="s">
        <v>66</v>
      </c>
      <c r="J144" s="16" t="s">
        <v>82</v>
      </c>
      <c r="K144" s="16" t="s">
        <v>64</v>
      </c>
      <c r="L144" s="16" t="s">
        <v>63</v>
      </c>
      <c r="M144" s="16" t="s">
        <v>18</v>
      </c>
      <c r="N144" s="16"/>
      <c r="O144" s="16" t="s">
        <v>13</v>
      </c>
      <c r="P144" s="21" t="s">
        <v>66</v>
      </c>
      <c r="Q144" s="16" t="s">
        <v>82</v>
      </c>
      <c r="R144" s="16" t="s">
        <v>64</v>
      </c>
      <c r="S144" s="16" t="s">
        <v>63</v>
      </c>
      <c r="T144" s="16" t="s">
        <v>18</v>
      </c>
    </row>
    <row r="145" spans="1:20" x14ac:dyDescent="0.25">
      <c r="A145" s="16" t="s">
        <v>0</v>
      </c>
      <c r="B145" s="16" t="s">
        <v>1</v>
      </c>
      <c r="C145" s="17">
        <v>2884047</v>
      </c>
      <c r="D145" s="17">
        <v>2545335</v>
      </c>
      <c r="E145" s="17">
        <v>3037326</v>
      </c>
      <c r="F145" s="17">
        <f>AVERAGE(Table143690117171198152153156[[#This Row],[Teste 1]:[Teste 3]])</f>
        <v>2822236</v>
      </c>
      <c r="G145" s="16"/>
      <c r="H145" s="16" t="s">
        <v>0</v>
      </c>
      <c r="I145" s="16" t="s">
        <v>1</v>
      </c>
      <c r="J145" s="17">
        <v>721834</v>
      </c>
      <c r="K145" s="17">
        <v>751681</v>
      </c>
      <c r="L145" s="17">
        <v>731379</v>
      </c>
      <c r="M145" s="17">
        <f>AVERAGE(Table143690117171198152153156168[[#This Row],[Teste 1]:[Teste 3]])</f>
        <v>734964.66666666663</v>
      </c>
      <c r="N145" s="16"/>
      <c r="O145" s="16" t="s">
        <v>0</v>
      </c>
      <c r="P145" s="16" t="s">
        <v>1</v>
      </c>
      <c r="Q145" s="17">
        <v>291062</v>
      </c>
      <c r="R145" s="17">
        <v>303097</v>
      </c>
      <c r="S145" s="17">
        <v>294911</v>
      </c>
      <c r="T145" s="17">
        <f>AVERAGE(Table143690117171198152153156180[[#This Row],[Teste 1]:[Teste 3]])</f>
        <v>296356.66666666669</v>
      </c>
    </row>
    <row r="146" spans="1:20" x14ac:dyDescent="0.25">
      <c r="A146" s="16" t="s">
        <v>0</v>
      </c>
      <c r="B146" s="16" t="s">
        <v>2</v>
      </c>
      <c r="C146" s="17">
        <v>346.73498732856899</v>
      </c>
      <c r="D146" s="17">
        <v>392.875593978788</v>
      </c>
      <c r="E146" s="17">
        <v>329.23696699004302</v>
      </c>
      <c r="F146" s="17">
        <f>AVERAGE(Table143690117171198152153156[[#This Row],[Teste 1]:[Teste 3]])</f>
        <v>356.28251609913332</v>
      </c>
      <c r="G146" s="16"/>
      <c r="H146" s="16" t="s">
        <v>0</v>
      </c>
      <c r="I146" s="16" t="s">
        <v>2</v>
      </c>
      <c r="J146" s="17">
        <v>1385.36</v>
      </c>
      <c r="K146" s="17">
        <v>1330.35</v>
      </c>
      <c r="L146" s="17">
        <v>1367.28</v>
      </c>
      <c r="M146" s="17">
        <f>AVERAGE(Table143690117171198152153156168[[#This Row],[Teste 1]:[Teste 3]])</f>
        <v>1360.9966666666667</v>
      </c>
      <c r="N146" s="16"/>
      <c r="O146" s="16" t="s">
        <v>0</v>
      </c>
      <c r="P146" s="16" t="s">
        <v>2</v>
      </c>
      <c r="Q146" s="17">
        <v>3435.6941132817001</v>
      </c>
      <c r="R146" s="17">
        <v>3299.2738298300501</v>
      </c>
      <c r="S146" s="17">
        <v>3390.8535117374299</v>
      </c>
      <c r="T146" s="17">
        <f>AVERAGE(Table143690117171198152153156180[[#This Row],[Teste 1]:[Teste 3]])</f>
        <v>3375.2738182830599</v>
      </c>
    </row>
    <row r="147" spans="1:20" x14ac:dyDescent="0.25">
      <c r="A147" s="16" t="s">
        <v>16</v>
      </c>
      <c r="B147" s="16" t="s">
        <v>4</v>
      </c>
      <c r="C147" s="17">
        <v>1000000</v>
      </c>
      <c r="D147" s="17">
        <v>1000000</v>
      </c>
      <c r="E147" s="17">
        <v>1000000</v>
      </c>
      <c r="F147" s="17">
        <f>AVERAGE(Table143690117171198152153156[[#This Row],[Teste 1]:[Teste 3]])</f>
        <v>1000000</v>
      </c>
      <c r="G147" s="16"/>
      <c r="H147" s="16" t="s">
        <v>16</v>
      </c>
      <c r="I147" s="16" t="s">
        <v>4</v>
      </c>
      <c r="J147" s="17">
        <v>1000000</v>
      </c>
      <c r="K147" s="17">
        <v>1000000</v>
      </c>
      <c r="L147" s="17">
        <v>1000000</v>
      </c>
      <c r="M147" s="17">
        <f>AVERAGE(Table143690117171198152153156168[[#This Row],[Teste 1]:[Teste 3]])</f>
        <v>1000000</v>
      </c>
      <c r="N147" s="16"/>
      <c r="O147" s="16" t="s">
        <v>16</v>
      </c>
      <c r="P147" s="16" t="s">
        <v>4</v>
      </c>
      <c r="Q147" s="17">
        <v>1000000</v>
      </c>
      <c r="R147" s="17">
        <v>1000000</v>
      </c>
      <c r="S147" s="17">
        <v>1000000</v>
      </c>
      <c r="T147" s="17">
        <f>AVERAGE(Table143690117171198152153156180[[#This Row],[Teste 1]:[Teste 3]])</f>
        <v>1000000</v>
      </c>
    </row>
    <row r="148" spans="1:20" x14ac:dyDescent="0.25">
      <c r="A148" s="16" t="s">
        <v>16</v>
      </c>
      <c r="B148" s="16" t="s">
        <v>5</v>
      </c>
      <c r="C148" s="17">
        <v>8408.5384119999999</v>
      </c>
      <c r="D148" s="17">
        <v>7364.5154229999998</v>
      </c>
      <c r="E148" s="17">
        <v>8767.4385340000008</v>
      </c>
      <c r="F148" s="17">
        <f>AVERAGE(Table143690117171198152153156[[#This Row],[Teste 1]:[Teste 3]])</f>
        <v>8180.1641229999996</v>
      </c>
      <c r="G148" s="16"/>
      <c r="H148" s="16" t="s">
        <v>16</v>
      </c>
      <c r="I148" s="16" t="s">
        <v>5</v>
      </c>
      <c r="J148" s="17">
        <v>1654.55</v>
      </c>
      <c r="K148" s="17">
        <v>1753.76</v>
      </c>
      <c r="L148" s="17">
        <v>1709.76</v>
      </c>
      <c r="M148" s="17">
        <f>AVERAGE(Table143690117171198152153156168[[#This Row],[Teste 1]:[Teste 3]])</f>
        <v>1706.0233333333333</v>
      </c>
      <c r="N148" s="16"/>
      <c r="O148" s="16" t="s">
        <v>16</v>
      </c>
      <c r="P148" s="16" t="s">
        <v>5</v>
      </c>
      <c r="Q148" s="17">
        <v>667.15704900000003</v>
      </c>
      <c r="R148" s="17">
        <v>707.16024800000002</v>
      </c>
      <c r="S148" s="17">
        <v>689.42134299999998</v>
      </c>
      <c r="T148" s="17">
        <f>AVERAGE(Table143690117171198152153156180[[#This Row],[Teste 1]:[Teste 3]])</f>
        <v>687.91287999999997</v>
      </c>
    </row>
    <row r="149" spans="1:20" x14ac:dyDescent="0.25">
      <c r="A149" s="16" t="s">
        <v>16</v>
      </c>
      <c r="B149" s="16" t="s">
        <v>6</v>
      </c>
      <c r="C149" s="17">
        <v>91</v>
      </c>
      <c r="D149" s="17">
        <v>89</v>
      </c>
      <c r="E149" s="17">
        <v>81</v>
      </c>
      <c r="F149" s="17">
        <f>AVERAGE(Table143690117171198152153156[[#This Row],[Teste 1]:[Teste 3]])</f>
        <v>87</v>
      </c>
      <c r="G149" s="16"/>
      <c r="H149" s="16" t="s">
        <v>16</v>
      </c>
      <c r="I149" s="16" t="s">
        <v>6</v>
      </c>
      <c r="J149" s="17">
        <v>268</v>
      </c>
      <c r="K149" s="17">
        <v>260</v>
      </c>
      <c r="L149" s="17">
        <v>253</v>
      </c>
      <c r="M149" s="17">
        <f>AVERAGE(Table143690117171198152153156168[[#This Row],[Teste 1]:[Teste 3]])</f>
        <v>260.33333333333331</v>
      </c>
      <c r="N149" s="16"/>
      <c r="O149" s="16" t="s">
        <v>16</v>
      </c>
      <c r="P149" s="16" t="s">
        <v>6</v>
      </c>
      <c r="Q149" s="17">
        <v>108</v>
      </c>
      <c r="R149" s="17">
        <v>105</v>
      </c>
      <c r="S149" s="17">
        <v>102</v>
      </c>
      <c r="T149" s="17">
        <f>AVERAGE(Table143690117171198152153156180[[#This Row],[Teste 1]:[Teste 3]])</f>
        <v>105</v>
      </c>
    </row>
    <row r="150" spans="1:20" x14ac:dyDescent="0.25">
      <c r="A150" s="16" t="s">
        <v>16</v>
      </c>
      <c r="B150" s="16" t="s">
        <v>7</v>
      </c>
      <c r="C150" s="17">
        <v>7684095</v>
      </c>
      <c r="D150" s="17">
        <v>7131135</v>
      </c>
      <c r="E150" s="17">
        <v>7335935</v>
      </c>
      <c r="F150" s="17">
        <f>AVERAGE(Table143690117171198152153156[[#This Row],[Teste 1]:[Teste 3]])</f>
        <v>7383721.666666667</v>
      </c>
      <c r="G150" s="16"/>
      <c r="H150" s="16" t="s">
        <v>16</v>
      </c>
      <c r="I150" s="16" t="s">
        <v>7</v>
      </c>
      <c r="J150" s="17">
        <v>2406193</v>
      </c>
      <c r="K150" s="17">
        <v>2404923</v>
      </c>
      <c r="L150" s="17">
        <v>1945270</v>
      </c>
      <c r="M150" s="17">
        <f>AVERAGE(Table143690117171198152153156168[[#This Row],[Teste 1]:[Teste 3]])</f>
        <v>2252128.6666666665</v>
      </c>
      <c r="N150" s="16"/>
      <c r="O150" s="16" t="s">
        <v>16</v>
      </c>
      <c r="P150" s="16" t="s">
        <v>7</v>
      </c>
      <c r="Q150" s="17">
        <v>970239</v>
      </c>
      <c r="R150" s="17">
        <v>969727</v>
      </c>
      <c r="S150" s="17">
        <v>784383</v>
      </c>
      <c r="T150" s="17">
        <f>AVERAGE(Table143690117171198152153156180[[#This Row],[Teste 1]:[Teste 3]])</f>
        <v>908116.33333333337</v>
      </c>
    </row>
    <row r="151" spans="1:20" x14ac:dyDescent="0.25">
      <c r="A151" s="16" t="s">
        <v>16</v>
      </c>
      <c r="B151" s="16" t="s">
        <v>8</v>
      </c>
      <c r="C151" s="17">
        <v>9543</v>
      </c>
      <c r="D151" s="17">
        <v>10295</v>
      </c>
      <c r="E151" s="17">
        <v>10855</v>
      </c>
      <c r="F151" s="17">
        <f>AVERAGE(Table143690117171198152153156[[#This Row],[Teste 1]:[Teste 3]])</f>
        <v>10231</v>
      </c>
      <c r="G151" s="16"/>
      <c r="H151" s="16" t="s">
        <v>16</v>
      </c>
      <c r="I151" s="16" t="s">
        <v>8</v>
      </c>
      <c r="J151" s="17">
        <v>4561</v>
      </c>
      <c r="K151" s="17">
        <v>5409</v>
      </c>
      <c r="L151" s="17">
        <v>4344</v>
      </c>
      <c r="M151" s="17">
        <f>AVERAGE(Table143690117171198152153156168[[#This Row],[Teste 1]:[Teste 3]])</f>
        <v>4771.333333333333</v>
      </c>
      <c r="N151" s="16"/>
      <c r="O151" s="16" t="s">
        <v>16</v>
      </c>
      <c r="P151" s="16" t="s">
        <v>8</v>
      </c>
      <c r="Q151" s="17">
        <v>1839</v>
      </c>
      <c r="R151" s="17">
        <v>2181</v>
      </c>
      <c r="S151" s="17">
        <v>2155</v>
      </c>
      <c r="T151" s="17">
        <f>AVERAGE(Table143690117171198152153156180[[#This Row],[Teste 1]:[Teste 3]])</f>
        <v>2058.3333333333335</v>
      </c>
    </row>
    <row r="152" spans="1:20" x14ac:dyDescent="0.25">
      <c r="A152" s="16" t="s">
        <v>16</v>
      </c>
      <c r="B152" s="16" t="s">
        <v>9</v>
      </c>
      <c r="C152" s="17">
        <v>69887</v>
      </c>
      <c r="D152" s="17">
        <v>74815</v>
      </c>
      <c r="E152" s="17">
        <v>67199</v>
      </c>
      <c r="F152" s="17">
        <f>AVERAGE(Table143690117171198152153156[[#This Row],[Teste 1]:[Teste 3]])</f>
        <v>70633.666666666672</v>
      </c>
      <c r="G152" s="16"/>
      <c r="H152" s="16" t="s">
        <v>16</v>
      </c>
      <c r="I152" s="16" t="s">
        <v>9</v>
      </c>
      <c r="J152" s="17">
        <v>18766</v>
      </c>
      <c r="K152" s="17">
        <v>21048</v>
      </c>
      <c r="L152" s="17">
        <v>20393</v>
      </c>
      <c r="M152" s="17">
        <f>AVERAGE(Table143690117171198152153156168[[#This Row],[Teste 1]:[Teste 3]])</f>
        <v>20069</v>
      </c>
      <c r="N152" s="16"/>
      <c r="O152" s="16" t="s">
        <v>16</v>
      </c>
      <c r="P152" s="16" t="s">
        <v>9</v>
      </c>
      <c r="Q152" s="17">
        <v>7567</v>
      </c>
      <c r="R152" s="17">
        <v>8487</v>
      </c>
      <c r="S152" s="17">
        <v>8223</v>
      </c>
      <c r="T152" s="17">
        <f>AVERAGE(Table143690117171198152153156180[[#This Row],[Teste 1]:[Teste 3]])</f>
        <v>8092.333333333333</v>
      </c>
    </row>
    <row r="153" spans="1:20" x14ac:dyDescent="0.25">
      <c r="A153" s="16" t="s">
        <v>16</v>
      </c>
      <c r="B153" s="16" t="s">
        <v>11</v>
      </c>
      <c r="C153" s="17">
        <v>1000000</v>
      </c>
      <c r="D153" s="17">
        <v>1000000</v>
      </c>
      <c r="E153" s="17">
        <v>1000000</v>
      </c>
      <c r="F153" s="17">
        <f>AVERAGE(Table143690117171198152153156[[#This Row],[Teste 1]:[Teste 3]])</f>
        <v>1000000</v>
      </c>
      <c r="G153" s="16"/>
      <c r="H153" s="16" t="s">
        <v>16</v>
      </c>
      <c r="I153" s="16" t="s">
        <v>11</v>
      </c>
      <c r="J153" s="17">
        <v>1000000</v>
      </c>
      <c r="K153" s="17">
        <v>1000000</v>
      </c>
      <c r="L153" s="17">
        <v>1000000</v>
      </c>
      <c r="M153" s="17">
        <f>AVERAGE(Table143690117171198152153156168[[#This Row],[Teste 1]:[Teste 3]])</f>
        <v>1000000</v>
      </c>
      <c r="N153" s="16"/>
      <c r="O153" s="16" t="s">
        <v>16</v>
      </c>
      <c r="P153" s="16" t="s">
        <v>11</v>
      </c>
      <c r="Q153" s="17">
        <v>1000000</v>
      </c>
      <c r="R153" s="17">
        <v>1000000</v>
      </c>
      <c r="S153" s="17">
        <v>1000000</v>
      </c>
      <c r="T153" s="17">
        <f>AVERAGE(Table143690117171198152153156180[[#This Row],[Teste 1]:[Teste 3]])</f>
        <v>1000000</v>
      </c>
    </row>
    <row r="154" spans="1:20" x14ac:dyDescent="0.25">
      <c r="A154" s="16" t="s">
        <v>72</v>
      </c>
      <c r="B154" s="16" t="s">
        <v>4</v>
      </c>
      <c r="C154" s="17">
        <v>499182</v>
      </c>
      <c r="D154" s="17">
        <v>500011</v>
      </c>
      <c r="E154" s="17">
        <v>500185</v>
      </c>
      <c r="F154" s="17">
        <f>AVERAGE(Table143690117171198152153156[[#This Row],[Teste 1]:[Teste 3]])</f>
        <v>499792.66666666669</v>
      </c>
      <c r="G154" s="16"/>
      <c r="H154" s="16" t="s">
        <v>72</v>
      </c>
      <c r="I154" s="16" t="s">
        <v>4</v>
      </c>
      <c r="J154" s="17">
        <v>499856</v>
      </c>
      <c r="K154" s="17">
        <v>500462</v>
      </c>
      <c r="L154" s="17">
        <v>500175</v>
      </c>
      <c r="M154" s="17">
        <f>AVERAGE(Table143690117171198152153156168[[#This Row],[Teste 1]:[Teste 3]])</f>
        <v>500164.33333333331</v>
      </c>
      <c r="N154" s="16"/>
      <c r="O154" s="16" t="s">
        <v>72</v>
      </c>
      <c r="P154" s="16" t="s">
        <v>4</v>
      </c>
      <c r="Q154" s="17">
        <v>500142</v>
      </c>
      <c r="R154" s="17">
        <v>499400</v>
      </c>
      <c r="S154" s="17">
        <v>499730</v>
      </c>
      <c r="T154" s="17">
        <f>AVERAGE(Table143690117171198152153156180[[#This Row],[Teste 1]:[Teste 3]])</f>
        <v>499757.33333333331</v>
      </c>
    </row>
    <row r="155" spans="1:20" x14ac:dyDescent="0.25">
      <c r="A155" s="16" t="s">
        <v>72</v>
      </c>
      <c r="B155" s="16" t="s">
        <v>5</v>
      </c>
      <c r="C155" s="17">
        <v>8791.9259368326493</v>
      </c>
      <c r="D155" s="17">
        <v>7910.1050596886798</v>
      </c>
      <c r="E155" s="17">
        <v>9278.5419074942201</v>
      </c>
      <c r="F155" s="17">
        <f>AVERAGE(Table143690117171198152153156[[#This Row],[Teste 1]:[Teste 3]])</f>
        <v>8660.1909680051831</v>
      </c>
      <c r="G155" s="16"/>
      <c r="H155" s="16" t="s">
        <v>72</v>
      </c>
      <c r="I155" s="16" t="s">
        <v>5</v>
      </c>
      <c r="J155" s="17">
        <v>2643.97</v>
      </c>
      <c r="K155" s="17">
        <v>2727.14</v>
      </c>
      <c r="L155" s="17">
        <v>2641.75</v>
      </c>
      <c r="M155" s="17">
        <f>AVERAGE(Table143690117171198152153156168[[#This Row],[Teste 1]:[Teste 3]])</f>
        <v>2670.9533333333334</v>
      </c>
      <c r="N155" s="16"/>
      <c r="O155" s="16" t="s">
        <v>72</v>
      </c>
      <c r="P155" s="16" t="s">
        <v>5</v>
      </c>
      <c r="Q155" s="17">
        <v>1066.11490936574</v>
      </c>
      <c r="R155" s="17">
        <v>1099.6522266720001</v>
      </c>
      <c r="S155" s="17">
        <v>1065.2219378464299</v>
      </c>
      <c r="T155" s="17">
        <f>AVERAGE(Table143690117171198152153156180[[#This Row],[Teste 1]:[Teste 3]])</f>
        <v>1076.9963579613898</v>
      </c>
    </row>
    <row r="156" spans="1:20" x14ac:dyDescent="0.25">
      <c r="A156" s="16" t="s">
        <v>72</v>
      </c>
      <c r="B156" s="16" t="s">
        <v>6</v>
      </c>
      <c r="C156" s="17">
        <v>222</v>
      </c>
      <c r="D156" s="17">
        <v>226</v>
      </c>
      <c r="E156" s="17">
        <v>209</v>
      </c>
      <c r="F156" s="17">
        <f>AVERAGE(Table143690117171198152153156[[#This Row],[Teste 1]:[Teste 3]])</f>
        <v>219</v>
      </c>
      <c r="G156" s="16"/>
      <c r="H156" s="16" t="s">
        <v>72</v>
      </c>
      <c r="I156" s="16" t="s">
        <v>6</v>
      </c>
      <c r="J156" s="17">
        <v>194</v>
      </c>
      <c r="K156" s="17">
        <v>786</v>
      </c>
      <c r="L156" s="17">
        <v>804</v>
      </c>
      <c r="M156" s="17">
        <f>AVERAGE(Table143690117171198152153156168[[#This Row],[Teste 1]:[Teste 3]])</f>
        <v>594.66666666666663</v>
      </c>
      <c r="N156" s="16"/>
      <c r="O156" s="16" t="s">
        <v>72</v>
      </c>
      <c r="P156" s="16" t="s">
        <v>6</v>
      </c>
      <c r="Q156" s="17">
        <v>320</v>
      </c>
      <c r="R156" s="17">
        <v>317</v>
      </c>
      <c r="S156" s="17">
        <v>324</v>
      </c>
      <c r="T156" s="17">
        <f>AVERAGE(Table143690117171198152153156180[[#This Row],[Teste 1]:[Teste 3]])</f>
        <v>320.33333333333331</v>
      </c>
    </row>
    <row r="157" spans="1:20" x14ac:dyDescent="0.25">
      <c r="A157" s="16" t="s">
        <v>72</v>
      </c>
      <c r="B157" s="16" t="s">
        <v>7</v>
      </c>
      <c r="C157" s="17">
        <v>7688191</v>
      </c>
      <c r="D157" s="17">
        <v>7122943</v>
      </c>
      <c r="E157" s="17">
        <v>7340031</v>
      </c>
      <c r="F157" s="17">
        <f>AVERAGE(Table143690117171198152153156[[#This Row],[Teste 1]:[Teste 3]])</f>
        <v>7383721.666666667</v>
      </c>
      <c r="G157" s="16"/>
      <c r="H157" s="16" t="s">
        <v>72</v>
      </c>
      <c r="I157" s="16" t="s">
        <v>7</v>
      </c>
      <c r="J157" s="17">
        <v>2410002</v>
      </c>
      <c r="K157" s="17">
        <v>2400114</v>
      </c>
      <c r="L157" s="17">
        <v>1669732</v>
      </c>
      <c r="M157" s="17">
        <f>AVERAGE(Table143690117171198152153156168[[#This Row],[Teste 1]:[Teste 3]])</f>
        <v>2159949.3333333335</v>
      </c>
      <c r="N157" s="16"/>
      <c r="O157" s="16" t="s">
        <v>72</v>
      </c>
      <c r="P157" s="16" t="s">
        <v>7</v>
      </c>
      <c r="Q157" s="17">
        <v>971775</v>
      </c>
      <c r="R157" s="17">
        <v>968191</v>
      </c>
      <c r="S157" s="17">
        <v>673279</v>
      </c>
      <c r="T157" s="17">
        <f>AVERAGE(Table143690117171198152153156180[[#This Row],[Teste 1]:[Teste 3]])</f>
        <v>871081.66666666663</v>
      </c>
    </row>
    <row r="158" spans="1:20" x14ac:dyDescent="0.25">
      <c r="A158" s="16" t="s">
        <v>72</v>
      </c>
      <c r="B158" s="16" t="s">
        <v>8</v>
      </c>
      <c r="C158" s="17">
        <v>10151</v>
      </c>
      <c r="D158" s="17">
        <v>10863</v>
      </c>
      <c r="E158" s="17">
        <v>12223</v>
      </c>
      <c r="F158" s="17">
        <f>AVERAGE(Table143690117171198152153156[[#This Row],[Teste 1]:[Teste 3]])</f>
        <v>11079</v>
      </c>
      <c r="G158" s="16"/>
      <c r="H158" s="16" t="s">
        <v>72</v>
      </c>
      <c r="I158" s="16" t="s">
        <v>8</v>
      </c>
      <c r="J158" s="17">
        <v>5920</v>
      </c>
      <c r="K158" s="17">
        <v>6818</v>
      </c>
      <c r="L158" s="17">
        <v>6604</v>
      </c>
      <c r="M158" s="17">
        <f>AVERAGE(Table143690117171198152153156168[[#This Row],[Teste 1]:[Teste 3]])</f>
        <v>6447.333333333333</v>
      </c>
      <c r="N158" s="16"/>
      <c r="O158" s="16" t="s">
        <v>72</v>
      </c>
      <c r="P158" s="16" t="s">
        <v>8</v>
      </c>
      <c r="Q158" s="17">
        <v>2387</v>
      </c>
      <c r="R158" s="17">
        <v>2749</v>
      </c>
      <c r="S158" s="17">
        <v>2663</v>
      </c>
      <c r="T158" s="17">
        <f>AVERAGE(Table143690117171198152153156180[[#This Row],[Teste 1]:[Teste 3]])</f>
        <v>2599.6666666666665</v>
      </c>
    </row>
    <row r="159" spans="1:20" x14ac:dyDescent="0.25">
      <c r="A159" s="16" t="s">
        <v>72</v>
      </c>
      <c r="B159" s="16" t="s">
        <v>9</v>
      </c>
      <c r="C159" s="17">
        <v>70911</v>
      </c>
      <c r="D159" s="17">
        <v>75263</v>
      </c>
      <c r="E159" s="17">
        <v>69503</v>
      </c>
      <c r="F159" s="17">
        <f>AVERAGE(Table143690117171198152153156[[#This Row],[Teste 1]:[Teste 3]])</f>
        <v>71892.333333333328</v>
      </c>
      <c r="G159" s="16"/>
      <c r="H159" s="16" t="s">
        <v>72</v>
      </c>
      <c r="I159" s="16" t="s">
        <v>9</v>
      </c>
      <c r="J159" s="17">
        <v>20373</v>
      </c>
      <c r="K159" s="17">
        <v>22794</v>
      </c>
      <c r="L159" s="17">
        <v>21980</v>
      </c>
      <c r="M159" s="17">
        <f>AVERAGE(Table143690117171198152153156168[[#This Row],[Teste 1]:[Teste 3]])</f>
        <v>21715.666666666668</v>
      </c>
      <c r="N159" s="16"/>
      <c r="O159" s="16" t="s">
        <v>72</v>
      </c>
      <c r="P159" s="16" t="s">
        <v>9</v>
      </c>
      <c r="Q159" s="17">
        <v>8215</v>
      </c>
      <c r="R159" s="17">
        <v>9191</v>
      </c>
      <c r="S159" s="17">
        <v>8863</v>
      </c>
      <c r="T159" s="17">
        <f>AVERAGE(Table143690117171198152153156180[[#This Row],[Teste 1]:[Teste 3]])</f>
        <v>8756.3333333333339</v>
      </c>
    </row>
    <row r="160" spans="1:20" x14ac:dyDescent="0.25">
      <c r="A160" s="16" t="s">
        <v>3</v>
      </c>
      <c r="B160" s="16" t="s">
        <v>4</v>
      </c>
      <c r="C160" s="17">
        <v>3</v>
      </c>
      <c r="D160" s="17">
        <v>3</v>
      </c>
      <c r="E160" s="17">
        <v>3</v>
      </c>
      <c r="F160" s="17">
        <f>AVERAGE(Table143690117171198152153156[[#This Row],[Teste 1]:[Teste 3]])</f>
        <v>3</v>
      </c>
      <c r="G160" s="16"/>
      <c r="H160" s="16" t="s">
        <v>3</v>
      </c>
      <c r="I160" s="16" t="s">
        <v>4</v>
      </c>
      <c r="J160" s="17">
        <v>3</v>
      </c>
      <c r="K160" s="17">
        <v>3</v>
      </c>
      <c r="L160" s="17">
        <v>3</v>
      </c>
      <c r="M160" s="17">
        <f>AVERAGE(Table143690117171198152153156168[[#This Row],[Teste 1]:[Teste 3]])</f>
        <v>3</v>
      </c>
      <c r="N160" s="16"/>
      <c r="O160" s="16" t="s">
        <v>3</v>
      </c>
      <c r="P160" s="16" t="s">
        <v>4</v>
      </c>
      <c r="Q160" s="17">
        <v>3</v>
      </c>
      <c r="R160" s="17">
        <v>3</v>
      </c>
      <c r="S160" s="17">
        <v>3</v>
      </c>
      <c r="T160" s="17">
        <f>AVERAGE(Table143690117171198152153156180[[#This Row],[Teste 1]:[Teste 3]])</f>
        <v>3</v>
      </c>
    </row>
    <row r="161" spans="1:20" x14ac:dyDescent="0.25">
      <c r="A161" s="16" t="s">
        <v>3</v>
      </c>
      <c r="B161" s="16" t="s">
        <v>5</v>
      </c>
      <c r="C161" s="17">
        <v>1</v>
      </c>
      <c r="D161" s="17">
        <v>1</v>
      </c>
      <c r="E161" s="17">
        <v>1.3333333333333299</v>
      </c>
      <c r="F161" s="17">
        <f>AVERAGE(Table143690117171198152153156[[#This Row],[Teste 1]:[Teste 3]])</f>
        <v>1.1111111111111101</v>
      </c>
      <c r="G161" s="16"/>
      <c r="H161" s="16" t="s">
        <v>3</v>
      </c>
      <c r="I161" s="16" t="s">
        <v>5</v>
      </c>
      <c r="J161" s="17">
        <v>2</v>
      </c>
      <c r="K161" s="17">
        <v>2.6666666666666599</v>
      </c>
      <c r="L161" s="17">
        <v>2.1666666666666599</v>
      </c>
      <c r="M161" s="17">
        <f>AVERAGE(Table143690117171198152153156168[[#This Row],[Teste 1]:[Teste 3]])</f>
        <v>2.2777777777777732</v>
      </c>
      <c r="N161" s="16"/>
      <c r="O161" s="16" t="s">
        <v>3</v>
      </c>
      <c r="P161" s="16" t="s">
        <v>5</v>
      </c>
      <c r="Q161" s="17">
        <v>875.33333333333303</v>
      </c>
      <c r="R161" s="17">
        <v>712.33333333333303</v>
      </c>
      <c r="S161" s="17">
        <v>683.66666666666595</v>
      </c>
      <c r="T161" s="17">
        <f>AVERAGE(Table143690117171198152153156180[[#This Row],[Teste 1]:[Teste 3]])</f>
        <v>757.11111111111074</v>
      </c>
    </row>
    <row r="162" spans="1:20" x14ac:dyDescent="0.25">
      <c r="A162" s="16" t="s">
        <v>3</v>
      </c>
      <c r="B162" s="16" t="s">
        <v>6</v>
      </c>
      <c r="C162" s="17">
        <v>0</v>
      </c>
      <c r="D162" s="17">
        <v>0</v>
      </c>
      <c r="E162" s="17">
        <v>1</v>
      </c>
      <c r="F162" s="17">
        <f>AVERAGE(Table143690117171198152153156[[#This Row],[Teste 1]:[Teste 3]])</f>
        <v>0.33333333333333331</v>
      </c>
      <c r="G162" s="16"/>
      <c r="H162" s="16" t="s">
        <v>3</v>
      </c>
      <c r="I162" s="16" t="s">
        <v>6</v>
      </c>
      <c r="J162" s="17">
        <v>1</v>
      </c>
      <c r="K162" s="17">
        <v>1</v>
      </c>
      <c r="L162" s="17">
        <v>1</v>
      </c>
      <c r="M162" s="17">
        <f>AVERAGE(Table143690117171198152153156168[[#This Row],[Teste 1]:[Teste 3]])</f>
        <v>1</v>
      </c>
      <c r="N162" s="16"/>
      <c r="O162" s="16" t="s">
        <v>3</v>
      </c>
      <c r="P162" s="16" t="s">
        <v>6</v>
      </c>
      <c r="Q162" s="17">
        <v>2</v>
      </c>
      <c r="R162" s="17">
        <v>1</v>
      </c>
      <c r="S162" s="17">
        <v>2</v>
      </c>
      <c r="T162" s="17">
        <f>AVERAGE(Table143690117171198152153156180[[#This Row],[Teste 1]:[Teste 3]])</f>
        <v>1.6666666666666667</v>
      </c>
    </row>
    <row r="163" spans="1:20" x14ac:dyDescent="0.25">
      <c r="A163" s="16" t="s">
        <v>3</v>
      </c>
      <c r="B163" s="16" t="s">
        <v>7</v>
      </c>
      <c r="C163" s="17">
        <v>2</v>
      </c>
      <c r="D163" s="17">
        <v>2</v>
      </c>
      <c r="E163" s="17">
        <v>2</v>
      </c>
      <c r="F163" s="17">
        <f>AVERAGE(Table143690117171198152153156[[#This Row],[Teste 1]:[Teste 3]])</f>
        <v>2</v>
      </c>
      <c r="G163" s="16"/>
      <c r="H163" s="16" t="s">
        <v>3</v>
      </c>
      <c r="I163" s="16" t="s">
        <v>7</v>
      </c>
      <c r="J163" s="17">
        <v>6</v>
      </c>
      <c r="K163" s="17">
        <v>11</v>
      </c>
      <c r="L163" s="17">
        <v>6</v>
      </c>
      <c r="M163" s="17">
        <f>AVERAGE(Table143690117171198152153156168[[#This Row],[Teste 1]:[Teste 3]])</f>
        <v>7.666666666666667</v>
      </c>
      <c r="N163" s="16"/>
      <c r="O163" s="16" t="s">
        <v>3</v>
      </c>
      <c r="P163" s="16" t="s">
        <v>7</v>
      </c>
      <c r="Q163" s="17">
        <v>2619</v>
      </c>
      <c r="R163" s="17">
        <v>2129</v>
      </c>
      <c r="S163" s="17">
        <v>2040</v>
      </c>
      <c r="T163" s="17">
        <f>AVERAGE(Table143690117171198152153156180[[#This Row],[Teste 1]:[Teste 3]])</f>
        <v>2262.6666666666665</v>
      </c>
    </row>
    <row r="164" spans="1:20" x14ac:dyDescent="0.25">
      <c r="A164" s="16" t="s">
        <v>3</v>
      </c>
      <c r="B164" s="16" t="s">
        <v>8</v>
      </c>
      <c r="C164" s="17">
        <v>2</v>
      </c>
      <c r="D164" s="17">
        <v>2</v>
      </c>
      <c r="E164" s="17">
        <v>2</v>
      </c>
      <c r="F164" s="17">
        <f>AVERAGE(Table143690117171198152153156[[#This Row],[Teste 1]:[Teste 3]])</f>
        <v>2</v>
      </c>
      <c r="G164" s="16"/>
      <c r="H164" s="16" t="s">
        <v>3</v>
      </c>
      <c r="I164" s="16" t="s">
        <v>8</v>
      </c>
      <c r="J164" s="17">
        <v>6</v>
      </c>
      <c r="K164" s="17">
        <v>11</v>
      </c>
      <c r="L164" s="17">
        <v>6</v>
      </c>
      <c r="M164" s="17">
        <f>AVERAGE(Table143690117171198152153156168[[#This Row],[Teste 1]:[Teste 3]])</f>
        <v>7.666666666666667</v>
      </c>
      <c r="N164" s="16"/>
      <c r="O164" s="16" t="s">
        <v>3</v>
      </c>
      <c r="P164" s="16" t="s">
        <v>8</v>
      </c>
      <c r="Q164" s="17">
        <v>2619</v>
      </c>
      <c r="R164" s="17">
        <v>2129</v>
      </c>
      <c r="S164" s="17">
        <v>2040</v>
      </c>
      <c r="T164" s="17">
        <f>AVERAGE(Table143690117171198152153156180[[#This Row],[Teste 1]:[Teste 3]])</f>
        <v>2262.6666666666665</v>
      </c>
    </row>
    <row r="165" spans="1:20" x14ac:dyDescent="0.25">
      <c r="A165" s="16" t="s">
        <v>3</v>
      </c>
      <c r="B165" s="16" t="s">
        <v>9</v>
      </c>
      <c r="C165" s="17">
        <v>2</v>
      </c>
      <c r="D165" s="17">
        <v>2</v>
      </c>
      <c r="E165" s="17">
        <v>2</v>
      </c>
      <c r="F165" s="17">
        <f>AVERAGE(Table143690117171198152153156[[#This Row],[Teste 1]:[Teste 3]])</f>
        <v>2</v>
      </c>
      <c r="G165" s="16"/>
      <c r="H165" s="16" t="s">
        <v>3</v>
      </c>
      <c r="I165" s="16" t="s">
        <v>9</v>
      </c>
      <c r="J165" s="17">
        <v>6</v>
      </c>
      <c r="K165" s="17">
        <v>11</v>
      </c>
      <c r="L165" s="17">
        <v>6</v>
      </c>
      <c r="M165" s="17">
        <f>AVERAGE(Table143690117171198152153156168[[#This Row],[Teste 1]:[Teste 3]])</f>
        <v>7.666666666666667</v>
      </c>
      <c r="N165" s="16"/>
      <c r="O165" s="16" t="s">
        <v>3</v>
      </c>
      <c r="P165" s="16" t="s">
        <v>9</v>
      </c>
      <c r="Q165" s="17">
        <v>2619</v>
      </c>
      <c r="R165" s="17">
        <v>2129</v>
      </c>
      <c r="S165" s="17">
        <v>2040</v>
      </c>
      <c r="T165" s="17">
        <f>AVERAGE(Table143690117171198152153156180[[#This Row],[Teste 1]:[Teste 3]])</f>
        <v>2262.6666666666665</v>
      </c>
    </row>
    <row r="166" spans="1:20" x14ac:dyDescent="0.25">
      <c r="A166" s="16" t="s">
        <v>17</v>
      </c>
      <c r="B166" s="16" t="s">
        <v>4</v>
      </c>
      <c r="C166" s="17">
        <v>499182</v>
      </c>
      <c r="D166" s="17">
        <v>500011</v>
      </c>
      <c r="E166" s="17">
        <v>500185</v>
      </c>
      <c r="F166" s="17">
        <f>AVERAGE(Table143690117171198152153156[[#This Row],[Teste 1]:[Teste 3]])</f>
        <v>499792.66666666669</v>
      </c>
      <c r="G166" s="16"/>
      <c r="H166" s="16" t="s">
        <v>17</v>
      </c>
      <c r="I166" s="16" t="s">
        <v>4</v>
      </c>
      <c r="J166" s="17">
        <v>499856</v>
      </c>
      <c r="K166" s="17">
        <v>500462</v>
      </c>
      <c r="L166" s="17">
        <v>500175</v>
      </c>
      <c r="M166" s="17">
        <f>AVERAGE(Table143690117171198152153156168[[#This Row],[Teste 1]:[Teste 3]])</f>
        <v>500164.33333333331</v>
      </c>
      <c r="N166" s="16"/>
      <c r="O166" s="16" t="s">
        <v>17</v>
      </c>
      <c r="P166" s="16" t="s">
        <v>4</v>
      </c>
      <c r="Q166" s="17">
        <v>500142</v>
      </c>
      <c r="R166" s="17">
        <v>499400</v>
      </c>
      <c r="S166" s="17">
        <v>499730</v>
      </c>
      <c r="T166" s="17">
        <f>AVERAGE(Table143690117171198152153156180[[#This Row],[Teste 1]:[Teste 3]])</f>
        <v>499757.33333333331</v>
      </c>
    </row>
    <row r="167" spans="1:20" x14ac:dyDescent="0.25">
      <c r="A167" s="16" t="s">
        <v>17</v>
      </c>
      <c r="B167" s="16" t="s">
        <v>5</v>
      </c>
      <c r="C167" s="17">
        <v>433.00051884883601</v>
      </c>
      <c r="D167" s="17">
        <v>442.98813226109002</v>
      </c>
      <c r="E167" s="17">
        <v>595.78105900816695</v>
      </c>
      <c r="F167" s="17">
        <f>AVERAGE(Table143690117171198152153156[[#This Row],[Teste 1]:[Teste 3]])</f>
        <v>490.58990337269762</v>
      </c>
      <c r="G167" s="16"/>
      <c r="H167" s="16" t="s">
        <v>17</v>
      </c>
      <c r="I167" s="16" t="s">
        <v>5</v>
      </c>
      <c r="J167" s="17">
        <v>976.96</v>
      </c>
      <c r="K167" s="17">
        <v>961.46</v>
      </c>
      <c r="L167" s="17">
        <v>926.38</v>
      </c>
      <c r="M167" s="17">
        <f>AVERAGE(Table143690117171198152153156168[[#This Row],[Teste 1]:[Teste 3]])</f>
        <v>954.93333333333339</v>
      </c>
      <c r="N167" s="16"/>
      <c r="O167" s="16" t="s">
        <v>17</v>
      </c>
      <c r="P167" s="16" t="s">
        <v>5</v>
      </c>
      <c r="Q167" s="17">
        <v>393.93552431109498</v>
      </c>
      <c r="R167" s="17">
        <v>387.68418301962299</v>
      </c>
      <c r="S167" s="17">
        <v>373.53863286174499</v>
      </c>
      <c r="T167" s="17">
        <f>AVERAGE(Table143690117171198152153156180[[#This Row],[Teste 1]:[Teste 3]])</f>
        <v>385.05278006415438</v>
      </c>
    </row>
    <row r="168" spans="1:20" x14ac:dyDescent="0.25">
      <c r="A168" s="16" t="s">
        <v>17</v>
      </c>
      <c r="B168" s="16" t="s">
        <v>6</v>
      </c>
      <c r="C168" s="17">
        <v>121</v>
      </c>
      <c r="D168" s="17">
        <v>120</v>
      </c>
      <c r="E168" s="17">
        <v>116</v>
      </c>
      <c r="F168" s="17">
        <f>AVERAGE(Table143690117171198152153156[[#This Row],[Teste 1]:[Teste 3]])</f>
        <v>119</v>
      </c>
      <c r="G168" s="16"/>
      <c r="H168" s="16" t="s">
        <v>17</v>
      </c>
      <c r="I168" s="16" t="s">
        <v>6</v>
      </c>
      <c r="J168" s="17">
        <v>444</v>
      </c>
      <c r="K168" s="17">
        <v>424</v>
      </c>
      <c r="L168" s="17">
        <v>451</v>
      </c>
      <c r="M168" s="17">
        <f>AVERAGE(Table143690117171198152153156168[[#This Row],[Teste 1]:[Teste 3]])</f>
        <v>439.66666666666669</v>
      </c>
      <c r="N168" s="16"/>
      <c r="O168" s="16" t="s">
        <v>17</v>
      </c>
      <c r="P168" s="16" t="s">
        <v>6</v>
      </c>
      <c r="Q168" s="17">
        <v>179</v>
      </c>
      <c r="R168" s="17">
        <v>171</v>
      </c>
      <c r="S168" s="17">
        <v>182</v>
      </c>
      <c r="T168" s="17">
        <f>AVERAGE(Table143690117171198152153156180[[#This Row],[Teste 1]:[Teste 3]])</f>
        <v>177.33333333333334</v>
      </c>
    </row>
    <row r="169" spans="1:20" x14ac:dyDescent="0.25">
      <c r="A169" s="16" t="s">
        <v>17</v>
      </c>
      <c r="B169" s="16" t="s">
        <v>7</v>
      </c>
      <c r="C169" s="17">
        <v>52607</v>
      </c>
      <c r="D169" s="17">
        <v>86655</v>
      </c>
      <c r="E169" s="17">
        <v>220031</v>
      </c>
      <c r="F169" s="17">
        <f>AVERAGE(Table143690117171198152153156[[#This Row],[Teste 1]:[Teste 3]])</f>
        <v>119764.33333333333</v>
      </c>
      <c r="G169" s="16"/>
      <c r="H169" s="16" t="s">
        <v>17</v>
      </c>
      <c r="I169" s="16" t="s">
        <v>7</v>
      </c>
      <c r="J169" s="17">
        <v>208556</v>
      </c>
      <c r="K169" s="17">
        <v>372355</v>
      </c>
      <c r="L169" s="17">
        <v>299026</v>
      </c>
      <c r="M169" s="17">
        <f>AVERAGE(Table143690117171198152153156168[[#This Row],[Teste 1]:[Teste 3]])</f>
        <v>293312.33333333331</v>
      </c>
      <c r="N169" s="16"/>
      <c r="O169" s="16" t="s">
        <v>17</v>
      </c>
      <c r="P169" s="16" t="s">
        <v>7</v>
      </c>
      <c r="Q169" s="17">
        <v>84095</v>
      </c>
      <c r="R169" s="17">
        <v>150143</v>
      </c>
      <c r="S169" s="17">
        <v>120575</v>
      </c>
      <c r="T169" s="17">
        <f>AVERAGE(Table143690117171198152153156180[[#This Row],[Teste 1]:[Teste 3]])</f>
        <v>118271</v>
      </c>
    </row>
    <row r="170" spans="1:20" x14ac:dyDescent="0.25">
      <c r="A170" s="16" t="s">
        <v>17</v>
      </c>
      <c r="B170" s="16" t="s">
        <v>8</v>
      </c>
      <c r="C170" s="17">
        <v>809</v>
      </c>
      <c r="D170" s="17">
        <v>880</v>
      </c>
      <c r="E170" s="17">
        <v>1432</v>
      </c>
      <c r="F170" s="17">
        <f>AVERAGE(Table143690117171198152153156[[#This Row],[Teste 1]:[Teste 3]])</f>
        <v>1040.3333333333333</v>
      </c>
      <c r="G170" s="16"/>
      <c r="H170" s="16" t="s">
        <v>17</v>
      </c>
      <c r="I170" s="16" t="s">
        <v>8</v>
      </c>
      <c r="J170" s="17">
        <v>1486</v>
      </c>
      <c r="K170" s="17">
        <v>1488</v>
      </c>
      <c r="L170" s="17">
        <v>1433</v>
      </c>
      <c r="M170" s="17">
        <f>AVERAGE(Table143690117171198152153156168[[#This Row],[Teste 1]:[Teste 3]])</f>
        <v>1469</v>
      </c>
      <c r="N170" s="16"/>
      <c r="O170" s="16" t="s">
        <v>17</v>
      </c>
      <c r="P170" s="16" t="s">
        <v>8</v>
      </c>
      <c r="Q170" s="17">
        <v>599</v>
      </c>
      <c r="R170" s="17">
        <v>600</v>
      </c>
      <c r="S170" s="17">
        <v>578</v>
      </c>
      <c r="T170" s="17">
        <f>AVERAGE(Table143690117171198152153156180[[#This Row],[Teste 1]:[Teste 3]])</f>
        <v>592.33333333333337</v>
      </c>
    </row>
    <row r="171" spans="1:20" x14ac:dyDescent="0.25">
      <c r="A171" s="16" t="s">
        <v>17</v>
      </c>
      <c r="B171" s="16" t="s">
        <v>9</v>
      </c>
      <c r="C171" s="17">
        <v>1457</v>
      </c>
      <c r="D171" s="17">
        <v>1544</v>
      </c>
      <c r="E171" s="17">
        <v>4427</v>
      </c>
      <c r="F171" s="17">
        <f>AVERAGE(Table143690117171198152153156[[#This Row],[Teste 1]:[Teste 3]])</f>
        <v>2476</v>
      </c>
      <c r="G171" s="16"/>
      <c r="H171" s="16" t="s">
        <v>17</v>
      </c>
      <c r="I171" s="16" t="s">
        <v>9</v>
      </c>
      <c r="J171" s="17">
        <v>2170</v>
      </c>
      <c r="K171" s="17">
        <v>2433</v>
      </c>
      <c r="L171" s="17">
        <v>2088</v>
      </c>
      <c r="M171" s="17">
        <f>AVERAGE(Table143690117171198152153156168[[#This Row],[Teste 1]:[Teste 3]])</f>
        <v>2230.3333333333335</v>
      </c>
      <c r="N171" s="16"/>
      <c r="O171" s="16" t="s">
        <v>17</v>
      </c>
      <c r="P171" s="16" t="s">
        <v>9</v>
      </c>
      <c r="Q171" s="17">
        <v>875</v>
      </c>
      <c r="R171" s="17">
        <v>981</v>
      </c>
      <c r="S171" s="17">
        <v>842</v>
      </c>
      <c r="T171" s="17">
        <f>AVERAGE(Table143690117171198152153156180[[#This Row],[Teste 1]:[Teste 3]])</f>
        <v>899.33333333333337</v>
      </c>
    </row>
    <row r="172" spans="1:20" x14ac:dyDescent="0.25">
      <c r="A172" s="16" t="s">
        <v>17</v>
      </c>
      <c r="B172" s="16" t="s">
        <v>11</v>
      </c>
      <c r="C172" s="17">
        <v>499182</v>
      </c>
      <c r="D172" s="17">
        <v>500011</v>
      </c>
      <c r="E172" s="17">
        <v>500185</v>
      </c>
      <c r="F172" s="17">
        <f>AVERAGE(Table143690117171198152153156[[#This Row],[Teste 1]:[Teste 3]])</f>
        <v>499792.66666666669</v>
      </c>
      <c r="G172" s="16"/>
      <c r="H172" s="16" t="s">
        <v>17</v>
      </c>
      <c r="I172" s="16" t="s">
        <v>11</v>
      </c>
      <c r="J172" s="17">
        <v>499856</v>
      </c>
      <c r="K172" s="17">
        <v>500462</v>
      </c>
      <c r="L172" s="17">
        <v>500175</v>
      </c>
      <c r="M172" s="17">
        <f>AVERAGE(Table143690117171198152153156168[[#This Row],[Teste 1]:[Teste 3]])</f>
        <v>500164.33333333331</v>
      </c>
      <c r="N172" s="16"/>
      <c r="O172" s="16" t="s">
        <v>17</v>
      </c>
      <c r="P172" s="16" t="s">
        <v>11</v>
      </c>
      <c r="Q172" s="17">
        <v>500142</v>
      </c>
      <c r="R172" s="17">
        <v>499400</v>
      </c>
      <c r="S172" s="17">
        <v>499730</v>
      </c>
      <c r="T172" s="17">
        <f>AVERAGE(Table143690117171198152153156180[[#This Row],[Teste 1]:[Teste 3]])</f>
        <v>499757.33333333331</v>
      </c>
    </row>
    <row r="173" spans="1:20" x14ac:dyDescent="0.25">
      <c r="A173" s="16"/>
      <c r="B173" s="16"/>
      <c r="C173" s="17"/>
      <c r="D173" s="17"/>
      <c r="E173" s="17"/>
      <c r="F173" s="17"/>
      <c r="G173" s="16"/>
      <c r="H173" s="16"/>
      <c r="I173" s="16"/>
      <c r="J173" s="17"/>
      <c r="K173" s="17"/>
      <c r="L173" s="17"/>
      <c r="M173" s="17"/>
      <c r="N173" s="16"/>
      <c r="O173" s="16"/>
      <c r="P173" s="16"/>
      <c r="Q173" s="17"/>
      <c r="R173" s="17"/>
      <c r="S173" s="17"/>
      <c r="T173" s="17"/>
    </row>
    <row r="174" spans="1:20" x14ac:dyDescent="0.25">
      <c r="A174" s="16"/>
      <c r="B174" s="16"/>
      <c r="C174" s="17"/>
      <c r="D174" s="17"/>
      <c r="E174" s="17"/>
      <c r="F174" s="17"/>
      <c r="G174" s="16"/>
      <c r="H174" s="16"/>
      <c r="I174" s="16"/>
      <c r="J174" s="17"/>
      <c r="K174" s="17"/>
      <c r="L174" s="17"/>
      <c r="M174" s="17"/>
      <c r="N174" s="16"/>
      <c r="O174" s="16"/>
      <c r="P174" s="16"/>
      <c r="Q174" s="17"/>
      <c r="R174" s="17"/>
      <c r="S174" s="17"/>
      <c r="T174" s="17"/>
    </row>
    <row r="175" spans="1:20" x14ac:dyDescent="0.25">
      <c r="A175" s="16"/>
      <c r="B175" s="16"/>
      <c r="C175" s="17"/>
      <c r="D175" s="17"/>
      <c r="E175" s="17"/>
      <c r="F175" s="17"/>
      <c r="G175" s="16"/>
      <c r="H175" s="16"/>
      <c r="I175" s="16"/>
      <c r="J175" s="17"/>
      <c r="K175" s="17"/>
      <c r="L175" s="17"/>
      <c r="M175" s="17"/>
      <c r="N175" s="16"/>
      <c r="O175" s="16"/>
      <c r="P175" s="16"/>
      <c r="Q175" s="17"/>
      <c r="R175" s="17"/>
      <c r="S175" s="17"/>
      <c r="T175" s="17"/>
    </row>
    <row r="177" spans="1:20" ht="15.75" x14ac:dyDescent="0.25">
      <c r="A177" s="2" t="s">
        <v>73</v>
      </c>
      <c r="H177" s="2" t="s">
        <v>73</v>
      </c>
      <c r="O177" s="2" t="s">
        <v>73</v>
      </c>
    </row>
    <row r="178" spans="1:20" ht="15.75" x14ac:dyDescent="0.25">
      <c r="A178" s="16" t="s">
        <v>59</v>
      </c>
      <c r="B178" s="21" t="s">
        <v>66</v>
      </c>
      <c r="C178" s="16" t="s">
        <v>82</v>
      </c>
      <c r="D178" s="16" t="s">
        <v>64</v>
      </c>
      <c r="E178" s="16" t="s">
        <v>63</v>
      </c>
      <c r="F178" s="16" t="s">
        <v>18</v>
      </c>
      <c r="G178" s="16"/>
      <c r="H178" s="16" t="s">
        <v>12</v>
      </c>
      <c r="I178" s="21" t="s">
        <v>66</v>
      </c>
      <c r="J178" s="16" t="s">
        <v>82</v>
      </c>
      <c r="K178" s="16" t="s">
        <v>64</v>
      </c>
      <c r="L178" s="16" t="s">
        <v>63</v>
      </c>
      <c r="M178" s="16" t="s">
        <v>18</v>
      </c>
      <c r="N178" s="16"/>
      <c r="O178" s="16" t="s">
        <v>13</v>
      </c>
      <c r="P178" s="21" t="s">
        <v>66</v>
      </c>
      <c r="Q178" s="16" t="s">
        <v>82</v>
      </c>
      <c r="R178" s="16" t="s">
        <v>64</v>
      </c>
      <c r="S178" s="16" t="s">
        <v>63</v>
      </c>
      <c r="T178" s="16" t="s">
        <v>18</v>
      </c>
    </row>
    <row r="179" spans="1:20" x14ac:dyDescent="0.25">
      <c r="A179" s="16" t="s">
        <v>0</v>
      </c>
      <c r="B179" s="16" t="s">
        <v>1</v>
      </c>
      <c r="C179" s="17">
        <v>1359605</v>
      </c>
      <c r="D179" s="17">
        <v>1439513</v>
      </c>
      <c r="E179" s="17">
        <v>1705920</v>
      </c>
      <c r="F179" s="17">
        <f>AVERAGE(Table143690117171198152154157[[#This Row],[Teste 1]:[Teste 3]])</f>
        <v>1501679.3333333333</v>
      </c>
      <c r="G179" s="16"/>
      <c r="H179" s="16" t="s">
        <v>0</v>
      </c>
      <c r="I179" s="16" t="s">
        <v>1</v>
      </c>
      <c r="J179" s="17">
        <v>324226</v>
      </c>
      <c r="K179" s="17">
        <v>320285</v>
      </c>
      <c r="L179" s="17">
        <v>298007</v>
      </c>
      <c r="M179" s="17">
        <f>AVERAGE(Table143690117171198152154157169[[#This Row],[Teste 1]:[Teste 3]])</f>
        <v>314172.66666666669</v>
      </c>
      <c r="N179" s="16"/>
      <c r="O179" s="16" t="s">
        <v>0</v>
      </c>
      <c r="P179" s="16" t="s">
        <v>1</v>
      </c>
      <c r="Q179" s="17">
        <v>243779</v>
      </c>
      <c r="R179" s="17">
        <v>240816</v>
      </c>
      <c r="S179" s="17">
        <v>224065</v>
      </c>
      <c r="T179" s="17">
        <f>AVERAGE(Table143690117171198152154157181[[#This Row],[Teste 1]:[Teste 3]])</f>
        <v>236220</v>
      </c>
    </row>
    <row r="180" spans="1:20" x14ac:dyDescent="0.25">
      <c r="A180" s="16" t="s">
        <v>0</v>
      </c>
      <c r="B180" s="16" t="s">
        <v>2</v>
      </c>
      <c r="C180" s="17">
        <v>735.50773938018699</v>
      </c>
      <c r="D180" s="17">
        <v>650.73883424775499</v>
      </c>
      <c r="E180" s="17">
        <v>586.19395985743699</v>
      </c>
      <c r="F180" s="17">
        <f>AVERAGE(Table143690117171198152154157[[#This Row],[Teste 1]:[Teste 3]])</f>
        <v>657.48017782845966</v>
      </c>
      <c r="G180" s="16"/>
      <c r="H180" s="16" t="s">
        <v>0</v>
      </c>
      <c r="I180" s="16" t="s">
        <v>2</v>
      </c>
      <c r="J180" s="17">
        <v>3084.27</v>
      </c>
      <c r="K180" s="17">
        <v>3122.21</v>
      </c>
      <c r="L180" s="17">
        <v>3355.63</v>
      </c>
      <c r="M180" s="17">
        <f>AVERAGE(Table143690117171198152154157169[[#This Row],[Teste 1]:[Teste 3]])</f>
        <v>3187.3700000000003</v>
      </c>
      <c r="N180" s="16"/>
      <c r="O180" s="16" t="s">
        <v>0</v>
      </c>
      <c r="P180" s="16" t="s">
        <v>2</v>
      </c>
      <c r="Q180" s="17">
        <v>4102.0760606943104</v>
      </c>
      <c r="R180" s="17">
        <v>4152.54800345492</v>
      </c>
      <c r="S180" s="17">
        <v>4462.9906500345796</v>
      </c>
      <c r="T180" s="17">
        <f>AVERAGE(Table143690117171198152154157181[[#This Row],[Teste 1]:[Teste 3]])</f>
        <v>4239.2049047279361</v>
      </c>
    </row>
    <row r="181" spans="1:20" x14ac:dyDescent="0.25">
      <c r="A181" s="16" t="s">
        <v>16</v>
      </c>
      <c r="B181" s="16" t="s">
        <v>4</v>
      </c>
      <c r="C181" s="17">
        <v>1000000</v>
      </c>
      <c r="D181" s="17">
        <v>1000000</v>
      </c>
      <c r="E181" s="17">
        <v>1000000</v>
      </c>
      <c r="F181" s="17">
        <f>AVERAGE(Table143690117171198152154157[[#This Row],[Teste 1]:[Teste 3]])</f>
        <v>1000000</v>
      </c>
      <c r="G181" s="16"/>
      <c r="H181" s="16" t="s">
        <v>16</v>
      </c>
      <c r="I181" s="16" t="s">
        <v>4</v>
      </c>
      <c r="J181" s="17">
        <v>1000000</v>
      </c>
      <c r="K181" s="17">
        <v>1000000</v>
      </c>
      <c r="L181" s="17">
        <v>1000000</v>
      </c>
      <c r="M181" s="17">
        <f>AVERAGE(Table143690117171198152154157169[[#This Row],[Teste 1]:[Teste 3]])</f>
        <v>1000000</v>
      </c>
      <c r="N181" s="16"/>
      <c r="O181" s="16" t="s">
        <v>16</v>
      </c>
      <c r="P181" s="16" t="s">
        <v>4</v>
      </c>
      <c r="Q181" s="17">
        <v>1000000</v>
      </c>
      <c r="R181" s="17">
        <v>1000000</v>
      </c>
      <c r="S181" s="17">
        <v>1000000</v>
      </c>
      <c r="T181" s="17">
        <f>AVERAGE(Table143690117171198152154157181[[#This Row],[Teste 1]:[Teste 3]])</f>
        <v>1000000</v>
      </c>
    </row>
    <row r="182" spans="1:20" x14ac:dyDescent="0.25">
      <c r="A182" s="16" t="s">
        <v>16</v>
      </c>
      <c r="B182" s="16" t="s">
        <v>5</v>
      </c>
      <c r="C182" s="17">
        <v>7691.8752180000001</v>
      </c>
      <c r="D182" s="17">
        <v>20267.569276999999</v>
      </c>
      <c r="E182" s="17">
        <v>9750.4445250000008</v>
      </c>
      <c r="F182" s="17">
        <f>AVERAGE(Table143690117171198152154157[[#This Row],[Teste 1]:[Teste 3]])</f>
        <v>12569.963006666667</v>
      </c>
      <c r="G182" s="16"/>
      <c r="H182" s="16" t="s">
        <v>16</v>
      </c>
      <c r="I182" s="16" t="s">
        <v>5</v>
      </c>
      <c r="J182" s="17">
        <v>1598.45</v>
      </c>
      <c r="K182" s="17">
        <v>1570.55</v>
      </c>
      <c r="L182" s="17">
        <v>1492.08</v>
      </c>
      <c r="M182" s="17">
        <f>AVERAGE(Table143690117171198152154157169[[#This Row],[Teste 1]:[Teste 3]])</f>
        <v>1553.6933333333334</v>
      </c>
      <c r="N182" s="16"/>
      <c r="O182" s="16" t="s">
        <v>16</v>
      </c>
      <c r="P182" s="16" t="s">
        <v>5</v>
      </c>
      <c r="Q182" s="17">
        <v>1201.8400019999999</v>
      </c>
      <c r="R182" s="17">
        <v>1180.8680099999999</v>
      </c>
      <c r="S182" s="17">
        <v>1121.863034</v>
      </c>
      <c r="T182" s="17">
        <f>AVERAGE(Table143690117171198152154157181[[#This Row],[Teste 1]:[Teste 3]])</f>
        <v>1168.1903486666668</v>
      </c>
    </row>
    <row r="183" spans="1:20" x14ac:dyDescent="0.25">
      <c r="A183" s="16" t="s">
        <v>16</v>
      </c>
      <c r="B183" s="16" t="s">
        <v>6</v>
      </c>
      <c r="C183" s="17">
        <v>90</v>
      </c>
      <c r="D183" s="17">
        <v>77</v>
      </c>
      <c r="E183" s="17">
        <v>85</v>
      </c>
      <c r="F183" s="17">
        <f>AVERAGE(Table143690117171198152154157[[#This Row],[Teste 1]:[Teste 3]])</f>
        <v>84</v>
      </c>
      <c r="G183" s="16"/>
      <c r="H183" s="16" t="s">
        <v>16</v>
      </c>
      <c r="I183" s="16" t="s">
        <v>6</v>
      </c>
      <c r="J183" s="17">
        <v>150</v>
      </c>
      <c r="K183" s="17">
        <v>145</v>
      </c>
      <c r="L183" s="17">
        <v>138</v>
      </c>
      <c r="M183" s="17">
        <f>AVERAGE(Table143690117171198152154157169[[#This Row],[Teste 1]:[Teste 3]])</f>
        <v>144.33333333333334</v>
      </c>
      <c r="N183" s="16"/>
      <c r="O183" s="16" t="s">
        <v>16</v>
      </c>
      <c r="P183" s="16" t="s">
        <v>6</v>
      </c>
      <c r="Q183" s="17">
        <v>113</v>
      </c>
      <c r="R183" s="17">
        <v>109</v>
      </c>
      <c r="S183" s="17">
        <v>104</v>
      </c>
      <c r="T183" s="17">
        <f>AVERAGE(Table143690117171198152154157181[[#This Row],[Teste 1]:[Teste 3]])</f>
        <v>108.66666666666667</v>
      </c>
    </row>
    <row r="184" spans="1:20" x14ac:dyDescent="0.25">
      <c r="A184" s="16" t="s">
        <v>16</v>
      </c>
      <c r="B184" s="16" t="s">
        <v>7</v>
      </c>
      <c r="C184" s="17">
        <v>7806975</v>
      </c>
      <c r="D184" s="17">
        <v>9977855</v>
      </c>
      <c r="E184" s="17">
        <v>8130559</v>
      </c>
      <c r="F184" s="17">
        <f>AVERAGE(Table143690117171198152154157[[#This Row],[Teste 1]:[Teste 3]])</f>
        <v>8638463</v>
      </c>
      <c r="G184" s="16"/>
      <c r="H184" s="16" t="s">
        <v>16</v>
      </c>
      <c r="I184" s="16" t="s">
        <v>7</v>
      </c>
      <c r="J184" s="17">
        <v>1120178</v>
      </c>
      <c r="K184" s="17">
        <v>2230824</v>
      </c>
      <c r="L184" s="17">
        <v>1912134</v>
      </c>
      <c r="M184" s="17">
        <f>AVERAGE(Table143690117171198152154157169[[#This Row],[Teste 1]:[Teste 3]])</f>
        <v>1754378.6666666667</v>
      </c>
      <c r="N184" s="16"/>
      <c r="O184" s="16" t="s">
        <v>16</v>
      </c>
      <c r="P184" s="16" t="s">
        <v>7</v>
      </c>
      <c r="Q184" s="17">
        <v>842239</v>
      </c>
      <c r="R184" s="17">
        <v>1677311</v>
      </c>
      <c r="S184" s="17">
        <v>1437695</v>
      </c>
      <c r="T184" s="17">
        <f>AVERAGE(Table143690117171198152154157181[[#This Row],[Teste 1]:[Teste 3]])</f>
        <v>1319081.6666666667</v>
      </c>
    </row>
    <row r="185" spans="1:20" x14ac:dyDescent="0.25">
      <c r="A185" s="16" t="s">
        <v>16</v>
      </c>
      <c r="B185" s="16" t="s">
        <v>8</v>
      </c>
      <c r="C185" s="17">
        <v>11679</v>
      </c>
      <c r="D185" s="17">
        <v>31663</v>
      </c>
      <c r="E185" s="17">
        <v>12879</v>
      </c>
      <c r="F185" s="17">
        <f>AVERAGE(Table143690117171198152154157[[#This Row],[Teste 1]:[Teste 3]])</f>
        <v>18740.333333333332</v>
      </c>
      <c r="G185" s="16"/>
      <c r="H185" s="16" t="s">
        <v>16</v>
      </c>
      <c r="I185" s="16" t="s">
        <v>8</v>
      </c>
      <c r="J185" s="17">
        <v>6133</v>
      </c>
      <c r="K185" s="17">
        <v>6212</v>
      </c>
      <c r="L185" s="17">
        <v>5813</v>
      </c>
      <c r="M185" s="17">
        <f>AVERAGE(Table143690117171198152154157169[[#This Row],[Teste 1]:[Teste 3]])</f>
        <v>6052.666666666667</v>
      </c>
      <c r="N185" s="16"/>
      <c r="O185" s="16" t="s">
        <v>16</v>
      </c>
      <c r="P185" s="16" t="s">
        <v>8</v>
      </c>
      <c r="Q185" s="17">
        <v>4611</v>
      </c>
      <c r="R185" s="17">
        <v>4671</v>
      </c>
      <c r="S185" s="17">
        <v>4371</v>
      </c>
      <c r="T185" s="17">
        <f>AVERAGE(Table143690117171198152154157181[[#This Row],[Teste 1]:[Teste 3]])</f>
        <v>4551</v>
      </c>
    </row>
    <row r="186" spans="1:20" x14ac:dyDescent="0.25">
      <c r="A186" s="16" t="s">
        <v>16</v>
      </c>
      <c r="B186" s="16" t="s">
        <v>9</v>
      </c>
      <c r="C186" s="17">
        <v>60703</v>
      </c>
      <c r="D186" s="17">
        <v>205567</v>
      </c>
      <c r="E186" s="17">
        <v>79103</v>
      </c>
      <c r="F186" s="17">
        <f>AVERAGE(Table143690117171198152154157[[#This Row],[Teste 1]:[Teste 3]])</f>
        <v>115124.33333333333</v>
      </c>
      <c r="G186" s="16"/>
      <c r="H186" s="16" t="s">
        <v>16</v>
      </c>
      <c r="I186" s="16" t="s">
        <v>9</v>
      </c>
      <c r="J186" s="17">
        <v>17374</v>
      </c>
      <c r="K186" s="17">
        <v>17374</v>
      </c>
      <c r="L186" s="17">
        <v>16033</v>
      </c>
      <c r="M186" s="17">
        <f>AVERAGE(Table143690117171198152154157169[[#This Row],[Teste 1]:[Teste 3]])</f>
        <v>16927</v>
      </c>
      <c r="N186" s="16"/>
      <c r="O186" s="16" t="s">
        <v>16</v>
      </c>
      <c r="P186" s="16" t="s">
        <v>9</v>
      </c>
      <c r="Q186" s="17">
        <v>13063</v>
      </c>
      <c r="R186" s="17">
        <v>13063</v>
      </c>
      <c r="S186" s="17">
        <v>12055</v>
      </c>
      <c r="T186" s="17">
        <f>AVERAGE(Table143690117171198152154157181[[#This Row],[Teste 1]:[Teste 3]])</f>
        <v>12727</v>
      </c>
    </row>
    <row r="187" spans="1:20" x14ac:dyDescent="0.25">
      <c r="A187" s="16" t="s">
        <v>16</v>
      </c>
      <c r="B187" s="16" t="s">
        <v>11</v>
      </c>
      <c r="C187" s="17">
        <v>1000000</v>
      </c>
      <c r="D187" s="17">
        <v>1000000</v>
      </c>
      <c r="E187" s="17">
        <v>1000000</v>
      </c>
      <c r="F187" s="17">
        <f>AVERAGE(Table143690117171198152154157[[#This Row],[Teste 1]:[Teste 3]])</f>
        <v>1000000</v>
      </c>
      <c r="G187" s="16"/>
      <c r="H187" s="16" t="s">
        <v>16</v>
      </c>
      <c r="I187" s="16" t="s">
        <v>11</v>
      </c>
      <c r="J187" s="17">
        <v>1000000</v>
      </c>
      <c r="K187" s="17">
        <v>1000000</v>
      </c>
      <c r="L187" s="17">
        <v>1000000</v>
      </c>
      <c r="M187" s="17">
        <f>AVERAGE(Table143690117171198152154157169[[#This Row],[Teste 1]:[Teste 3]])</f>
        <v>1000000</v>
      </c>
      <c r="N187" s="16"/>
      <c r="O187" s="16" t="s">
        <v>16</v>
      </c>
      <c r="P187" s="16" t="s">
        <v>11</v>
      </c>
      <c r="Q187" s="17">
        <v>1000000</v>
      </c>
      <c r="R187" s="17">
        <v>1000000</v>
      </c>
      <c r="S187" s="17">
        <v>1000000</v>
      </c>
      <c r="T187" s="17">
        <f>AVERAGE(Table143690117171198152154157181[[#This Row],[Teste 1]:[Teste 3]])</f>
        <v>1000000</v>
      </c>
    </row>
    <row r="188" spans="1:20" x14ac:dyDescent="0.25">
      <c r="A188" s="16" t="s">
        <v>72</v>
      </c>
      <c r="B188" s="16" t="s">
        <v>4</v>
      </c>
      <c r="C188" s="17">
        <v>500303</v>
      </c>
      <c r="D188" s="17">
        <v>500175</v>
      </c>
      <c r="E188" s="17">
        <v>500001</v>
      </c>
      <c r="F188" s="17">
        <f>AVERAGE(Table143690117171198152154157[[#This Row],[Teste 1]:[Teste 3]])</f>
        <v>500159.66666666669</v>
      </c>
      <c r="G188" s="16"/>
      <c r="H188" s="16" t="s">
        <v>72</v>
      </c>
      <c r="I188" s="16" t="s">
        <v>4</v>
      </c>
      <c r="J188" s="17">
        <v>499182</v>
      </c>
      <c r="K188" s="17">
        <v>500185</v>
      </c>
      <c r="L188" s="17">
        <v>499400</v>
      </c>
      <c r="M188" s="17">
        <f>AVERAGE(Table143690117171198152154157169[[#This Row],[Teste 1]:[Teste 3]])</f>
        <v>499589</v>
      </c>
      <c r="N188" s="16"/>
      <c r="O188" s="16" t="s">
        <v>72</v>
      </c>
      <c r="P188" s="16" t="s">
        <v>4</v>
      </c>
      <c r="Q188" s="17">
        <v>500619</v>
      </c>
      <c r="R188" s="17">
        <v>500320</v>
      </c>
      <c r="S188" s="17">
        <v>500021</v>
      </c>
      <c r="T188" s="17">
        <f>AVERAGE(Table143690117171198152154157181[[#This Row],[Teste 1]:[Teste 3]])</f>
        <v>500320</v>
      </c>
    </row>
    <row r="189" spans="1:20" x14ac:dyDescent="0.25">
      <c r="A189" s="16" t="s">
        <v>72</v>
      </c>
      <c r="B189" s="16" t="s">
        <v>5</v>
      </c>
      <c r="C189" s="17">
        <v>8463.6876412893707</v>
      </c>
      <c r="D189" s="17">
        <v>20624.838048682901</v>
      </c>
      <c r="E189" s="17">
        <v>10455.6001867996</v>
      </c>
      <c r="F189" s="17">
        <f>AVERAGE(Table143690117171198152154157[[#This Row],[Teste 1]:[Teste 3]])</f>
        <v>13181.375292257291</v>
      </c>
      <c r="G189" s="16"/>
      <c r="H189" s="16" t="s">
        <v>72</v>
      </c>
      <c r="I189" s="16" t="s">
        <v>5</v>
      </c>
      <c r="J189" s="17">
        <v>2259.37</v>
      </c>
      <c r="K189" s="17">
        <v>2241.06</v>
      </c>
      <c r="L189" s="17">
        <v>2060.4</v>
      </c>
      <c r="M189" s="17">
        <f>AVERAGE(Table143690117171198152154157169[[#This Row],[Teste 1]:[Teste 3]])</f>
        <v>2186.9433333333332</v>
      </c>
      <c r="N189" s="16"/>
      <c r="O189" s="16" t="s">
        <v>72</v>
      </c>
      <c r="P189" s="16" t="s">
        <v>5</v>
      </c>
      <c r="Q189" s="17">
        <v>1698.7718624342999</v>
      </c>
      <c r="R189" s="17">
        <v>1685.0043851934699</v>
      </c>
      <c r="S189" s="17">
        <v>1549.1734347157401</v>
      </c>
      <c r="T189" s="17">
        <f>AVERAGE(Table143690117171198152154157181[[#This Row],[Teste 1]:[Teste 3]])</f>
        <v>1644.31656078117</v>
      </c>
    </row>
    <row r="190" spans="1:20" x14ac:dyDescent="0.25">
      <c r="A190" s="16" t="s">
        <v>72</v>
      </c>
      <c r="B190" s="16" t="s">
        <v>6</v>
      </c>
      <c r="C190" s="17">
        <v>223</v>
      </c>
      <c r="D190" s="17">
        <v>196</v>
      </c>
      <c r="E190" s="17">
        <v>213</v>
      </c>
      <c r="F190" s="17">
        <f>AVERAGE(Table143690117171198152154157[[#This Row],[Teste 1]:[Teste 3]])</f>
        <v>210.66666666666666</v>
      </c>
      <c r="G190" s="16"/>
      <c r="H190" s="16" t="s">
        <v>72</v>
      </c>
      <c r="I190" s="16" t="s">
        <v>6</v>
      </c>
      <c r="J190" s="17">
        <v>422</v>
      </c>
      <c r="K190" s="17">
        <v>436</v>
      </c>
      <c r="L190" s="17">
        <v>420</v>
      </c>
      <c r="M190" s="17">
        <f>AVERAGE(Table143690117171198152154157169[[#This Row],[Teste 1]:[Teste 3]])</f>
        <v>426</v>
      </c>
      <c r="N190" s="16"/>
      <c r="O190" s="16" t="s">
        <v>72</v>
      </c>
      <c r="P190" s="16" t="s">
        <v>6</v>
      </c>
      <c r="Q190" s="17">
        <v>317</v>
      </c>
      <c r="R190" s="17">
        <v>328</v>
      </c>
      <c r="S190" s="17">
        <v>316</v>
      </c>
      <c r="T190" s="17">
        <f>AVERAGE(Table143690117171198152154157181[[#This Row],[Teste 1]:[Teste 3]])</f>
        <v>320.33333333333331</v>
      </c>
    </row>
    <row r="191" spans="1:20" x14ac:dyDescent="0.25">
      <c r="A191" s="16" t="s">
        <v>72</v>
      </c>
      <c r="B191" s="16" t="s">
        <v>7</v>
      </c>
      <c r="C191" s="17">
        <v>7811071</v>
      </c>
      <c r="D191" s="17">
        <v>9977855</v>
      </c>
      <c r="E191" s="17">
        <v>8130559</v>
      </c>
      <c r="F191" s="17">
        <f>AVERAGE(Table143690117171198152154157[[#This Row],[Teste 1]:[Teste 3]])</f>
        <v>8639828.333333334</v>
      </c>
      <c r="G191" s="16"/>
      <c r="H191" s="16" t="s">
        <v>72</v>
      </c>
      <c r="I191" s="16" t="s">
        <v>7</v>
      </c>
      <c r="J191" s="17">
        <v>1113368</v>
      </c>
      <c r="K191" s="17">
        <v>2229462</v>
      </c>
      <c r="L191" s="17">
        <v>1912134</v>
      </c>
      <c r="M191" s="17">
        <f>AVERAGE(Table143690117171198152154157169[[#This Row],[Teste 1]:[Teste 3]])</f>
        <v>1751654.6666666667</v>
      </c>
      <c r="N191" s="16"/>
      <c r="O191" s="16" t="s">
        <v>72</v>
      </c>
      <c r="P191" s="16" t="s">
        <v>7</v>
      </c>
      <c r="Q191" s="17">
        <v>837119</v>
      </c>
      <c r="R191" s="17">
        <v>1676287</v>
      </c>
      <c r="S191" s="17">
        <v>1437695</v>
      </c>
      <c r="T191" s="17">
        <f>AVERAGE(Table143690117171198152154157181[[#This Row],[Teste 1]:[Teste 3]])</f>
        <v>1317033.6666666667</v>
      </c>
    </row>
    <row r="192" spans="1:20" x14ac:dyDescent="0.25">
      <c r="A192" s="16" t="s">
        <v>72</v>
      </c>
      <c r="B192" s="16" t="s">
        <v>8</v>
      </c>
      <c r="C192" s="17">
        <v>12911</v>
      </c>
      <c r="D192" s="17">
        <v>31231</v>
      </c>
      <c r="E192" s="17">
        <v>14479</v>
      </c>
      <c r="F192" s="17">
        <f>AVERAGE(Table143690117171198152154157[[#This Row],[Teste 1]:[Teste 3]])</f>
        <v>19540.333333333332</v>
      </c>
      <c r="G192" s="16"/>
      <c r="H192" s="16" t="s">
        <v>72</v>
      </c>
      <c r="I192" s="16" t="s">
        <v>8</v>
      </c>
      <c r="J192" s="17">
        <v>7394</v>
      </c>
      <c r="K192" s="17">
        <v>7633</v>
      </c>
      <c r="L192" s="17">
        <v>9713</v>
      </c>
      <c r="M192" s="17">
        <f>AVERAGE(Table143690117171198152154157169[[#This Row],[Teste 1]:[Teste 3]])</f>
        <v>8246.6666666666661</v>
      </c>
      <c r="N192" s="16"/>
      <c r="O192" s="16" t="s">
        <v>72</v>
      </c>
      <c r="P192" s="16" t="s">
        <v>8</v>
      </c>
      <c r="Q192" s="17">
        <v>5559</v>
      </c>
      <c r="R192" s="17">
        <v>5739</v>
      </c>
      <c r="S192" s="17">
        <v>5047</v>
      </c>
      <c r="T192" s="17">
        <f>AVERAGE(Table143690117171198152154157181[[#This Row],[Teste 1]:[Teste 3]])</f>
        <v>5448.333333333333</v>
      </c>
    </row>
    <row r="193" spans="1:20" x14ac:dyDescent="0.25">
      <c r="A193" s="16" t="s">
        <v>72</v>
      </c>
      <c r="B193" s="16" t="s">
        <v>9</v>
      </c>
      <c r="C193" s="17">
        <v>62175</v>
      </c>
      <c r="D193" s="17">
        <v>207743</v>
      </c>
      <c r="E193" s="17">
        <v>83775</v>
      </c>
      <c r="F193" s="17">
        <f>AVERAGE(Table143690117171198152154157[[#This Row],[Teste 1]:[Teste 3]])</f>
        <v>117897.66666666667</v>
      </c>
      <c r="G193" s="16"/>
      <c r="H193" s="16" t="s">
        <v>72</v>
      </c>
      <c r="I193" s="16" t="s">
        <v>9</v>
      </c>
      <c r="J193" s="17">
        <v>18555</v>
      </c>
      <c r="K193" s="17">
        <v>19279</v>
      </c>
      <c r="L193" s="17">
        <v>17204</v>
      </c>
      <c r="M193" s="17">
        <f>AVERAGE(Table143690117171198152154157169[[#This Row],[Teste 1]:[Teste 3]])</f>
        <v>18346</v>
      </c>
      <c r="N193" s="16"/>
      <c r="O193" s="16" t="s">
        <v>72</v>
      </c>
      <c r="P193" s="16" t="s">
        <v>9</v>
      </c>
      <c r="Q193" s="17">
        <v>13951</v>
      </c>
      <c r="R193" s="17">
        <v>14495</v>
      </c>
      <c r="S193" s="17">
        <v>12935</v>
      </c>
      <c r="T193" s="17">
        <f>AVERAGE(Table143690117171198152154157181[[#This Row],[Teste 1]:[Teste 3]])</f>
        <v>13793.666666666666</v>
      </c>
    </row>
    <row r="194" spans="1:20" x14ac:dyDescent="0.25">
      <c r="A194" s="16" t="s">
        <v>3</v>
      </c>
      <c r="B194" s="16" t="s">
        <v>4</v>
      </c>
      <c r="C194" s="17">
        <v>6</v>
      </c>
      <c r="D194" s="17">
        <v>6</v>
      </c>
      <c r="E194" s="17">
        <v>6</v>
      </c>
      <c r="F194" s="17">
        <f>AVERAGE(Table143690117171198152154157[[#This Row],[Teste 1]:[Teste 3]])</f>
        <v>6</v>
      </c>
      <c r="G194" s="16"/>
      <c r="H194" s="16" t="s">
        <v>3</v>
      </c>
      <c r="I194" s="16" t="s">
        <v>4</v>
      </c>
      <c r="J194" s="17">
        <v>6</v>
      </c>
      <c r="K194" s="17">
        <v>6</v>
      </c>
      <c r="L194" s="17">
        <v>6</v>
      </c>
      <c r="M194" s="17">
        <f>AVERAGE(Table143690117171198152154157169[[#This Row],[Teste 1]:[Teste 3]])</f>
        <v>6</v>
      </c>
      <c r="N194" s="16"/>
      <c r="O194" s="16" t="s">
        <v>3</v>
      </c>
      <c r="P194" s="16" t="s">
        <v>4</v>
      </c>
      <c r="Q194" s="17">
        <v>6</v>
      </c>
      <c r="R194" s="17">
        <v>6</v>
      </c>
      <c r="S194" s="17">
        <v>6</v>
      </c>
      <c r="T194" s="17">
        <f>AVERAGE(Table143690117171198152154157181[[#This Row],[Teste 1]:[Teste 3]])</f>
        <v>6</v>
      </c>
    </row>
    <row r="195" spans="1:20" x14ac:dyDescent="0.25">
      <c r="A195" s="16" t="s">
        <v>3</v>
      </c>
      <c r="B195" s="16" t="s">
        <v>5</v>
      </c>
      <c r="C195" s="17">
        <v>0.5</v>
      </c>
      <c r="D195" s="17">
        <v>1</v>
      </c>
      <c r="E195" s="17">
        <v>0.66666666666666596</v>
      </c>
      <c r="F195" s="17">
        <f>AVERAGE(Table143690117171198152154157[[#This Row],[Teste 1]:[Teste 3]])</f>
        <v>0.72222222222222199</v>
      </c>
      <c r="G195" s="16"/>
      <c r="H195" s="16" t="s">
        <v>3</v>
      </c>
      <c r="I195" s="16" t="s">
        <v>5</v>
      </c>
      <c r="J195" s="17">
        <v>0.33300000000000002</v>
      </c>
      <c r="K195" s="17">
        <v>0.33</v>
      </c>
      <c r="L195" s="17">
        <v>0.33</v>
      </c>
      <c r="M195" s="17">
        <f>AVERAGE(Table143690117171198152154157169[[#This Row],[Teste 1]:[Teste 3]])</f>
        <v>0.33100000000000002</v>
      </c>
      <c r="N195" s="16"/>
      <c r="O195" s="16" t="s">
        <v>3</v>
      </c>
      <c r="P195" s="16" t="s">
        <v>5</v>
      </c>
      <c r="Q195" s="17">
        <v>1887</v>
      </c>
      <c r="R195" s="17">
        <v>1403.8333333333301</v>
      </c>
      <c r="S195" s="17">
        <v>1592.6666666666599</v>
      </c>
      <c r="T195" s="17">
        <f>AVERAGE(Table143690117171198152154157181[[#This Row],[Teste 1]:[Teste 3]])</f>
        <v>1627.8333333333301</v>
      </c>
    </row>
    <row r="196" spans="1:20" x14ac:dyDescent="0.25">
      <c r="A196" s="16" t="s">
        <v>3</v>
      </c>
      <c r="B196" s="16" t="s">
        <v>6</v>
      </c>
      <c r="C196" s="17">
        <v>0</v>
      </c>
      <c r="D196" s="17">
        <v>0</v>
      </c>
      <c r="E196" s="17">
        <v>0</v>
      </c>
      <c r="F196" s="17">
        <f>AVERAGE(Table143690117171198152154157[[#This Row],[Teste 1]:[Teste 3]])</f>
        <v>0</v>
      </c>
      <c r="G196" s="16"/>
      <c r="H196" s="16" t="s">
        <v>3</v>
      </c>
      <c r="I196" s="16" t="s">
        <v>6</v>
      </c>
      <c r="J196" s="17">
        <v>1</v>
      </c>
      <c r="K196" s="17">
        <v>1</v>
      </c>
      <c r="L196" s="17">
        <v>1</v>
      </c>
      <c r="M196" s="17">
        <f>AVERAGE(Table143690117171198152154157169[[#This Row],[Teste 1]:[Teste 3]])</f>
        <v>1</v>
      </c>
      <c r="N196" s="16"/>
      <c r="O196" s="16" t="s">
        <v>3</v>
      </c>
      <c r="P196" s="16" t="s">
        <v>6</v>
      </c>
      <c r="Q196" s="17">
        <v>1</v>
      </c>
      <c r="R196" s="17">
        <v>1</v>
      </c>
      <c r="S196" s="17">
        <v>1</v>
      </c>
      <c r="T196" s="17">
        <f>AVERAGE(Table143690117171198152154157181[[#This Row],[Teste 1]:[Teste 3]])</f>
        <v>1</v>
      </c>
    </row>
    <row r="197" spans="1:20" x14ac:dyDescent="0.25">
      <c r="A197" s="16" t="s">
        <v>3</v>
      </c>
      <c r="B197" s="16" t="s">
        <v>7</v>
      </c>
      <c r="C197" s="17">
        <v>2</v>
      </c>
      <c r="D197" s="17">
        <v>2</v>
      </c>
      <c r="E197" s="17">
        <v>2</v>
      </c>
      <c r="F197" s="17">
        <f>AVERAGE(Table143690117171198152154157[[#This Row],[Teste 1]:[Teste 3]])</f>
        <v>2</v>
      </c>
      <c r="G197" s="16"/>
      <c r="H197" s="16" t="s">
        <v>3</v>
      </c>
      <c r="I197" s="16" t="s">
        <v>7</v>
      </c>
      <c r="J197" s="17">
        <v>4</v>
      </c>
      <c r="K197" s="17">
        <v>4</v>
      </c>
      <c r="L197" s="17">
        <v>4</v>
      </c>
      <c r="M197" s="17">
        <f>AVERAGE(Table143690117171198152154157169[[#This Row],[Teste 1]:[Teste 3]])</f>
        <v>4</v>
      </c>
      <c r="N197" s="16"/>
      <c r="O197" s="16" t="s">
        <v>3</v>
      </c>
      <c r="P197" s="16" t="s">
        <v>7</v>
      </c>
      <c r="Q197" s="17">
        <v>11311</v>
      </c>
      <c r="R197" s="17">
        <v>8247</v>
      </c>
      <c r="S197" s="17">
        <v>9543</v>
      </c>
      <c r="T197" s="17">
        <f>AVERAGE(Table143690117171198152154157181[[#This Row],[Teste 1]:[Teste 3]])</f>
        <v>9700.3333333333339</v>
      </c>
    </row>
    <row r="198" spans="1:20" x14ac:dyDescent="0.25">
      <c r="A198" s="16" t="s">
        <v>3</v>
      </c>
      <c r="B198" s="16" t="s">
        <v>8</v>
      </c>
      <c r="C198" s="17">
        <v>2</v>
      </c>
      <c r="D198" s="17">
        <v>2</v>
      </c>
      <c r="E198" s="17">
        <v>2</v>
      </c>
      <c r="F198" s="17">
        <f>AVERAGE(Table143690117171198152154157[[#This Row],[Teste 1]:[Teste 3]])</f>
        <v>2</v>
      </c>
      <c r="G198" s="16"/>
      <c r="H198" s="16" t="s">
        <v>3</v>
      </c>
      <c r="I198" s="16" t="s">
        <v>8</v>
      </c>
      <c r="J198" s="17">
        <v>4</v>
      </c>
      <c r="K198" s="17">
        <v>4</v>
      </c>
      <c r="L198" s="17">
        <v>4</v>
      </c>
      <c r="M198" s="17">
        <f>AVERAGE(Table143690117171198152154157169[[#This Row],[Teste 1]:[Teste 3]])</f>
        <v>4</v>
      </c>
      <c r="N198" s="16"/>
      <c r="O198" s="16" t="s">
        <v>3</v>
      </c>
      <c r="P198" s="16" t="s">
        <v>8</v>
      </c>
      <c r="Q198" s="17">
        <v>11311</v>
      </c>
      <c r="R198" s="17">
        <v>8247</v>
      </c>
      <c r="S198" s="17">
        <v>9543</v>
      </c>
      <c r="T198" s="17">
        <f>AVERAGE(Table143690117171198152154157181[[#This Row],[Teste 1]:[Teste 3]])</f>
        <v>9700.3333333333339</v>
      </c>
    </row>
    <row r="199" spans="1:20" x14ac:dyDescent="0.25">
      <c r="A199" s="16" t="s">
        <v>3</v>
      </c>
      <c r="B199" s="16" t="s">
        <v>9</v>
      </c>
      <c r="C199" s="17">
        <v>2</v>
      </c>
      <c r="D199" s="17">
        <v>2</v>
      </c>
      <c r="E199" s="17">
        <v>2</v>
      </c>
      <c r="F199" s="17">
        <f>AVERAGE(Table143690117171198152154157[[#This Row],[Teste 1]:[Teste 3]])</f>
        <v>2</v>
      </c>
      <c r="G199" s="16"/>
      <c r="H199" s="16" t="s">
        <v>3</v>
      </c>
      <c r="I199" s="16" t="s">
        <v>9</v>
      </c>
      <c r="J199" s="17">
        <v>4</v>
      </c>
      <c r="K199" s="17">
        <v>4</v>
      </c>
      <c r="L199" s="17">
        <v>4</v>
      </c>
      <c r="M199" s="17">
        <f>AVERAGE(Table143690117171198152154157169[[#This Row],[Teste 1]:[Teste 3]])</f>
        <v>4</v>
      </c>
      <c r="N199" s="16"/>
      <c r="O199" s="16" t="s">
        <v>3</v>
      </c>
      <c r="P199" s="16" t="s">
        <v>9</v>
      </c>
      <c r="Q199" s="17">
        <v>11311</v>
      </c>
      <c r="R199" s="17">
        <v>8247</v>
      </c>
      <c r="S199" s="17">
        <v>9543</v>
      </c>
      <c r="T199" s="17">
        <f>AVERAGE(Table143690117171198152154157181[[#This Row],[Teste 1]:[Teste 3]])</f>
        <v>9700.3333333333339</v>
      </c>
    </row>
    <row r="200" spans="1:20" x14ac:dyDescent="0.25">
      <c r="A200" s="16" t="s">
        <v>17</v>
      </c>
      <c r="B200" s="16" t="s">
        <v>4</v>
      </c>
      <c r="C200" s="17">
        <v>500303</v>
      </c>
      <c r="D200" s="17">
        <v>500175</v>
      </c>
      <c r="E200" s="17">
        <v>500001</v>
      </c>
      <c r="F200" s="17">
        <f>AVERAGE(Table143690117171198152154157[[#This Row],[Teste 1]:[Teste 3]])</f>
        <v>500159.66666666669</v>
      </c>
      <c r="G200" s="16"/>
      <c r="H200" s="16" t="s">
        <v>17</v>
      </c>
      <c r="I200" s="16" t="s">
        <v>4</v>
      </c>
      <c r="J200" s="17">
        <v>499182</v>
      </c>
      <c r="K200" s="17">
        <v>500185</v>
      </c>
      <c r="L200" s="17">
        <v>499400</v>
      </c>
      <c r="M200" s="17">
        <f>AVERAGE(Table143690117171198152154157169[[#This Row],[Teste 1]:[Teste 3]])</f>
        <v>499589</v>
      </c>
      <c r="N200" s="16"/>
      <c r="O200" s="16" t="s">
        <v>17</v>
      </c>
      <c r="P200" s="16" t="s">
        <v>4</v>
      </c>
      <c r="Q200" s="17">
        <v>500619</v>
      </c>
      <c r="R200" s="17">
        <v>500320</v>
      </c>
      <c r="S200" s="17">
        <v>500021</v>
      </c>
      <c r="T200" s="17">
        <f>AVERAGE(Table143690117171198152154157181[[#This Row],[Teste 1]:[Teste 3]])</f>
        <v>500320</v>
      </c>
    </row>
    <row r="201" spans="1:20" x14ac:dyDescent="0.25">
      <c r="A201" s="16" t="s">
        <v>17</v>
      </c>
      <c r="B201" s="16" t="s">
        <v>5</v>
      </c>
      <c r="C201" s="17">
        <v>655.49115835803502</v>
      </c>
      <c r="D201" s="17">
        <v>357.14331583945602</v>
      </c>
      <c r="E201" s="17">
        <v>712.02239995519994</v>
      </c>
      <c r="F201" s="17">
        <f>AVERAGE(Table143690117171198152154157[[#This Row],[Teste 1]:[Teste 3]])</f>
        <v>574.8856247175637</v>
      </c>
      <c r="G201" s="16"/>
      <c r="H201" s="16" t="s">
        <v>17</v>
      </c>
      <c r="I201" s="16" t="s">
        <v>5</v>
      </c>
      <c r="J201" s="17">
        <v>657.14</v>
      </c>
      <c r="K201" s="17">
        <v>661.18</v>
      </c>
      <c r="L201" s="17">
        <v>559.59</v>
      </c>
      <c r="M201" s="17">
        <f>AVERAGE(Table143690117171198152154157169[[#This Row],[Teste 1]:[Teste 3]])</f>
        <v>625.96999999999991</v>
      </c>
      <c r="N201" s="16"/>
      <c r="O201" s="16" t="s">
        <v>17</v>
      </c>
      <c r="P201" s="16" t="s">
        <v>5</v>
      </c>
      <c r="Q201" s="17">
        <v>494.09289100094003</v>
      </c>
      <c r="R201" s="17">
        <v>497.13081228013999</v>
      </c>
      <c r="S201" s="17">
        <v>420.749670513838</v>
      </c>
      <c r="T201" s="17">
        <f>AVERAGE(Table143690117171198152154157181[[#This Row],[Teste 1]:[Teste 3]])</f>
        <v>470.65779126497267</v>
      </c>
    </row>
    <row r="202" spans="1:20" x14ac:dyDescent="0.25">
      <c r="A202" s="16" t="s">
        <v>17</v>
      </c>
      <c r="B202" s="16" t="s">
        <v>6</v>
      </c>
      <c r="C202" s="17">
        <v>112</v>
      </c>
      <c r="D202" s="17">
        <v>108</v>
      </c>
      <c r="E202" s="17">
        <v>116</v>
      </c>
      <c r="F202" s="17">
        <f>AVERAGE(Table143690117171198152154157[[#This Row],[Teste 1]:[Teste 3]])</f>
        <v>112</v>
      </c>
      <c r="G202" s="16"/>
      <c r="H202" s="16" t="s">
        <v>17</v>
      </c>
      <c r="I202" s="16" t="s">
        <v>6</v>
      </c>
      <c r="J202" s="17">
        <v>249</v>
      </c>
      <c r="K202" s="17">
        <v>254</v>
      </c>
      <c r="L202" s="17">
        <v>233</v>
      </c>
      <c r="M202" s="17">
        <f>AVERAGE(Table143690117171198152154157169[[#This Row],[Teste 1]:[Teste 3]])</f>
        <v>245.33333333333334</v>
      </c>
      <c r="N202" s="16"/>
      <c r="O202" s="16" t="s">
        <v>17</v>
      </c>
      <c r="P202" s="16" t="s">
        <v>6</v>
      </c>
      <c r="Q202" s="17">
        <v>187</v>
      </c>
      <c r="R202" s="17">
        <v>191</v>
      </c>
      <c r="S202" s="17">
        <v>175</v>
      </c>
      <c r="T202" s="17">
        <f>AVERAGE(Table143690117171198152154157181[[#This Row],[Teste 1]:[Teste 3]])</f>
        <v>184.33333333333334</v>
      </c>
    </row>
    <row r="203" spans="1:20" x14ac:dyDescent="0.25">
      <c r="A203" s="16" t="s">
        <v>17</v>
      </c>
      <c r="B203" s="16" t="s">
        <v>7</v>
      </c>
      <c r="C203" s="17">
        <v>97535</v>
      </c>
      <c r="D203" s="17">
        <v>3756031</v>
      </c>
      <c r="E203" s="17">
        <v>215551</v>
      </c>
      <c r="F203" s="17">
        <f>AVERAGE(Table143690117171198152154157[[#This Row],[Teste 1]:[Teste 3]])</f>
        <v>1356372.3333333333</v>
      </c>
      <c r="G203" s="16"/>
      <c r="H203" s="16" t="s">
        <v>17</v>
      </c>
      <c r="I203" s="16" t="s">
        <v>7</v>
      </c>
      <c r="J203" s="17">
        <v>83672</v>
      </c>
      <c r="K203" s="17">
        <v>193051</v>
      </c>
      <c r="L203" s="17">
        <v>148278</v>
      </c>
      <c r="M203" s="17">
        <f>AVERAGE(Table143690117171198152154157169[[#This Row],[Teste 1]:[Teste 3]])</f>
        <v>141667</v>
      </c>
      <c r="N203" s="16"/>
      <c r="O203" s="16" t="s">
        <v>17</v>
      </c>
      <c r="P203" s="16" t="s">
        <v>7</v>
      </c>
      <c r="Q203" s="17">
        <v>62911</v>
      </c>
      <c r="R203" s="17">
        <v>145151</v>
      </c>
      <c r="S203" s="17">
        <v>111487</v>
      </c>
      <c r="T203" s="17">
        <f>AVERAGE(Table143690117171198152154157181[[#This Row],[Teste 1]:[Teste 3]])</f>
        <v>106516.33333333333</v>
      </c>
    </row>
    <row r="204" spans="1:20" x14ac:dyDescent="0.25">
      <c r="A204" s="16" t="s">
        <v>17</v>
      </c>
      <c r="B204" s="16" t="s">
        <v>8</v>
      </c>
      <c r="C204" s="17">
        <v>1671</v>
      </c>
      <c r="D204" s="17">
        <v>602</v>
      </c>
      <c r="E204" s="17">
        <v>1744</v>
      </c>
      <c r="F204" s="17">
        <f>AVERAGE(Table143690117171198152154157[[#This Row],[Teste 1]:[Teste 3]])</f>
        <v>1339</v>
      </c>
      <c r="G204" s="16"/>
      <c r="H204" s="16" t="s">
        <v>17</v>
      </c>
      <c r="I204" s="16" t="s">
        <v>8</v>
      </c>
      <c r="J204" s="17">
        <v>1107</v>
      </c>
      <c r="K204" s="17">
        <v>1066</v>
      </c>
      <c r="L204" s="17">
        <v>846</v>
      </c>
      <c r="M204" s="17">
        <f>AVERAGE(Table143690117171198152154157169[[#This Row],[Teste 1]:[Teste 3]])</f>
        <v>1006.3333333333334</v>
      </c>
      <c r="N204" s="16"/>
      <c r="O204" s="16" t="s">
        <v>17</v>
      </c>
      <c r="P204" s="16" t="s">
        <v>8</v>
      </c>
      <c r="Q204" s="17">
        <v>832</v>
      </c>
      <c r="R204" s="17">
        <v>801</v>
      </c>
      <c r="S204" s="17">
        <v>636</v>
      </c>
      <c r="T204" s="17">
        <f>AVERAGE(Table143690117171198152154157181[[#This Row],[Teste 1]:[Teste 3]])</f>
        <v>756.33333333333337</v>
      </c>
    </row>
    <row r="205" spans="1:20" x14ac:dyDescent="0.25">
      <c r="A205" s="16" t="s">
        <v>17</v>
      </c>
      <c r="B205" s="16" t="s">
        <v>9</v>
      </c>
      <c r="C205" s="17">
        <v>4147</v>
      </c>
      <c r="D205" s="17">
        <v>1377</v>
      </c>
      <c r="E205" s="17">
        <v>6615</v>
      </c>
      <c r="F205" s="17">
        <f>AVERAGE(Table143690117171198152154157[[#This Row],[Teste 1]:[Teste 3]])</f>
        <v>4046.3333333333335</v>
      </c>
      <c r="G205" s="16"/>
      <c r="H205" s="16" t="s">
        <v>17</v>
      </c>
      <c r="I205" s="16" t="s">
        <v>9</v>
      </c>
      <c r="J205" s="17">
        <v>3265</v>
      </c>
      <c r="K205" s="17">
        <v>3930</v>
      </c>
      <c r="L205" s="17">
        <v>1592</v>
      </c>
      <c r="M205" s="17">
        <f>AVERAGE(Table143690117171198152154157169[[#This Row],[Teste 1]:[Teste 3]])</f>
        <v>2929</v>
      </c>
      <c r="N205" s="16"/>
      <c r="O205" s="16" t="s">
        <v>17</v>
      </c>
      <c r="P205" s="16" t="s">
        <v>9</v>
      </c>
      <c r="Q205" s="17">
        <v>2455</v>
      </c>
      <c r="R205" s="17">
        <v>2955</v>
      </c>
      <c r="S205" s="17">
        <v>1197</v>
      </c>
      <c r="T205" s="17">
        <f>AVERAGE(Table143690117171198152154157181[[#This Row],[Teste 1]:[Teste 3]])</f>
        <v>2202.3333333333335</v>
      </c>
    </row>
    <row r="206" spans="1:20" x14ac:dyDescent="0.25">
      <c r="A206" s="16" t="s">
        <v>17</v>
      </c>
      <c r="B206" s="16" t="s">
        <v>11</v>
      </c>
      <c r="C206" s="17">
        <v>500303</v>
      </c>
      <c r="D206" s="17">
        <v>500175</v>
      </c>
      <c r="E206" s="17">
        <v>500001</v>
      </c>
      <c r="F206" s="17">
        <f>AVERAGE(Table143690117171198152154157[[#This Row],[Teste 1]:[Teste 3]])</f>
        <v>500159.66666666669</v>
      </c>
      <c r="G206" s="16"/>
      <c r="H206" s="16" t="s">
        <v>17</v>
      </c>
      <c r="I206" s="16" t="s">
        <v>11</v>
      </c>
      <c r="J206" s="17">
        <v>499182</v>
      </c>
      <c r="K206" s="17">
        <v>500185</v>
      </c>
      <c r="L206" s="17">
        <v>499400</v>
      </c>
      <c r="M206" s="17">
        <f>AVERAGE(Table143690117171198152154157169[[#This Row],[Teste 1]:[Teste 3]])</f>
        <v>499589</v>
      </c>
      <c r="N206" s="16"/>
      <c r="O206" s="16" t="s">
        <v>17</v>
      </c>
      <c r="P206" s="16" t="s">
        <v>11</v>
      </c>
      <c r="Q206" s="17">
        <v>500619</v>
      </c>
      <c r="R206" s="17">
        <v>500320</v>
      </c>
      <c r="S206" s="17">
        <v>500021</v>
      </c>
      <c r="T206" s="17">
        <f>AVERAGE(Table143690117171198152154157181[[#This Row],[Teste 1]:[Teste 3]])</f>
        <v>500320</v>
      </c>
    </row>
    <row r="207" spans="1:20" x14ac:dyDescent="0.25">
      <c r="A207" s="16"/>
      <c r="B207" s="16"/>
      <c r="C207" s="17"/>
      <c r="D207" s="17"/>
      <c r="E207" s="17"/>
      <c r="F207" s="17"/>
      <c r="G207" s="16"/>
      <c r="H207" s="16"/>
      <c r="I207" s="16"/>
      <c r="J207" s="17"/>
      <c r="K207" s="17"/>
      <c r="L207" s="17"/>
      <c r="M207" s="17"/>
      <c r="N207" s="16"/>
      <c r="O207" s="16"/>
      <c r="P207" s="16"/>
      <c r="Q207" s="17"/>
      <c r="R207" s="17"/>
      <c r="S207" s="17"/>
      <c r="T207" s="17"/>
    </row>
    <row r="208" spans="1:20" x14ac:dyDescent="0.25">
      <c r="A208" s="16"/>
      <c r="B208" s="16"/>
      <c r="C208" s="17"/>
      <c r="D208" s="17"/>
      <c r="E208" s="17"/>
      <c r="F208" s="17"/>
      <c r="G208" s="16"/>
      <c r="H208" s="16"/>
      <c r="I208" s="16"/>
      <c r="J208" s="17"/>
      <c r="K208" s="17"/>
      <c r="L208" s="17"/>
      <c r="M208" s="17"/>
      <c r="N208" s="16"/>
      <c r="O208" s="16"/>
      <c r="P208" s="16"/>
      <c r="Q208" s="17"/>
      <c r="R208" s="17"/>
      <c r="S208" s="17"/>
      <c r="T208" s="17"/>
    </row>
    <row r="209" spans="1:20" x14ac:dyDescent="0.25">
      <c r="A209" s="16"/>
      <c r="B209" s="16"/>
      <c r="C209" s="17"/>
      <c r="D209" s="17"/>
      <c r="E209" s="17"/>
      <c r="F209" s="17"/>
      <c r="G209" s="16"/>
      <c r="H209" s="16"/>
      <c r="I209" s="16"/>
      <c r="J209" s="17"/>
      <c r="K209" s="17"/>
      <c r="L209" s="17"/>
      <c r="M209" s="17"/>
      <c r="N209" s="16"/>
      <c r="O209" s="16"/>
      <c r="P209" s="16"/>
      <c r="Q209" s="17"/>
      <c r="R209" s="17"/>
      <c r="S209" s="17"/>
      <c r="T209" s="17"/>
    </row>
    <row r="212" spans="1:20" ht="15.75" x14ac:dyDescent="0.25">
      <c r="A212" s="2" t="s">
        <v>81</v>
      </c>
      <c r="H212" s="2" t="s">
        <v>81</v>
      </c>
      <c r="O212" s="2" t="s">
        <v>81</v>
      </c>
    </row>
    <row r="213" spans="1:20" ht="15.75" x14ac:dyDescent="0.25">
      <c r="A213" s="2" t="s">
        <v>65</v>
      </c>
      <c r="H213" s="2" t="s">
        <v>65</v>
      </c>
      <c r="O213" s="2" t="s">
        <v>65</v>
      </c>
    </row>
    <row r="214" spans="1:20" ht="15.75" x14ac:dyDescent="0.25">
      <c r="A214" s="16" t="s">
        <v>59</v>
      </c>
      <c r="B214" s="21" t="s">
        <v>81</v>
      </c>
      <c r="C214" s="16" t="s">
        <v>82</v>
      </c>
      <c r="D214" s="16" t="s">
        <v>64</v>
      </c>
      <c r="E214" s="16" t="s">
        <v>63</v>
      </c>
      <c r="F214" s="16" t="s">
        <v>18</v>
      </c>
      <c r="G214" s="16"/>
      <c r="H214" s="16" t="s">
        <v>12</v>
      </c>
      <c r="I214" s="21" t="s">
        <v>81</v>
      </c>
      <c r="J214" s="16" t="s">
        <v>82</v>
      </c>
      <c r="K214" s="16" t="s">
        <v>64</v>
      </c>
      <c r="L214" s="16" t="s">
        <v>63</v>
      </c>
      <c r="M214" s="16" t="s">
        <v>18</v>
      </c>
      <c r="N214" s="16"/>
      <c r="O214" s="16" t="s">
        <v>13</v>
      </c>
      <c r="P214" s="21" t="s">
        <v>81</v>
      </c>
      <c r="Q214" s="16" t="s">
        <v>82</v>
      </c>
      <c r="R214" s="16" t="s">
        <v>64</v>
      </c>
      <c r="S214" s="16" t="s">
        <v>63</v>
      </c>
      <c r="T214" s="16" t="s">
        <v>18</v>
      </c>
    </row>
    <row r="215" spans="1:20" x14ac:dyDescent="0.25">
      <c r="A215" s="16" t="s">
        <v>0</v>
      </c>
      <c r="B215" s="16" t="s">
        <v>1</v>
      </c>
      <c r="C215" s="17">
        <v>78786460</v>
      </c>
      <c r="D215" s="17">
        <v>78558119</v>
      </c>
      <c r="E215" s="17">
        <v>78304903</v>
      </c>
      <c r="F215" s="17">
        <f>AVERAGE(Table143690117171198152158[[#This Row],[Teste 1]:[Teste 3]])</f>
        <v>78549827.333333328</v>
      </c>
      <c r="G215" s="16"/>
      <c r="H215" s="16" t="s">
        <v>0</v>
      </c>
      <c r="I215" s="16" t="s">
        <v>1</v>
      </c>
      <c r="J215" s="17">
        <v>16930581</v>
      </c>
      <c r="K215" s="17">
        <v>16727872</v>
      </c>
      <c r="L215" s="17">
        <v>16570775</v>
      </c>
      <c r="M215" s="17">
        <f>AVERAGE(Table143690117171198152158170[[#This Row],[Teste 1]:[Teste 3]])</f>
        <v>16743076</v>
      </c>
      <c r="N215" s="16"/>
      <c r="O215" s="16" t="s">
        <v>0</v>
      </c>
      <c r="P215" s="16" t="s">
        <v>1</v>
      </c>
      <c r="Q215" s="17">
        <v>7585991</v>
      </c>
      <c r="R215" s="17">
        <v>7965415</v>
      </c>
      <c r="S215" s="17">
        <v>7890845</v>
      </c>
      <c r="T215" s="17">
        <f>AVERAGE(Table143690117171198152158182[[#This Row],[Teste 1]:[Teste 3]])</f>
        <v>7814083.666666667</v>
      </c>
    </row>
    <row r="216" spans="1:20" x14ac:dyDescent="0.25">
      <c r="A216" s="16" t="s">
        <v>0</v>
      </c>
      <c r="B216" s="16" t="s">
        <v>2</v>
      </c>
      <c r="C216" s="17">
        <v>121.5</v>
      </c>
      <c r="D216" s="17">
        <v>127.294290231159</v>
      </c>
      <c r="E216" s="17">
        <v>133.6</v>
      </c>
      <c r="F216" s="17">
        <f>AVERAGE(Table143690117171198152158[[#This Row],[Teste 1]:[Teste 3]])</f>
        <v>127.46476341038631</v>
      </c>
      <c r="G216" s="16"/>
      <c r="H216" s="16" t="s">
        <v>0</v>
      </c>
      <c r="I216" s="16" t="s">
        <v>2</v>
      </c>
      <c r="J216" s="17">
        <v>597.822</v>
      </c>
      <c r="K216" s="17">
        <v>603.47</v>
      </c>
      <c r="L216" s="17">
        <v>627.72</v>
      </c>
      <c r="M216" s="17">
        <f>AVERAGE(Table143690117171198152158170[[#This Row],[Teste 1]:[Teste 3]])</f>
        <v>609.67066666666665</v>
      </c>
      <c r="N216" s="16"/>
      <c r="O216" s="16" t="s">
        <v>0</v>
      </c>
      <c r="P216" s="16" t="s">
        <v>2</v>
      </c>
      <c r="Q216" s="17">
        <v>1318.21933350566</v>
      </c>
      <c r="R216" s="17">
        <v>1255.4273694465301</v>
      </c>
      <c r="S216" s="17">
        <v>1267.2913990833599</v>
      </c>
      <c r="T216" s="17">
        <f>AVERAGE(Table143690117171198152158182[[#This Row],[Teste 1]:[Teste 3]])</f>
        <v>1280.3127006785166</v>
      </c>
    </row>
    <row r="217" spans="1:20" x14ac:dyDescent="0.25">
      <c r="A217" s="16" t="s">
        <v>16</v>
      </c>
      <c r="B217" s="16" t="s">
        <v>4</v>
      </c>
      <c r="C217" s="17">
        <v>10000000</v>
      </c>
      <c r="D217" s="17">
        <v>10000000</v>
      </c>
      <c r="E217" s="17">
        <v>10000000</v>
      </c>
      <c r="F217" s="17">
        <f>AVERAGE(Table143690117171198152158[[#This Row],[Teste 1]:[Teste 3]])</f>
        <v>10000000</v>
      </c>
      <c r="G217" s="16"/>
      <c r="H217" s="16" t="s">
        <v>16</v>
      </c>
      <c r="I217" s="16" t="s">
        <v>4</v>
      </c>
      <c r="J217" s="17">
        <v>10000000</v>
      </c>
      <c r="K217" s="17">
        <v>10000000</v>
      </c>
      <c r="L217" s="17">
        <v>10000000</v>
      </c>
      <c r="M217" s="17">
        <f>AVERAGE(Table143690117171198152158170[[#This Row],[Teste 1]:[Teste 3]])</f>
        <v>10000000</v>
      </c>
      <c r="N217" s="16"/>
      <c r="O217" s="16" t="s">
        <v>16</v>
      </c>
      <c r="P217" s="16" t="s">
        <v>4</v>
      </c>
      <c r="Q217" s="17">
        <v>10000000</v>
      </c>
      <c r="R217" s="17">
        <v>10000000</v>
      </c>
      <c r="S217" s="17">
        <v>10000000</v>
      </c>
      <c r="T217" s="17">
        <f>AVERAGE(Table143690117171198152158182[[#This Row],[Teste 1]:[Teste 3]])</f>
        <v>10000000</v>
      </c>
    </row>
    <row r="218" spans="1:20" x14ac:dyDescent="0.25">
      <c r="A218" s="16" t="s">
        <v>16</v>
      </c>
      <c r="B218" s="16" t="s">
        <v>5</v>
      </c>
      <c r="C218" s="17">
        <v>6099.2730003273</v>
      </c>
      <c r="D218" s="17">
        <v>7681.4154735000002</v>
      </c>
      <c r="E218" s="17">
        <v>24362.161222896699</v>
      </c>
      <c r="F218" s="17">
        <f>AVERAGE(Table143690117171198152158[[#This Row],[Teste 1]:[Teste 3]])</f>
        <v>12714.283232241332</v>
      </c>
      <c r="G218" s="16"/>
      <c r="H218" s="16" t="s">
        <v>16</v>
      </c>
      <c r="I218" s="16" t="s">
        <v>5</v>
      </c>
      <c r="J218" s="17">
        <v>1274.25</v>
      </c>
      <c r="K218" s="17">
        <v>1314.86</v>
      </c>
      <c r="L218" s="17">
        <v>1308.96</v>
      </c>
      <c r="M218" s="17">
        <f>AVERAGE(Table143690117171198152158170[[#This Row],[Teste 1]:[Teste 3]])</f>
        <v>1299.3566666666666</v>
      </c>
      <c r="N218" s="16"/>
      <c r="O218" s="16" t="s">
        <v>16</v>
      </c>
      <c r="P218" s="16" t="s">
        <v>5</v>
      </c>
      <c r="Q218" s="17">
        <v>606.78428819999999</v>
      </c>
      <c r="R218" s="17">
        <v>626.12504750000005</v>
      </c>
      <c r="S218" s="17">
        <v>623.31320559999995</v>
      </c>
      <c r="T218" s="17">
        <f>AVERAGE(Table143690117171198152158182[[#This Row],[Teste 1]:[Teste 3]])</f>
        <v>618.7408471</v>
      </c>
    </row>
    <row r="219" spans="1:20" x14ac:dyDescent="0.25">
      <c r="A219" s="16" t="s">
        <v>16</v>
      </c>
      <c r="B219" s="16" t="s">
        <v>6</v>
      </c>
      <c r="C219" s="17">
        <v>71</v>
      </c>
      <c r="D219" s="17">
        <v>73</v>
      </c>
      <c r="E219" s="17">
        <v>78</v>
      </c>
      <c r="F219" s="17">
        <f>AVERAGE(Table143690117171198152158[[#This Row],[Teste 1]:[Teste 3]])</f>
        <v>74</v>
      </c>
      <c r="G219" s="16"/>
      <c r="H219" s="16" t="s">
        <v>16</v>
      </c>
      <c r="I219" s="16" t="s">
        <v>6</v>
      </c>
      <c r="J219" s="17">
        <v>206</v>
      </c>
      <c r="K219" s="17">
        <v>210</v>
      </c>
      <c r="L219" s="17">
        <v>198</v>
      </c>
      <c r="M219" s="17">
        <f>AVERAGE(Table143690117171198152158170[[#This Row],[Teste 1]:[Teste 3]])</f>
        <v>204.66666666666666</v>
      </c>
      <c r="N219" s="16"/>
      <c r="O219" s="16" t="s">
        <v>16</v>
      </c>
      <c r="P219" s="16" t="s">
        <v>6</v>
      </c>
      <c r="Q219" s="17">
        <v>98</v>
      </c>
      <c r="R219" s="17">
        <v>100</v>
      </c>
      <c r="S219" s="17">
        <v>94</v>
      </c>
      <c r="T219" s="17">
        <f>AVERAGE(Table143690117171198152158182[[#This Row],[Teste 1]:[Teste 3]])</f>
        <v>97.333333333333329</v>
      </c>
    </row>
    <row r="220" spans="1:20" x14ac:dyDescent="0.25">
      <c r="A220" s="16" t="s">
        <v>16</v>
      </c>
      <c r="B220" s="16" t="s">
        <v>7</v>
      </c>
      <c r="C220" s="17">
        <v>6019391</v>
      </c>
      <c r="D220" s="17">
        <v>6864895</v>
      </c>
      <c r="E220" s="17">
        <v>9142271</v>
      </c>
      <c r="F220" s="17">
        <f>AVERAGE(Table143690117171198152158[[#This Row],[Teste 1]:[Teste 3]])</f>
        <v>7342185.666666667</v>
      </c>
      <c r="G220" s="16"/>
      <c r="H220" s="16" t="s">
        <v>16</v>
      </c>
      <c r="I220" s="16" t="s">
        <v>7</v>
      </c>
      <c r="J220" s="17">
        <v>6330775</v>
      </c>
      <c r="K220" s="17">
        <v>6459799</v>
      </c>
      <c r="L220" s="17">
        <v>5745867</v>
      </c>
      <c r="M220" s="17">
        <f>AVERAGE(Table143690117171198152158170[[#This Row],[Teste 1]:[Teste 3]])</f>
        <v>6178813.666666667</v>
      </c>
      <c r="N220" s="16"/>
      <c r="O220" s="16" t="s">
        <v>16</v>
      </c>
      <c r="P220" s="16" t="s">
        <v>7</v>
      </c>
      <c r="Q220" s="17">
        <v>3014655</v>
      </c>
      <c r="R220" s="17">
        <v>3076095</v>
      </c>
      <c r="S220" s="17">
        <v>2736127</v>
      </c>
      <c r="T220" s="17">
        <f>AVERAGE(Table143690117171198152158182[[#This Row],[Teste 1]:[Teste 3]])</f>
        <v>2942292.3333333335</v>
      </c>
    </row>
    <row r="221" spans="1:20" x14ac:dyDescent="0.25">
      <c r="A221" s="16" t="s">
        <v>16</v>
      </c>
      <c r="B221" s="16" t="s">
        <v>8</v>
      </c>
      <c r="C221" s="17">
        <v>40135</v>
      </c>
      <c r="D221" s="17">
        <v>44159</v>
      </c>
      <c r="E221" s="17">
        <v>61055</v>
      </c>
      <c r="F221" s="17">
        <f>AVERAGE(Table143690117171198152158[[#This Row],[Teste 1]:[Teste 3]])</f>
        <v>48449.666666666664</v>
      </c>
      <c r="G221" s="16"/>
      <c r="H221" s="16" t="s">
        <v>16</v>
      </c>
      <c r="I221" s="16" t="s">
        <v>8</v>
      </c>
      <c r="J221" s="17">
        <v>2112</v>
      </c>
      <c r="K221" s="17">
        <v>2213</v>
      </c>
      <c r="L221" s="17">
        <v>2196</v>
      </c>
      <c r="M221" s="17">
        <f>AVERAGE(Table143690117171198152158170[[#This Row],[Teste 1]:[Teste 3]])</f>
        <v>2173.6666666666665</v>
      </c>
      <c r="N221" s="16"/>
      <c r="O221" s="16" t="s">
        <v>16</v>
      </c>
      <c r="P221" s="16" t="s">
        <v>8</v>
      </c>
      <c r="Q221" s="17">
        <v>1006</v>
      </c>
      <c r="R221" s="17">
        <v>1054</v>
      </c>
      <c r="S221" s="17">
        <v>1046</v>
      </c>
      <c r="T221" s="17">
        <f>AVERAGE(Table143690117171198152158182[[#This Row],[Teste 1]:[Teste 3]])</f>
        <v>1035.3333333333333</v>
      </c>
    </row>
    <row r="222" spans="1:20" x14ac:dyDescent="0.25">
      <c r="A222" s="16" t="s">
        <v>16</v>
      </c>
      <c r="B222" s="16" t="s">
        <v>9</v>
      </c>
      <c r="C222" s="17">
        <v>5567</v>
      </c>
      <c r="D222" s="17">
        <v>59903</v>
      </c>
      <c r="E222" s="17">
        <v>117311</v>
      </c>
      <c r="F222" s="17">
        <f>AVERAGE(Table143690117171198152158[[#This Row],[Teste 1]:[Teste 3]])</f>
        <v>60927</v>
      </c>
      <c r="G222" s="16"/>
      <c r="H222" s="16" t="s">
        <v>16</v>
      </c>
      <c r="I222" s="16" t="s">
        <v>9</v>
      </c>
      <c r="J222" s="17">
        <v>9582</v>
      </c>
      <c r="K222" s="17">
        <v>9590</v>
      </c>
      <c r="L222" s="17">
        <v>9691</v>
      </c>
      <c r="M222" s="17">
        <f>AVERAGE(Table143690117171198152158170[[#This Row],[Teste 1]:[Teste 3]])</f>
        <v>9621</v>
      </c>
      <c r="N222" s="16"/>
      <c r="O222" s="16" t="s">
        <v>16</v>
      </c>
      <c r="P222" s="16" t="s">
        <v>9</v>
      </c>
      <c r="Q222" s="17">
        <v>4563</v>
      </c>
      <c r="R222" s="17">
        <v>4567</v>
      </c>
      <c r="S222" s="17">
        <v>4615</v>
      </c>
      <c r="T222" s="17">
        <f>AVERAGE(Table143690117171198152158182[[#This Row],[Teste 1]:[Teste 3]])</f>
        <v>4581.666666666667</v>
      </c>
    </row>
    <row r="223" spans="1:20" x14ac:dyDescent="0.25">
      <c r="A223" s="16" t="s">
        <v>16</v>
      </c>
      <c r="B223" s="16" t="s">
        <v>11</v>
      </c>
      <c r="C223" s="17">
        <v>10000000</v>
      </c>
      <c r="D223" s="17">
        <v>10000000</v>
      </c>
      <c r="E223" s="17">
        <v>10000000</v>
      </c>
      <c r="F223" s="17">
        <f>AVERAGE(Table143690117171198152158[[#This Row],[Teste 1]:[Teste 3]])</f>
        <v>10000000</v>
      </c>
      <c r="G223" s="16"/>
      <c r="H223" s="16" t="s">
        <v>16</v>
      </c>
      <c r="I223" s="16" t="s">
        <v>11</v>
      </c>
      <c r="J223" s="17">
        <v>10000000</v>
      </c>
      <c r="K223" s="17">
        <v>10000000</v>
      </c>
      <c r="L223" s="17">
        <v>10000000</v>
      </c>
      <c r="M223" s="17">
        <f>AVERAGE(Table143690117171198152158170[[#This Row],[Teste 1]:[Teste 3]])</f>
        <v>10000000</v>
      </c>
      <c r="N223" s="16"/>
      <c r="O223" s="16" t="s">
        <v>16</v>
      </c>
      <c r="P223" s="16" t="s">
        <v>11</v>
      </c>
      <c r="Q223" s="17">
        <v>10000000</v>
      </c>
      <c r="R223" s="17">
        <v>10000000</v>
      </c>
      <c r="S223" s="17">
        <v>10000000</v>
      </c>
      <c r="T223" s="17">
        <f>AVERAGE(Table143690117171198152158182[[#This Row],[Teste 1]:[Teste 3]])</f>
        <v>10000000</v>
      </c>
    </row>
    <row r="224" spans="1:20" x14ac:dyDescent="0.25">
      <c r="A224" s="16" t="s">
        <v>72</v>
      </c>
      <c r="B224" s="16" t="s">
        <v>4</v>
      </c>
      <c r="C224" s="17">
        <v>4998255</v>
      </c>
      <c r="D224" s="17">
        <v>4998303</v>
      </c>
      <c r="E224" s="17">
        <v>4998449</v>
      </c>
      <c r="F224" s="17">
        <f>AVERAGE(Table143690117171198152158[[#This Row],[Teste 1]:[Teste 3]])</f>
        <v>4998335.666666667</v>
      </c>
      <c r="G224" s="16"/>
      <c r="H224" s="16" t="s">
        <v>72</v>
      </c>
      <c r="I224" s="16" t="s">
        <v>4</v>
      </c>
      <c r="J224" s="17">
        <v>4999947</v>
      </c>
      <c r="K224" s="17">
        <v>4999019</v>
      </c>
      <c r="L224" s="17">
        <v>4998743</v>
      </c>
      <c r="M224" s="17">
        <f>AVERAGE(Table143690117171198152158170[[#This Row],[Teste 1]:[Teste 3]])</f>
        <v>4999236.333333333</v>
      </c>
      <c r="N224" s="16"/>
      <c r="O224" s="16" t="s">
        <v>72</v>
      </c>
      <c r="P224" s="16" t="s">
        <v>4</v>
      </c>
      <c r="Q224" s="17">
        <v>5000660</v>
      </c>
      <c r="R224" s="17">
        <v>5000450</v>
      </c>
      <c r="S224" s="17">
        <v>4997018</v>
      </c>
      <c r="T224" s="17">
        <f>AVERAGE(Table143690117171198152158182[[#This Row],[Teste 1]:[Teste 3]])</f>
        <v>4999376</v>
      </c>
    </row>
    <row r="225" spans="1:20" x14ac:dyDescent="0.25">
      <c r="A225" s="16" t="s">
        <v>72</v>
      </c>
      <c r="B225" s="16" t="s">
        <v>5</v>
      </c>
      <c r="C225" s="17">
        <v>7365.2838414606003</v>
      </c>
      <c r="D225" s="17">
        <v>8023.74591816462</v>
      </c>
      <c r="E225" s="17">
        <v>24790.559438137701</v>
      </c>
      <c r="F225" s="17">
        <f>AVERAGE(Table143690117171198152158[[#This Row],[Teste 1]:[Teste 3]])</f>
        <v>13393.196399254308</v>
      </c>
      <c r="G225" s="16"/>
      <c r="H225" s="16" t="s">
        <v>72</v>
      </c>
      <c r="I225" s="16" t="s">
        <v>5</v>
      </c>
      <c r="J225" s="17">
        <v>1898.94</v>
      </c>
      <c r="K225" s="17">
        <v>2016.47</v>
      </c>
      <c r="L225" s="17">
        <v>1994.79</v>
      </c>
      <c r="M225" s="17">
        <f>AVERAGE(Table143690117171198152158170[[#This Row],[Teste 1]:[Teste 3]])</f>
        <v>1970.0666666666666</v>
      </c>
      <c r="N225" s="16"/>
      <c r="O225" s="16" t="s">
        <v>72</v>
      </c>
      <c r="P225" s="16" t="s">
        <v>5</v>
      </c>
      <c r="Q225" s="17">
        <v>904.25817472093604</v>
      </c>
      <c r="R225" s="17">
        <v>960.19859192672595</v>
      </c>
      <c r="S225" s="17">
        <v>949.90255068122599</v>
      </c>
      <c r="T225" s="17">
        <f>AVERAGE(Table143690117171198152158182[[#This Row],[Teste 1]:[Teste 3]])</f>
        <v>938.11977244296259</v>
      </c>
    </row>
    <row r="226" spans="1:20" x14ac:dyDescent="0.25">
      <c r="A226" s="16" t="s">
        <v>72</v>
      </c>
      <c r="B226" s="16" t="s">
        <v>6</v>
      </c>
      <c r="C226" s="17">
        <v>197</v>
      </c>
      <c r="D226" s="17">
        <v>195</v>
      </c>
      <c r="E226" s="17">
        <v>191</v>
      </c>
      <c r="F226" s="17">
        <f>AVERAGE(Table143690117171198152158[[#This Row],[Teste 1]:[Teste 3]])</f>
        <v>194.33333333333334</v>
      </c>
      <c r="G226" s="16"/>
      <c r="H226" s="16" t="s">
        <v>72</v>
      </c>
      <c r="I226" s="16" t="s">
        <v>6</v>
      </c>
      <c r="J226" s="17">
        <v>632</v>
      </c>
      <c r="K226" s="17">
        <v>655</v>
      </c>
      <c r="L226" s="17">
        <v>594</v>
      </c>
      <c r="M226" s="17">
        <f>AVERAGE(Table143690117171198152158170[[#This Row],[Teste 1]:[Teste 3]])</f>
        <v>627</v>
      </c>
      <c r="N226" s="16"/>
      <c r="O226" s="16" t="s">
        <v>72</v>
      </c>
      <c r="P226" s="16" t="s">
        <v>6</v>
      </c>
      <c r="Q226" s="17">
        <v>301</v>
      </c>
      <c r="R226" s="17">
        <v>312</v>
      </c>
      <c r="S226" s="17">
        <v>283</v>
      </c>
      <c r="T226" s="17">
        <f>AVERAGE(Table143690117171198152158182[[#This Row],[Teste 1]:[Teste 3]])</f>
        <v>298.66666666666669</v>
      </c>
    </row>
    <row r="227" spans="1:20" x14ac:dyDescent="0.25">
      <c r="A227" s="16" t="s">
        <v>72</v>
      </c>
      <c r="B227" s="16" t="s">
        <v>7</v>
      </c>
      <c r="C227" s="17">
        <v>6019391</v>
      </c>
      <c r="D227" s="17">
        <v>6864895</v>
      </c>
      <c r="E227" s="17">
        <v>12214271</v>
      </c>
      <c r="F227" s="17">
        <f>AVERAGE(Table143690117171198152158[[#This Row],[Teste 1]:[Teste 3]])</f>
        <v>8366185.666666667</v>
      </c>
      <c r="G227" s="16"/>
      <c r="H227" s="16" t="s">
        <v>72</v>
      </c>
      <c r="I227" s="16" t="s">
        <v>7</v>
      </c>
      <c r="J227" s="17">
        <v>6175947</v>
      </c>
      <c r="K227" s="17">
        <v>5302884</v>
      </c>
      <c r="L227" s="17">
        <v>5745867</v>
      </c>
      <c r="M227" s="17">
        <f>AVERAGE(Table143690117171198152158170[[#This Row],[Teste 1]:[Teste 3]])</f>
        <v>5741566</v>
      </c>
      <c r="N227" s="16"/>
      <c r="O227" s="16" t="s">
        <v>72</v>
      </c>
      <c r="P227" s="16" t="s">
        <v>7</v>
      </c>
      <c r="Q227" s="17">
        <v>2940927</v>
      </c>
      <c r="R227" s="17">
        <v>2525183</v>
      </c>
      <c r="S227" s="17">
        <v>2736127</v>
      </c>
      <c r="T227" s="17">
        <f>AVERAGE(Table143690117171198152158182[[#This Row],[Teste 1]:[Teste 3]])</f>
        <v>2734079</v>
      </c>
    </row>
    <row r="228" spans="1:20" x14ac:dyDescent="0.25">
      <c r="A228" s="16" t="s">
        <v>72</v>
      </c>
      <c r="B228" s="16" t="s">
        <v>8</v>
      </c>
      <c r="C228" s="17">
        <v>35551</v>
      </c>
      <c r="D228" s="17">
        <v>44543</v>
      </c>
      <c r="E228" s="17">
        <v>61567</v>
      </c>
      <c r="F228" s="17">
        <f>AVERAGE(Table143690117171198152158[[#This Row],[Teste 1]:[Teste 3]])</f>
        <v>47220.333333333336</v>
      </c>
      <c r="G228" s="16"/>
      <c r="H228" s="16" t="s">
        <v>72</v>
      </c>
      <c r="I228" s="16" t="s">
        <v>8</v>
      </c>
      <c r="J228" s="17">
        <v>2965</v>
      </c>
      <c r="K228" s="17">
        <v>3309</v>
      </c>
      <c r="L228" s="17">
        <v>3278</v>
      </c>
      <c r="M228" s="17">
        <f>AVERAGE(Table143690117171198152158170[[#This Row],[Teste 1]:[Teste 3]])</f>
        <v>3184</v>
      </c>
      <c r="N228" s="16"/>
      <c r="O228" s="16" t="s">
        <v>72</v>
      </c>
      <c r="P228" s="16" t="s">
        <v>8</v>
      </c>
      <c r="Q228" s="17">
        <v>1412</v>
      </c>
      <c r="R228" s="17">
        <v>1576</v>
      </c>
      <c r="S228" s="17">
        <v>1561</v>
      </c>
      <c r="T228" s="17">
        <f>AVERAGE(Table143690117171198152158182[[#This Row],[Teste 1]:[Teste 3]])</f>
        <v>1516.3333333333333</v>
      </c>
    </row>
    <row r="229" spans="1:20" x14ac:dyDescent="0.25">
      <c r="A229" s="16" t="s">
        <v>72</v>
      </c>
      <c r="B229" s="16" t="s">
        <v>9</v>
      </c>
      <c r="C229" s="17">
        <v>59983</v>
      </c>
      <c r="D229" s="17">
        <v>60319</v>
      </c>
      <c r="E229" s="17">
        <v>117823</v>
      </c>
      <c r="F229" s="17">
        <f>AVERAGE(Table143690117171198152158[[#This Row],[Teste 1]:[Teste 3]])</f>
        <v>79375</v>
      </c>
      <c r="G229" s="16"/>
      <c r="H229" s="16" t="s">
        <v>72</v>
      </c>
      <c r="I229" s="16" t="s">
        <v>9</v>
      </c>
      <c r="J229" s="17">
        <v>10749</v>
      </c>
      <c r="K229" s="17">
        <v>11043</v>
      </c>
      <c r="L229" s="17">
        <v>11111</v>
      </c>
      <c r="M229" s="17">
        <f>AVERAGE(Table143690117171198152158170[[#This Row],[Teste 1]:[Teste 3]])</f>
        <v>10967.666666666666</v>
      </c>
      <c r="N229" s="16"/>
      <c r="O229" s="16" t="s">
        <v>72</v>
      </c>
      <c r="P229" s="16" t="s">
        <v>9</v>
      </c>
      <c r="Q229" s="17">
        <v>5119</v>
      </c>
      <c r="R229" s="17">
        <v>5259</v>
      </c>
      <c r="S229" s="17">
        <v>5291</v>
      </c>
      <c r="T229" s="17">
        <f>AVERAGE(Table143690117171198152158182[[#This Row],[Teste 1]:[Teste 3]])</f>
        <v>5223</v>
      </c>
    </row>
    <row r="230" spans="1:20" x14ac:dyDescent="0.25">
      <c r="A230" s="16" t="s">
        <v>3</v>
      </c>
      <c r="B230" s="16" t="s">
        <v>4</v>
      </c>
      <c r="C230" s="17">
        <v>1</v>
      </c>
      <c r="D230" s="17">
        <v>1</v>
      </c>
      <c r="E230" s="17">
        <v>1</v>
      </c>
      <c r="F230" s="17">
        <f>AVERAGE(Table143690117171198152158[[#This Row],[Teste 1]:[Teste 3]])</f>
        <v>1</v>
      </c>
      <c r="G230" s="16"/>
      <c r="H230" s="16" t="s">
        <v>3</v>
      </c>
      <c r="I230" s="16" t="s">
        <v>4</v>
      </c>
      <c r="J230" s="17">
        <v>1</v>
      </c>
      <c r="K230" s="17">
        <v>1</v>
      </c>
      <c r="L230" s="17">
        <v>1</v>
      </c>
      <c r="M230" s="17">
        <f>AVERAGE(Table143690117171198152158170[[#This Row],[Teste 1]:[Teste 3]])</f>
        <v>1</v>
      </c>
      <c r="N230" s="16"/>
      <c r="O230" s="16" t="s">
        <v>3</v>
      </c>
      <c r="P230" s="16" t="s">
        <v>4</v>
      </c>
      <c r="Q230" s="17">
        <v>1</v>
      </c>
      <c r="R230" s="17">
        <v>1</v>
      </c>
      <c r="S230" s="17">
        <v>1</v>
      </c>
      <c r="T230" s="17">
        <f>AVERAGE(Table143690117171198152158182[[#This Row],[Teste 1]:[Teste 3]])</f>
        <v>1</v>
      </c>
    </row>
    <row r="231" spans="1:20" x14ac:dyDescent="0.25">
      <c r="A231" s="16" t="s">
        <v>3</v>
      </c>
      <c r="B231" s="16" t="s">
        <v>5</v>
      </c>
      <c r="C231" s="17">
        <v>2</v>
      </c>
      <c r="D231" s="17">
        <v>2</v>
      </c>
      <c r="E231" s="17">
        <v>2</v>
      </c>
      <c r="F231" s="17">
        <f>AVERAGE(Table143690117171198152158[[#This Row],[Teste 1]:[Teste 3]])</f>
        <v>2</v>
      </c>
      <c r="G231" s="16"/>
      <c r="H231" s="16" t="s">
        <v>3</v>
      </c>
      <c r="I231" s="16" t="s">
        <v>5</v>
      </c>
      <c r="J231" s="17">
        <v>9</v>
      </c>
      <c r="K231" s="17">
        <v>9</v>
      </c>
      <c r="L231" s="17">
        <v>8</v>
      </c>
      <c r="M231" s="17">
        <f>AVERAGE(Table143690117171198152158170[[#This Row],[Teste 1]:[Teste 3]])</f>
        <v>8.6666666666666661</v>
      </c>
      <c r="N231" s="16"/>
      <c r="O231" s="16" t="s">
        <v>3</v>
      </c>
      <c r="P231" s="16" t="s">
        <v>5</v>
      </c>
      <c r="Q231" s="17">
        <v>3813</v>
      </c>
      <c r="R231" s="17">
        <v>4095</v>
      </c>
      <c r="S231" s="17">
        <v>2987</v>
      </c>
      <c r="T231" s="17">
        <f>AVERAGE(Table143690117171198152158182[[#This Row],[Teste 1]:[Teste 3]])</f>
        <v>3631.6666666666665</v>
      </c>
    </row>
    <row r="232" spans="1:20" x14ac:dyDescent="0.25">
      <c r="A232" s="16" t="s">
        <v>3</v>
      </c>
      <c r="B232" s="16" t="s">
        <v>6</v>
      </c>
      <c r="C232" s="17">
        <v>2</v>
      </c>
      <c r="D232" s="17">
        <v>2</v>
      </c>
      <c r="E232" s="17">
        <v>2</v>
      </c>
      <c r="F232" s="17">
        <f>AVERAGE(Table143690117171198152158[[#This Row],[Teste 1]:[Teste 3]])</f>
        <v>2</v>
      </c>
      <c r="G232" s="16"/>
      <c r="H232" s="16" t="s">
        <v>3</v>
      </c>
      <c r="I232" s="16" t="s">
        <v>6</v>
      </c>
      <c r="J232" s="17">
        <v>9</v>
      </c>
      <c r="K232" s="17">
        <v>9</v>
      </c>
      <c r="L232" s="17">
        <v>8</v>
      </c>
      <c r="M232" s="17">
        <f>AVERAGE(Table143690117171198152158170[[#This Row],[Teste 1]:[Teste 3]])</f>
        <v>8.6666666666666661</v>
      </c>
      <c r="N232" s="16"/>
      <c r="O232" s="16" t="s">
        <v>3</v>
      </c>
      <c r="P232" s="16" t="s">
        <v>6</v>
      </c>
      <c r="Q232" s="17">
        <v>3813</v>
      </c>
      <c r="R232" s="17">
        <v>4095</v>
      </c>
      <c r="S232" s="17">
        <v>2987</v>
      </c>
      <c r="T232" s="17">
        <f>AVERAGE(Table143690117171198152158182[[#This Row],[Teste 1]:[Teste 3]])</f>
        <v>3631.6666666666665</v>
      </c>
    </row>
    <row r="233" spans="1:20" x14ac:dyDescent="0.25">
      <c r="A233" s="16" t="s">
        <v>3</v>
      </c>
      <c r="B233" s="16" t="s">
        <v>7</v>
      </c>
      <c r="C233" s="17">
        <v>2</v>
      </c>
      <c r="D233" s="17">
        <v>2</v>
      </c>
      <c r="E233" s="17">
        <v>2</v>
      </c>
      <c r="F233" s="17">
        <f>AVERAGE(Table143690117171198152158[[#This Row],[Teste 1]:[Teste 3]])</f>
        <v>2</v>
      </c>
      <c r="G233" s="16"/>
      <c r="H233" s="16" t="s">
        <v>3</v>
      </c>
      <c r="I233" s="16" t="s">
        <v>7</v>
      </c>
      <c r="J233" s="17">
        <v>9</v>
      </c>
      <c r="K233" s="17">
        <v>9</v>
      </c>
      <c r="L233" s="17">
        <v>8</v>
      </c>
      <c r="M233" s="17">
        <f>AVERAGE(Table143690117171198152158170[[#This Row],[Teste 1]:[Teste 3]])</f>
        <v>8.6666666666666661</v>
      </c>
      <c r="N233" s="16"/>
      <c r="O233" s="16" t="s">
        <v>3</v>
      </c>
      <c r="P233" s="16" t="s">
        <v>7</v>
      </c>
      <c r="Q233" s="17">
        <v>3813</v>
      </c>
      <c r="R233" s="17">
        <v>4095</v>
      </c>
      <c r="S233" s="17">
        <v>2987</v>
      </c>
      <c r="T233" s="17">
        <f>AVERAGE(Table143690117171198152158182[[#This Row],[Teste 1]:[Teste 3]])</f>
        <v>3631.6666666666665</v>
      </c>
    </row>
    <row r="234" spans="1:20" x14ac:dyDescent="0.25">
      <c r="A234" s="16" t="s">
        <v>3</v>
      </c>
      <c r="B234" s="16" t="s">
        <v>8</v>
      </c>
      <c r="C234" s="17">
        <v>2</v>
      </c>
      <c r="D234" s="17">
        <v>2</v>
      </c>
      <c r="E234" s="17">
        <v>2</v>
      </c>
      <c r="F234" s="17">
        <f>AVERAGE(Table143690117171198152158[[#This Row],[Teste 1]:[Teste 3]])</f>
        <v>2</v>
      </c>
      <c r="G234" s="16"/>
      <c r="H234" s="16" t="s">
        <v>3</v>
      </c>
      <c r="I234" s="16" t="s">
        <v>8</v>
      </c>
      <c r="J234" s="17">
        <v>9</v>
      </c>
      <c r="K234" s="17">
        <v>9</v>
      </c>
      <c r="L234" s="17">
        <v>8</v>
      </c>
      <c r="M234" s="17">
        <f>AVERAGE(Table143690117171198152158170[[#This Row],[Teste 1]:[Teste 3]])</f>
        <v>8.6666666666666661</v>
      </c>
      <c r="N234" s="16"/>
      <c r="O234" s="16" t="s">
        <v>3</v>
      </c>
      <c r="P234" s="16" t="s">
        <v>8</v>
      </c>
      <c r="Q234" s="17">
        <v>3813</v>
      </c>
      <c r="R234" s="17">
        <v>4095</v>
      </c>
      <c r="S234" s="17">
        <v>2987</v>
      </c>
      <c r="T234" s="17">
        <f>AVERAGE(Table143690117171198152158182[[#This Row],[Teste 1]:[Teste 3]])</f>
        <v>3631.6666666666665</v>
      </c>
    </row>
    <row r="235" spans="1:20" x14ac:dyDescent="0.25">
      <c r="A235" s="16" t="s">
        <v>3</v>
      </c>
      <c r="B235" s="16" t="s">
        <v>9</v>
      </c>
      <c r="C235" s="17">
        <v>2</v>
      </c>
      <c r="D235" s="17">
        <v>2</v>
      </c>
      <c r="E235" s="17">
        <v>2</v>
      </c>
      <c r="F235" s="17">
        <f>AVERAGE(Table143690117171198152158[[#This Row],[Teste 1]:[Teste 3]])</f>
        <v>2</v>
      </c>
      <c r="G235" s="16"/>
      <c r="H235" s="16" t="s">
        <v>3</v>
      </c>
      <c r="I235" s="16" t="s">
        <v>9</v>
      </c>
      <c r="J235" s="17">
        <v>9</v>
      </c>
      <c r="K235" s="17">
        <v>9</v>
      </c>
      <c r="L235" s="17">
        <v>8</v>
      </c>
      <c r="M235" s="17">
        <f>AVERAGE(Table143690117171198152158170[[#This Row],[Teste 1]:[Teste 3]])</f>
        <v>8.6666666666666661</v>
      </c>
      <c r="N235" s="16"/>
      <c r="O235" s="16" t="s">
        <v>3</v>
      </c>
      <c r="P235" s="16" t="s">
        <v>9</v>
      </c>
      <c r="Q235" s="17">
        <v>3813</v>
      </c>
      <c r="R235" s="17">
        <v>4095</v>
      </c>
      <c r="S235" s="17">
        <v>2987</v>
      </c>
      <c r="T235" s="17">
        <f>AVERAGE(Table143690117171198152158182[[#This Row],[Teste 1]:[Teste 3]])</f>
        <v>3631.6666666666665</v>
      </c>
    </row>
    <row r="236" spans="1:20" x14ac:dyDescent="0.25">
      <c r="A236" s="16" t="s">
        <v>17</v>
      </c>
      <c r="B236" s="16" t="s">
        <v>4</v>
      </c>
      <c r="C236" s="17">
        <v>4998255</v>
      </c>
      <c r="D236" s="17">
        <v>4998303</v>
      </c>
      <c r="E236" s="17">
        <v>4998449</v>
      </c>
      <c r="F236" s="17">
        <f>AVERAGE(Table143690117171198152158[[#This Row],[Teste 1]:[Teste 3]])</f>
        <v>4998335.666666667</v>
      </c>
      <c r="G236" s="16"/>
      <c r="H236" s="16" t="s">
        <v>17</v>
      </c>
      <c r="I236" s="16" t="s">
        <v>4</v>
      </c>
      <c r="J236" s="17">
        <v>4999947</v>
      </c>
      <c r="K236" s="17">
        <v>4999019</v>
      </c>
      <c r="L236" s="17">
        <v>4998743</v>
      </c>
      <c r="M236" s="17">
        <f>AVERAGE(Table143690117171198152158170[[#This Row],[Teste 1]:[Teste 3]])</f>
        <v>4999236.333333333</v>
      </c>
      <c r="N236" s="16"/>
      <c r="O236" s="16" t="s">
        <v>17</v>
      </c>
      <c r="P236" s="16" t="s">
        <v>4</v>
      </c>
      <c r="Q236" s="17">
        <v>5000660</v>
      </c>
      <c r="R236" s="17">
        <v>5000450</v>
      </c>
      <c r="S236" s="17">
        <v>4997018</v>
      </c>
      <c r="T236" s="17">
        <f>AVERAGE(Table143690117171198152158182[[#This Row],[Teste 1]:[Teste 3]])</f>
        <v>4999376</v>
      </c>
    </row>
    <row r="237" spans="1:20" x14ac:dyDescent="0.25">
      <c r="A237" s="16" t="s">
        <v>17</v>
      </c>
      <c r="B237" s="16" t="s">
        <v>5</v>
      </c>
      <c r="C237" s="17">
        <v>305.87421690169799</v>
      </c>
      <c r="D237" s="17">
        <v>333.16947011815802</v>
      </c>
      <c r="E237" s="17">
        <v>510.438209532597</v>
      </c>
      <c r="F237" s="17">
        <f>AVERAGE(Table143690117171198152158[[#This Row],[Teste 1]:[Teste 3]])</f>
        <v>383.16063218415098</v>
      </c>
      <c r="G237" s="16"/>
      <c r="H237" s="16" t="s">
        <v>17</v>
      </c>
      <c r="I237" s="16" t="s">
        <v>5</v>
      </c>
      <c r="J237" s="17">
        <v>625.07000000000005</v>
      </c>
      <c r="K237" s="17">
        <v>694.75</v>
      </c>
      <c r="L237" s="17">
        <v>676.33</v>
      </c>
      <c r="M237" s="17">
        <f>AVERAGE(Table143690117171198152158170[[#This Row],[Teste 1]:[Teste 3]])</f>
        <v>665.38333333333333</v>
      </c>
      <c r="N237" s="16"/>
      <c r="O237" s="16" t="s">
        <v>17</v>
      </c>
      <c r="P237" s="16" t="s">
        <v>5</v>
      </c>
      <c r="Q237" s="17">
        <v>297.656457547603</v>
      </c>
      <c r="R237" s="17">
        <v>330.83403033726898</v>
      </c>
      <c r="S237" s="17">
        <v>322.06058693404702</v>
      </c>
      <c r="T237" s="17">
        <f>AVERAGE(Table143690117171198152158182[[#This Row],[Teste 1]:[Teste 3]])</f>
        <v>316.85035827297298</v>
      </c>
    </row>
    <row r="238" spans="1:20" x14ac:dyDescent="0.25">
      <c r="A238" s="16" t="s">
        <v>17</v>
      </c>
      <c r="B238" s="16" t="s">
        <v>6</v>
      </c>
      <c r="C238" s="17">
        <v>110</v>
      </c>
      <c r="D238" s="17">
        <v>108</v>
      </c>
      <c r="E238" s="17">
        <v>107</v>
      </c>
      <c r="F238" s="17">
        <f>AVERAGE(Table143690117171198152158[[#This Row],[Teste 1]:[Teste 3]])</f>
        <v>108.33333333333333</v>
      </c>
      <c r="G238" s="16"/>
      <c r="H238" s="16" t="s">
        <v>17</v>
      </c>
      <c r="I238" s="16" t="s">
        <v>6</v>
      </c>
      <c r="J238" s="17">
        <v>350</v>
      </c>
      <c r="K238" s="17">
        <v>357</v>
      </c>
      <c r="L238" s="17">
        <v>344</v>
      </c>
      <c r="M238" s="17">
        <f>AVERAGE(Table143690117171198152158170[[#This Row],[Teste 1]:[Teste 3]])</f>
        <v>350.33333333333331</v>
      </c>
      <c r="N238" s="16"/>
      <c r="O238" s="16" t="s">
        <v>17</v>
      </c>
      <c r="P238" s="16" t="s">
        <v>6</v>
      </c>
      <c r="Q238" s="17">
        <v>167</v>
      </c>
      <c r="R238" s="17">
        <v>170</v>
      </c>
      <c r="S238" s="17">
        <v>164</v>
      </c>
      <c r="T238" s="17">
        <f>AVERAGE(Table143690117171198152158182[[#This Row],[Teste 1]:[Teste 3]])</f>
        <v>167</v>
      </c>
    </row>
    <row r="239" spans="1:20" x14ac:dyDescent="0.25">
      <c r="A239" s="16" t="s">
        <v>17</v>
      </c>
      <c r="B239" s="16" t="s">
        <v>7</v>
      </c>
      <c r="C239" s="17">
        <v>51727</v>
      </c>
      <c r="D239" s="17">
        <v>59999</v>
      </c>
      <c r="E239" s="17">
        <v>2136063</v>
      </c>
      <c r="F239" s="17">
        <f>AVERAGE(Table143690117171198152158[[#This Row],[Teste 1]:[Teste 3]])</f>
        <v>749263</v>
      </c>
      <c r="G239" s="16"/>
      <c r="H239" s="16" t="s">
        <v>17</v>
      </c>
      <c r="I239" s="16" t="s">
        <v>7</v>
      </c>
      <c r="J239" s="17">
        <v>196625</v>
      </c>
      <c r="K239" s="17">
        <v>265303</v>
      </c>
      <c r="L239" s="17">
        <v>161277</v>
      </c>
      <c r="M239" s="17">
        <f>AVERAGE(Table143690117171198152158170[[#This Row],[Teste 1]:[Teste 3]])</f>
        <v>207735</v>
      </c>
      <c r="N239" s="16"/>
      <c r="O239" s="16" t="s">
        <v>17</v>
      </c>
      <c r="P239" s="16" t="s">
        <v>7</v>
      </c>
      <c r="Q239" s="17">
        <v>93631</v>
      </c>
      <c r="R239" s="17">
        <v>126335</v>
      </c>
      <c r="S239" s="17">
        <v>76799</v>
      </c>
      <c r="T239" s="17">
        <f>AVERAGE(Table143690117171198152158182[[#This Row],[Teste 1]:[Teste 3]])</f>
        <v>98921.666666666672</v>
      </c>
    </row>
    <row r="240" spans="1:20" x14ac:dyDescent="0.25">
      <c r="A240" s="16" t="s">
        <v>17</v>
      </c>
      <c r="B240" s="16" t="s">
        <v>8</v>
      </c>
      <c r="C240" s="17">
        <v>501</v>
      </c>
      <c r="D240" s="17">
        <v>520</v>
      </c>
      <c r="E240" s="17">
        <v>1050</v>
      </c>
      <c r="F240" s="17">
        <f>AVERAGE(Table143690117171198152158[[#This Row],[Teste 1]:[Teste 3]])</f>
        <v>690.33333333333337</v>
      </c>
      <c r="G240" s="16"/>
      <c r="H240" s="16" t="s">
        <v>17</v>
      </c>
      <c r="I240" s="16" t="s">
        <v>8</v>
      </c>
      <c r="J240" s="17">
        <v>951</v>
      </c>
      <c r="K240" s="17">
        <v>1077</v>
      </c>
      <c r="L240" s="17">
        <v>1056</v>
      </c>
      <c r="M240" s="17">
        <f>AVERAGE(Table143690117171198152158170[[#This Row],[Teste 1]:[Teste 3]])</f>
        <v>1028</v>
      </c>
      <c r="N240" s="16"/>
      <c r="O240" s="16" t="s">
        <v>17</v>
      </c>
      <c r="P240" s="16" t="s">
        <v>8</v>
      </c>
      <c r="Q240" s="17">
        <v>453</v>
      </c>
      <c r="R240" s="17">
        <v>513</v>
      </c>
      <c r="S240" s="17">
        <v>503</v>
      </c>
      <c r="T240" s="17">
        <f>AVERAGE(Table143690117171198152158182[[#This Row],[Teste 1]:[Teste 3]])</f>
        <v>489.66666666666669</v>
      </c>
    </row>
    <row r="241" spans="1:20" x14ac:dyDescent="0.25">
      <c r="A241" s="16" t="s">
        <v>17</v>
      </c>
      <c r="B241" s="16" t="s">
        <v>9</v>
      </c>
      <c r="C241" s="17">
        <v>889</v>
      </c>
      <c r="D241" s="17">
        <v>917</v>
      </c>
      <c r="E241" s="17">
        <v>2421</v>
      </c>
      <c r="F241" s="17">
        <f>AVERAGE(Table143690117171198152158[[#This Row],[Teste 1]:[Teste 3]])</f>
        <v>1409</v>
      </c>
      <c r="G241" s="16"/>
      <c r="H241" s="16" t="s">
        <v>17</v>
      </c>
      <c r="I241" s="16" t="s">
        <v>9</v>
      </c>
      <c r="J241" s="17">
        <v>1273</v>
      </c>
      <c r="K241" s="17">
        <v>1577</v>
      </c>
      <c r="L241" s="17">
        <v>1549</v>
      </c>
      <c r="M241" s="17">
        <f>AVERAGE(Table143690117171198152158170[[#This Row],[Teste 1]:[Teste 3]])</f>
        <v>1466.3333333333333</v>
      </c>
      <c r="N241" s="16"/>
      <c r="O241" s="16" t="s">
        <v>17</v>
      </c>
      <c r="P241" s="16" t="s">
        <v>9</v>
      </c>
      <c r="Q241" s="17">
        <v>606</v>
      </c>
      <c r="R241" s="17">
        <v>751</v>
      </c>
      <c r="S241" s="17">
        <v>738</v>
      </c>
      <c r="T241" s="17">
        <f>AVERAGE(Table143690117171198152158182[[#This Row],[Teste 1]:[Teste 3]])</f>
        <v>698.33333333333337</v>
      </c>
    </row>
    <row r="242" spans="1:20" x14ac:dyDescent="0.25">
      <c r="A242" s="16" t="s">
        <v>17</v>
      </c>
      <c r="B242" s="16" t="s">
        <v>11</v>
      </c>
      <c r="C242" s="17">
        <v>4998255</v>
      </c>
      <c r="D242" s="17">
        <v>4998303</v>
      </c>
      <c r="E242" s="17">
        <v>4998449</v>
      </c>
      <c r="F242" s="17">
        <f>AVERAGE(Table143690117171198152158[[#This Row],[Teste 1]:[Teste 3]])</f>
        <v>4998335.666666667</v>
      </c>
      <c r="G242" s="16"/>
      <c r="H242" s="16" t="s">
        <v>17</v>
      </c>
      <c r="I242" s="16" t="s">
        <v>11</v>
      </c>
      <c r="J242" s="17">
        <v>4999947</v>
      </c>
      <c r="K242" s="17">
        <v>4999019</v>
      </c>
      <c r="L242" s="17">
        <v>4998743</v>
      </c>
      <c r="M242" s="17">
        <f>AVERAGE(Table143690117171198152158170[[#This Row],[Teste 1]:[Teste 3]])</f>
        <v>4999236.333333333</v>
      </c>
      <c r="N242" s="16"/>
      <c r="O242" s="16" t="s">
        <v>17</v>
      </c>
      <c r="P242" s="16" t="s">
        <v>11</v>
      </c>
      <c r="Q242" s="17">
        <v>5000660</v>
      </c>
      <c r="R242" s="17">
        <v>5000450</v>
      </c>
      <c r="S242" s="17">
        <v>4997018</v>
      </c>
      <c r="T242" s="17">
        <f>AVERAGE(Table143690117171198152158182[[#This Row],[Teste 1]:[Teste 3]])</f>
        <v>4999376</v>
      </c>
    </row>
    <row r="243" spans="1:20" x14ac:dyDescent="0.25">
      <c r="A243" s="16"/>
      <c r="B243" s="16"/>
      <c r="C243" s="17"/>
      <c r="D243" s="17"/>
      <c r="E243" s="17"/>
      <c r="F243" s="17"/>
      <c r="G243" s="16"/>
      <c r="H243" s="16"/>
      <c r="I243" s="16"/>
      <c r="J243" s="17"/>
      <c r="K243" s="17"/>
      <c r="L243" s="17"/>
      <c r="M243" s="17"/>
      <c r="N243" s="16"/>
      <c r="O243" s="16"/>
      <c r="P243" s="16"/>
      <c r="Q243" s="17"/>
      <c r="R243" s="17"/>
      <c r="S243" s="17"/>
      <c r="T243" s="17"/>
    </row>
    <row r="244" spans="1:20" x14ac:dyDescent="0.25">
      <c r="A244" s="16"/>
      <c r="B244" s="16"/>
      <c r="C244" s="17"/>
      <c r="D244" s="17"/>
      <c r="E244" s="17"/>
      <c r="F244" s="17"/>
      <c r="G244" s="16"/>
      <c r="H244" s="16"/>
      <c r="I244" s="16"/>
      <c r="J244" s="17"/>
      <c r="K244" s="17"/>
      <c r="L244" s="17"/>
      <c r="M244" s="17"/>
      <c r="N244" s="16"/>
      <c r="O244" s="16"/>
      <c r="P244" s="16"/>
      <c r="Q244" s="17"/>
      <c r="R244" s="17"/>
      <c r="S244" s="17"/>
      <c r="T244" s="17"/>
    </row>
    <row r="245" spans="1:20" x14ac:dyDescent="0.25">
      <c r="A245" s="16"/>
      <c r="B245" s="16"/>
      <c r="C245" s="17"/>
      <c r="D245" s="17"/>
      <c r="E245" s="17"/>
      <c r="F245" s="17"/>
      <c r="G245" s="16"/>
      <c r="H245" s="16"/>
      <c r="I245" s="16"/>
      <c r="J245" s="17"/>
      <c r="K245" s="17"/>
      <c r="L245" s="17"/>
      <c r="M245" s="17"/>
      <c r="N245" s="16"/>
      <c r="O245" s="16"/>
      <c r="P245" s="16"/>
      <c r="Q245" s="17"/>
      <c r="R245" s="17"/>
      <c r="S245" s="17"/>
      <c r="T245" s="17"/>
    </row>
    <row r="247" spans="1:20" ht="15.75" x14ac:dyDescent="0.25">
      <c r="A247" s="2" t="s">
        <v>74</v>
      </c>
      <c r="H247" s="2" t="s">
        <v>74</v>
      </c>
      <c r="O247" s="2" t="s">
        <v>74</v>
      </c>
    </row>
    <row r="248" spans="1:20" ht="15.75" x14ac:dyDescent="0.25">
      <c r="A248" s="16" t="s">
        <v>59</v>
      </c>
      <c r="B248" s="21" t="s">
        <v>81</v>
      </c>
      <c r="C248" s="16" t="s">
        <v>82</v>
      </c>
      <c r="D248" s="16" t="s">
        <v>64</v>
      </c>
      <c r="E248" s="16" t="s">
        <v>63</v>
      </c>
      <c r="F248" s="16" t="s">
        <v>18</v>
      </c>
      <c r="G248" s="16"/>
      <c r="H248" s="16" t="s">
        <v>12</v>
      </c>
      <c r="I248" s="21" t="s">
        <v>81</v>
      </c>
      <c r="J248" s="16" t="s">
        <v>82</v>
      </c>
      <c r="K248" s="16" t="s">
        <v>64</v>
      </c>
      <c r="L248" s="16" t="s">
        <v>63</v>
      </c>
      <c r="M248" s="16" t="s">
        <v>18</v>
      </c>
      <c r="N248" s="16"/>
      <c r="O248" s="16" t="s">
        <v>13</v>
      </c>
      <c r="P248" s="21" t="s">
        <v>81</v>
      </c>
      <c r="Q248" s="16" t="s">
        <v>82</v>
      </c>
      <c r="R248" s="16" t="s">
        <v>64</v>
      </c>
      <c r="S248" s="16" t="s">
        <v>63</v>
      </c>
      <c r="T248" s="16" t="s">
        <v>18</v>
      </c>
    </row>
    <row r="249" spans="1:20" x14ac:dyDescent="0.25">
      <c r="A249" s="16" t="s">
        <v>0</v>
      </c>
      <c r="B249" s="16" t="s">
        <v>1</v>
      </c>
      <c r="C249" s="17">
        <v>47492214</v>
      </c>
      <c r="D249" s="17">
        <v>47115124</v>
      </c>
      <c r="E249" s="17">
        <v>47642124</v>
      </c>
      <c r="F249" s="17">
        <f>AVERAGE(Table143690117171198152153159[[#This Row],[Teste 1]:[Teste 3]])</f>
        <v>47416487.333333336</v>
      </c>
      <c r="G249" s="16"/>
      <c r="H249" s="16" t="s">
        <v>0</v>
      </c>
      <c r="I249" s="16" t="s">
        <v>1</v>
      </c>
      <c r="J249" s="17">
        <v>9095704</v>
      </c>
      <c r="K249" s="17">
        <v>8970248</v>
      </c>
      <c r="L249" s="17">
        <v>8900465</v>
      </c>
      <c r="M249" s="17">
        <f>AVERAGE(Table143690117171198152153159171[[#This Row],[Teste 1]:[Teste 3]])</f>
        <v>8988805.666666666</v>
      </c>
      <c r="N249" s="16"/>
      <c r="O249" s="16" t="s">
        <v>0</v>
      </c>
      <c r="P249" s="16" t="s">
        <v>1</v>
      </c>
      <c r="Q249" s="17">
        <v>4812542</v>
      </c>
      <c r="R249" s="17">
        <v>4746163</v>
      </c>
      <c r="S249" s="17">
        <v>4711455</v>
      </c>
      <c r="T249" s="17">
        <f>AVERAGE(Table143690117171198152153159183[[#This Row],[Teste 1]:[Teste 3]])</f>
        <v>4756720</v>
      </c>
    </row>
    <row r="250" spans="1:20" x14ac:dyDescent="0.25">
      <c r="A250" s="16" t="s">
        <v>0</v>
      </c>
      <c r="B250" s="16" t="s">
        <v>2</v>
      </c>
      <c r="C250" s="17">
        <v>210.56083003416001</v>
      </c>
      <c r="D250" s="17">
        <v>266.34749019231799</v>
      </c>
      <c r="E250" s="17">
        <v>245.36524592318</v>
      </c>
      <c r="F250" s="17">
        <f>AVERAGE(Table143690117171198152153159[[#This Row],[Teste 1]:[Teste 3]])</f>
        <v>240.75785538321932</v>
      </c>
      <c r="G250" s="16"/>
      <c r="H250" s="16" t="s">
        <v>0</v>
      </c>
      <c r="I250" s="16" t="s">
        <v>2</v>
      </c>
      <c r="J250" s="17">
        <v>1099.42</v>
      </c>
      <c r="K250" s="17">
        <v>1114.79</v>
      </c>
      <c r="L250" s="17">
        <v>1123.01</v>
      </c>
      <c r="M250" s="17">
        <f>AVERAGE(Table143690117171198152153159171[[#This Row],[Teste 1]:[Teste 3]])</f>
        <v>1112.4066666666668</v>
      </c>
      <c r="N250" s="16"/>
      <c r="O250" s="16" t="s">
        <v>0</v>
      </c>
      <c r="P250" s="16" t="s">
        <v>2</v>
      </c>
      <c r="Q250" s="17">
        <v>2077.9039434876599</v>
      </c>
      <c r="R250" s="17">
        <v>2106.9651421579902</v>
      </c>
      <c r="S250" s="17">
        <v>2122.4865779255001</v>
      </c>
      <c r="T250" s="17">
        <f>AVERAGE(Table143690117171198152153159183[[#This Row],[Teste 1]:[Teste 3]])</f>
        <v>2102.4518878570502</v>
      </c>
    </row>
    <row r="251" spans="1:20" x14ac:dyDescent="0.25">
      <c r="A251" s="16" t="s">
        <v>16</v>
      </c>
      <c r="B251" s="16" t="s">
        <v>4</v>
      </c>
      <c r="C251" s="17">
        <v>10000000</v>
      </c>
      <c r="D251" s="17">
        <v>10000000</v>
      </c>
      <c r="E251" s="17">
        <v>10000000</v>
      </c>
      <c r="F251" s="17">
        <f>AVERAGE(Table143690117171198152153159[[#This Row],[Teste 1]:[Teste 3]])</f>
        <v>10000000</v>
      </c>
      <c r="G251" s="16"/>
      <c r="H251" s="16" t="s">
        <v>16</v>
      </c>
      <c r="I251" s="16" t="s">
        <v>4</v>
      </c>
      <c r="J251" s="17">
        <v>10000000</v>
      </c>
      <c r="K251" s="17">
        <v>10000000</v>
      </c>
      <c r="L251" s="17">
        <v>10000000</v>
      </c>
      <c r="M251" s="17">
        <f>AVERAGE(Table143690117171198152153159171[[#This Row],[Teste 1]:[Teste 3]])</f>
        <v>10000000</v>
      </c>
      <c r="N251" s="16"/>
      <c r="O251" s="16" t="s">
        <v>16</v>
      </c>
      <c r="P251" s="16" t="s">
        <v>4</v>
      </c>
      <c r="Q251" s="17">
        <v>10000000</v>
      </c>
      <c r="R251" s="17">
        <v>10000000</v>
      </c>
      <c r="S251" s="17">
        <v>10000000</v>
      </c>
      <c r="T251" s="17">
        <f>AVERAGE(Table143690117171198152153159183[[#This Row],[Teste 1]:[Teste 3]])</f>
        <v>10000000</v>
      </c>
    </row>
    <row r="252" spans="1:20" x14ac:dyDescent="0.25">
      <c r="A252" s="16" t="s">
        <v>16</v>
      </c>
      <c r="B252" s="16" t="s">
        <v>5</v>
      </c>
      <c r="C252" s="17">
        <v>13982.207364620701</v>
      </c>
      <c r="D252" s="17">
        <v>17833.788838199998</v>
      </c>
      <c r="E252" s="17">
        <v>15624.352664620699</v>
      </c>
      <c r="F252" s="17">
        <f>AVERAGE(Table143690117171198152153159[[#This Row],[Teste 1]:[Teste 3]])</f>
        <v>15813.449622480466</v>
      </c>
      <c r="G252" s="16"/>
      <c r="H252" s="16" t="s">
        <v>16</v>
      </c>
      <c r="I252" s="16" t="s">
        <v>5</v>
      </c>
      <c r="J252" s="17">
        <v>2358.2199999999998</v>
      </c>
      <c r="K252" s="17">
        <v>2353.1799999999998</v>
      </c>
      <c r="L252" s="17">
        <v>2326.27</v>
      </c>
      <c r="M252" s="17">
        <f>AVERAGE(Table143690117171198152153159171[[#This Row],[Teste 1]:[Teste 3]])</f>
        <v>2345.89</v>
      </c>
      <c r="N252" s="16"/>
      <c r="O252" s="16" t="s">
        <v>16</v>
      </c>
      <c r="P252" s="16" t="s">
        <v>5</v>
      </c>
      <c r="Q252" s="17">
        <v>1247.7342971</v>
      </c>
      <c r="R252" s="17">
        <v>1245.069311</v>
      </c>
      <c r="S252" s="17">
        <v>1230.8278972999999</v>
      </c>
      <c r="T252" s="17">
        <f>AVERAGE(Table143690117171198152153159183[[#This Row],[Teste 1]:[Teste 3]])</f>
        <v>1241.2105018</v>
      </c>
    </row>
    <row r="253" spans="1:20" x14ac:dyDescent="0.25">
      <c r="A253" s="16" t="s">
        <v>16</v>
      </c>
      <c r="B253" s="16" t="s">
        <v>6</v>
      </c>
      <c r="C253" s="17">
        <v>75</v>
      </c>
      <c r="D253" s="17">
        <v>76</v>
      </c>
      <c r="E253" s="17">
        <v>76</v>
      </c>
      <c r="F253" s="17">
        <f>AVERAGE(Table143690117171198152153159[[#This Row],[Teste 1]:[Teste 3]])</f>
        <v>75.666666666666671</v>
      </c>
      <c r="G253" s="16"/>
      <c r="H253" s="16" t="s">
        <v>16</v>
      </c>
      <c r="I253" s="16" t="s">
        <v>6</v>
      </c>
      <c r="J253" s="17">
        <v>192</v>
      </c>
      <c r="K253" s="17">
        <v>187</v>
      </c>
      <c r="L253" s="17">
        <v>190</v>
      </c>
      <c r="M253" s="17">
        <f>AVERAGE(Table143690117171198152153159171[[#This Row],[Teste 1]:[Teste 3]])</f>
        <v>189.66666666666666</v>
      </c>
      <c r="N253" s="16"/>
      <c r="O253" s="16" t="s">
        <v>16</v>
      </c>
      <c r="P253" s="16" t="s">
        <v>6</v>
      </c>
      <c r="Q253" s="17">
        <v>102</v>
      </c>
      <c r="R253" s="17">
        <v>99</v>
      </c>
      <c r="S253" s="17">
        <v>101</v>
      </c>
      <c r="T253" s="17">
        <f>AVERAGE(Table143690117171198152153159183[[#This Row],[Teste 1]:[Teste 3]])</f>
        <v>100.66666666666667</v>
      </c>
    </row>
    <row r="254" spans="1:20" x14ac:dyDescent="0.25">
      <c r="A254" s="16" t="s">
        <v>16</v>
      </c>
      <c r="B254" s="16" t="s">
        <v>7</v>
      </c>
      <c r="C254" s="17">
        <v>10100735</v>
      </c>
      <c r="D254" s="17">
        <v>7245823</v>
      </c>
      <c r="E254" s="17">
        <v>9900735</v>
      </c>
      <c r="F254" s="17">
        <f>AVERAGE(Table143690117171198152153159[[#This Row],[Teste 1]:[Teste 3]])</f>
        <v>9082431</v>
      </c>
      <c r="G254" s="16"/>
      <c r="H254" s="16" t="s">
        <v>16</v>
      </c>
      <c r="I254" s="16" t="s">
        <v>7</v>
      </c>
      <c r="J254" s="17">
        <v>4068125</v>
      </c>
      <c r="K254" s="17">
        <v>5666732</v>
      </c>
      <c r="L254" s="17">
        <v>4269402</v>
      </c>
      <c r="M254" s="17">
        <f>AVERAGE(Table143690117171198152153159171[[#This Row],[Teste 1]:[Teste 3]])</f>
        <v>4668086.333333333</v>
      </c>
      <c r="N254" s="16"/>
      <c r="O254" s="16" t="s">
        <v>16</v>
      </c>
      <c r="P254" s="16" t="s">
        <v>7</v>
      </c>
      <c r="Q254" s="17">
        <v>2152447</v>
      </c>
      <c r="R254" s="17">
        <v>2998271</v>
      </c>
      <c r="S254" s="17">
        <v>2258943</v>
      </c>
      <c r="T254" s="17">
        <f>AVERAGE(Table143690117171198152153159183[[#This Row],[Teste 1]:[Teste 3]])</f>
        <v>2469887</v>
      </c>
    </row>
    <row r="255" spans="1:20" x14ac:dyDescent="0.25">
      <c r="A255" s="16" t="s">
        <v>16</v>
      </c>
      <c r="B255" s="16" t="s">
        <v>8</v>
      </c>
      <c r="C255" s="17">
        <v>59487</v>
      </c>
      <c r="D255" s="17">
        <v>66303</v>
      </c>
      <c r="E255" s="17">
        <v>62784</v>
      </c>
      <c r="F255" s="17">
        <f>AVERAGE(Table143690117171198152153159[[#This Row],[Teste 1]:[Teste 3]])</f>
        <v>62858</v>
      </c>
      <c r="G255" s="16"/>
      <c r="H255" s="16" t="s">
        <v>16</v>
      </c>
      <c r="I255" s="16" t="s">
        <v>8</v>
      </c>
      <c r="J255" s="17">
        <v>6919</v>
      </c>
      <c r="K255" s="17">
        <v>7206</v>
      </c>
      <c r="L255" s="17">
        <v>7127</v>
      </c>
      <c r="M255" s="17">
        <f>AVERAGE(Table143690117171198152153159171[[#This Row],[Teste 1]:[Teste 3]])</f>
        <v>7084</v>
      </c>
      <c r="N255" s="16"/>
      <c r="O255" s="16" t="s">
        <v>16</v>
      </c>
      <c r="P255" s="16" t="s">
        <v>8</v>
      </c>
      <c r="Q255" s="17">
        <v>3661</v>
      </c>
      <c r="R255" s="17">
        <v>3813</v>
      </c>
      <c r="S255" s="17">
        <v>3771</v>
      </c>
      <c r="T255" s="17">
        <f>AVERAGE(Table143690117171198152153159183[[#This Row],[Teste 1]:[Teste 3]])</f>
        <v>3748.3333333333335</v>
      </c>
    </row>
    <row r="256" spans="1:20" x14ac:dyDescent="0.25">
      <c r="A256" s="16" t="s">
        <v>16</v>
      </c>
      <c r="B256" s="16" t="s">
        <v>9</v>
      </c>
      <c r="C256" s="17">
        <v>108287</v>
      </c>
      <c r="D256" s="17">
        <v>118783</v>
      </c>
      <c r="E256" s="17">
        <v>113387</v>
      </c>
      <c r="F256" s="17">
        <f>AVERAGE(Table143690117171198152153159[[#This Row],[Teste 1]:[Teste 3]])</f>
        <v>113485.66666666667</v>
      </c>
      <c r="G256" s="16"/>
      <c r="H256" s="16" t="s">
        <v>16</v>
      </c>
      <c r="I256" s="16" t="s">
        <v>9</v>
      </c>
      <c r="J256" s="17">
        <v>28272</v>
      </c>
      <c r="K256" s="17">
        <v>29784</v>
      </c>
      <c r="L256" s="17">
        <v>28106</v>
      </c>
      <c r="M256" s="17">
        <f>AVERAGE(Table143690117171198152153159171[[#This Row],[Teste 1]:[Teste 3]])</f>
        <v>28720.666666666668</v>
      </c>
      <c r="N256" s="16"/>
      <c r="O256" s="16" t="s">
        <v>16</v>
      </c>
      <c r="P256" s="16" t="s">
        <v>9</v>
      </c>
      <c r="Q256" s="17">
        <v>14959</v>
      </c>
      <c r="R256" s="17">
        <v>15759</v>
      </c>
      <c r="S256" s="17">
        <v>14871</v>
      </c>
      <c r="T256" s="17">
        <f>AVERAGE(Table143690117171198152153159183[[#This Row],[Teste 1]:[Teste 3]])</f>
        <v>15196.333333333334</v>
      </c>
    </row>
    <row r="257" spans="1:20" x14ac:dyDescent="0.25">
      <c r="A257" s="16" t="s">
        <v>16</v>
      </c>
      <c r="B257" s="16" t="s">
        <v>11</v>
      </c>
      <c r="C257" s="17">
        <v>10000000</v>
      </c>
      <c r="D257" s="17">
        <v>10000000</v>
      </c>
      <c r="E257" s="17">
        <v>10000000</v>
      </c>
      <c r="F257" s="17">
        <f>AVERAGE(Table143690117171198152153159[[#This Row],[Teste 1]:[Teste 3]])</f>
        <v>10000000</v>
      </c>
      <c r="G257" s="16"/>
      <c r="H257" s="16" t="s">
        <v>16</v>
      </c>
      <c r="I257" s="16" t="s">
        <v>11</v>
      </c>
      <c r="J257" s="17">
        <v>10000000</v>
      </c>
      <c r="K257" s="17">
        <v>10000000</v>
      </c>
      <c r="L257" s="17">
        <v>10000000</v>
      </c>
      <c r="M257" s="17">
        <f>AVERAGE(Table143690117171198152153159171[[#This Row],[Teste 1]:[Teste 3]])</f>
        <v>10000000</v>
      </c>
      <c r="N257" s="16"/>
      <c r="O257" s="16" t="s">
        <v>16</v>
      </c>
      <c r="P257" s="16" t="s">
        <v>11</v>
      </c>
      <c r="Q257" s="17">
        <v>10000000</v>
      </c>
      <c r="R257" s="17">
        <v>10000000</v>
      </c>
      <c r="S257" s="17">
        <v>10000000</v>
      </c>
      <c r="T257" s="17">
        <f>AVERAGE(Table143690117171198152153159183[[#This Row],[Teste 1]:[Teste 3]])</f>
        <v>10000000</v>
      </c>
    </row>
    <row r="258" spans="1:20" x14ac:dyDescent="0.25">
      <c r="A258" s="16" t="s">
        <v>72</v>
      </c>
      <c r="B258" s="16" t="s">
        <v>4</v>
      </c>
      <c r="C258" s="17">
        <v>4997877</v>
      </c>
      <c r="D258" s="17">
        <v>4999947</v>
      </c>
      <c r="E258" s="17">
        <v>4958747</v>
      </c>
      <c r="F258" s="17">
        <f>AVERAGE(Table143690117171198152153159[[#This Row],[Teste 1]:[Teste 3]])</f>
        <v>4985523.666666667</v>
      </c>
      <c r="G258" s="16"/>
      <c r="H258" s="16" t="s">
        <v>72</v>
      </c>
      <c r="I258" s="16" t="s">
        <v>4</v>
      </c>
      <c r="J258" s="17">
        <v>4998255</v>
      </c>
      <c r="K258" s="17">
        <v>4999810</v>
      </c>
      <c r="L258" s="17">
        <v>4997018</v>
      </c>
      <c r="M258" s="17">
        <f>AVERAGE(Table143690117171198152153159171[[#This Row],[Teste 1]:[Teste 3]])</f>
        <v>4998361</v>
      </c>
      <c r="N258" s="16"/>
      <c r="O258" s="16" t="s">
        <v>72</v>
      </c>
      <c r="P258" s="16" t="s">
        <v>4</v>
      </c>
      <c r="Q258" s="17">
        <v>4999170</v>
      </c>
      <c r="R258" s="17">
        <v>5001094</v>
      </c>
      <c r="S258" s="17">
        <v>5001518</v>
      </c>
      <c r="T258" s="17">
        <f>AVERAGE(Table143690117171198152153159183[[#This Row],[Teste 1]:[Teste 3]])</f>
        <v>5000594</v>
      </c>
    </row>
    <row r="259" spans="1:20" x14ac:dyDescent="0.25">
      <c r="A259" s="16" t="s">
        <v>72</v>
      </c>
      <c r="B259" s="16" t="s">
        <v>5</v>
      </c>
      <c r="C259" s="17">
        <v>14393.5764181471</v>
      </c>
      <c r="D259" s="17">
        <v>18279.693255948499</v>
      </c>
      <c r="E259" s="17">
        <v>16439.359428147101</v>
      </c>
      <c r="F259" s="17">
        <f>AVERAGE(Table143690117171198152153159[[#This Row],[Teste 1]:[Teste 3]])</f>
        <v>16370.876367414234</v>
      </c>
      <c r="G259" s="16"/>
      <c r="H259" s="16" t="s">
        <v>72</v>
      </c>
      <c r="I259" s="16" t="s">
        <v>5</v>
      </c>
      <c r="J259" s="17">
        <v>3083.66</v>
      </c>
      <c r="K259" s="17">
        <v>2999.67</v>
      </c>
      <c r="L259" s="17">
        <v>2981.16</v>
      </c>
      <c r="M259" s="17">
        <f>AVERAGE(Table143690117171198152153159171[[#This Row],[Teste 1]:[Teste 3]])</f>
        <v>3021.4966666666664</v>
      </c>
      <c r="N259" s="16"/>
      <c r="O259" s="16" t="s">
        <v>72</v>
      </c>
      <c r="P259" s="16" t="s">
        <v>5</v>
      </c>
      <c r="Q259" s="17">
        <v>1631.56809670405</v>
      </c>
      <c r="R259" s="17">
        <v>1587.12537936699</v>
      </c>
      <c r="S259" s="17">
        <v>1577.33319784113</v>
      </c>
      <c r="T259" s="17">
        <f>AVERAGE(Table143690117171198152153159183[[#This Row],[Teste 1]:[Teste 3]])</f>
        <v>1598.6755579707233</v>
      </c>
    </row>
    <row r="260" spans="1:20" x14ac:dyDescent="0.25">
      <c r="A260" s="16" t="s">
        <v>72</v>
      </c>
      <c r="B260" s="16" t="s">
        <v>6</v>
      </c>
      <c r="C260" s="17">
        <v>208</v>
      </c>
      <c r="D260" s="17">
        <v>212</v>
      </c>
      <c r="E260" s="17">
        <v>210</v>
      </c>
      <c r="F260" s="17">
        <f>AVERAGE(Table143690117171198152153159[[#This Row],[Teste 1]:[Teste 3]])</f>
        <v>210</v>
      </c>
      <c r="G260" s="16"/>
      <c r="H260" s="16" t="s">
        <v>72</v>
      </c>
      <c r="I260" s="16" t="s">
        <v>6</v>
      </c>
      <c r="J260" s="17">
        <v>610</v>
      </c>
      <c r="K260" s="17">
        <v>587</v>
      </c>
      <c r="L260" s="17">
        <v>593</v>
      </c>
      <c r="M260" s="17">
        <f>AVERAGE(Table143690117171198152153159171[[#This Row],[Teste 1]:[Teste 3]])</f>
        <v>596.66666666666663</v>
      </c>
      <c r="N260" s="16"/>
      <c r="O260" s="16" t="s">
        <v>72</v>
      </c>
      <c r="P260" s="16" t="s">
        <v>6</v>
      </c>
      <c r="Q260" s="17">
        <v>323</v>
      </c>
      <c r="R260" s="17">
        <v>311</v>
      </c>
      <c r="S260" s="17">
        <v>314</v>
      </c>
      <c r="T260" s="17">
        <f>AVERAGE(Table143690117171198152153159183[[#This Row],[Teste 1]:[Teste 3]])</f>
        <v>316</v>
      </c>
    </row>
    <row r="261" spans="1:20" x14ac:dyDescent="0.25">
      <c r="A261" s="16" t="s">
        <v>72</v>
      </c>
      <c r="B261" s="16" t="s">
        <v>7</v>
      </c>
      <c r="C261" s="17">
        <v>10108927</v>
      </c>
      <c r="D261" s="17">
        <v>7245823</v>
      </c>
      <c r="E261" s="17">
        <v>9359723</v>
      </c>
      <c r="F261" s="17">
        <f>AVERAGE(Table143690117171198152153159[[#This Row],[Teste 1]:[Teste 3]])</f>
        <v>8904824.333333334</v>
      </c>
      <c r="G261" s="16"/>
      <c r="H261" s="16" t="s">
        <v>72</v>
      </c>
      <c r="I261" s="16" t="s">
        <v>7</v>
      </c>
      <c r="J261" s="17">
        <v>4068124</v>
      </c>
      <c r="K261" s="17">
        <v>5670602</v>
      </c>
      <c r="L261" s="17">
        <v>4273273</v>
      </c>
      <c r="M261" s="17">
        <f>AVERAGE(Table143690117171198152153159171[[#This Row],[Teste 1]:[Teste 3]])</f>
        <v>4670666.333333333</v>
      </c>
      <c r="N261" s="16"/>
      <c r="O261" s="16" t="s">
        <v>72</v>
      </c>
      <c r="P261" s="16" t="s">
        <v>7</v>
      </c>
      <c r="Q261" s="17">
        <v>2152447</v>
      </c>
      <c r="R261" s="17">
        <v>3000319</v>
      </c>
      <c r="S261" s="17">
        <v>2260991</v>
      </c>
      <c r="T261" s="17">
        <f>AVERAGE(Table143690117171198152153159183[[#This Row],[Teste 1]:[Teste 3]])</f>
        <v>2471252.3333333335</v>
      </c>
    </row>
    <row r="262" spans="1:20" x14ac:dyDescent="0.25">
      <c r="A262" s="16" t="s">
        <v>72</v>
      </c>
      <c r="B262" s="16" t="s">
        <v>8</v>
      </c>
      <c r="C262" s="17">
        <v>59967</v>
      </c>
      <c r="D262" s="17">
        <v>66815</v>
      </c>
      <c r="E262" s="17">
        <v>63258</v>
      </c>
      <c r="F262" s="17">
        <f>AVERAGE(Table143690117171198152153159[[#This Row],[Teste 1]:[Teste 3]])</f>
        <v>63346.666666666664</v>
      </c>
      <c r="G262" s="16"/>
      <c r="H262" s="16" t="s">
        <v>72</v>
      </c>
      <c r="I262" s="16" t="s">
        <v>8</v>
      </c>
      <c r="J262" s="17">
        <v>7860</v>
      </c>
      <c r="K262" s="17">
        <v>8072</v>
      </c>
      <c r="L262" s="17">
        <v>7989</v>
      </c>
      <c r="M262" s="17">
        <f>AVERAGE(Table143690117171198152153159171[[#This Row],[Teste 1]:[Teste 3]])</f>
        <v>7973.666666666667</v>
      </c>
      <c r="N262" s="16"/>
      <c r="O262" s="16" t="s">
        <v>72</v>
      </c>
      <c r="P262" s="16" t="s">
        <v>8</v>
      </c>
      <c r="Q262" s="17">
        <v>4159</v>
      </c>
      <c r="R262" s="17">
        <v>4271</v>
      </c>
      <c r="S262" s="17">
        <v>4227</v>
      </c>
      <c r="T262" s="17">
        <f>AVERAGE(Table143690117171198152153159183[[#This Row],[Teste 1]:[Teste 3]])</f>
        <v>4219</v>
      </c>
    </row>
    <row r="263" spans="1:20" x14ac:dyDescent="0.25">
      <c r="A263" s="16" t="s">
        <v>72</v>
      </c>
      <c r="B263" s="16" t="s">
        <v>9</v>
      </c>
      <c r="C263" s="17">
        <v>108799</v>
      </c>
      <c r="D263" s="17">
        <v>119423</v>
      </c>
      <c r="E263" s="17">
        <v>4958747</v>
      </c>
      <c r="F263" s="17">
        <f>AVERAGE(Table143690117171198152153159[[#This Row],[Teste 1]:[Teste 3]])</f>
        <v>1728989.6666666667</v>
      </c>
      <c r="G263" s="16"/>
      <c r="H263" s="16" t="s">
        <v>72</v>
      </c>
      <c r="I263" s="16" t="s">
        <v>9</v>
      </c>
      <c r="J263" s="17">
        <v>29436</v>
      </c>
      <c r="K263" s="17">
        <v>30797</v>
      </c>
      <c r="L263" s="17">
        <v>29134</v>
      </c>
      <c r="M263" s="17">
        <f>AVERAGE(Table143690117171198152153159171[[#This Row],[Teste 1]:[Teste 3]])</f>
        <v>29789</v>
      </c>
      <c r="N263" s="16"/>
      <c r="O263" s="16" t="s">
        <v>72</v>
      </c>
      <c r="P263" s="16" t="s">
        <v>9</v>
      </c>
      <c r="Q263" s="17">
        <v>15575</v>
      </c>
      <c r="R263" s="17">
        <v>16295</v>
      </c>
      <c r="S263" s="17">
        <v>15415</v>
      </c>
      <c r="T263" s="17">
        <f>AVERAGE(Table143690117171198152153159183[[#This Row],[Teste 1]:[Teste 3]])</f>
        <v>15761.666666666666</v>
      </c>
    </row>
    <row r="264" spans="1:20" x14ac:dyDescent="0.25">
      <c r="A264" s="16" t="s">
        <v>3</v>
      </c>
      <c r="B264" s="16" t="s">
        <v>4</v>
      </c>
      <c r="C264" s="17">
        <v>3</v>
      </c>
      <c r="D264" s="17">
        <v>3</v>
      </c>
      <c r="E264" s="17">
        <v>3</v>
      </c>
      <c r="F264" s="17">
        <f>AVERAGE(Table143690117171198152153159[[#This Row],[Teste 1]:[Teste 3]])</f>
        <v>3</v>
      </c>
      <c r="G264" s="16"/>
      <c r="H264" s="16" t="s">
        <v>3</v>
      </c>
      <c r="I264" s="16" t="s">
        <v>4</v>
      </c>
      <c r="J264" s="17">
        <v>3</v>
      </c>
      <c r="K264" s="17">
        <v>3</v>
      </c>
      <c r="L264" s="17">
        <v>3</v>
      </c>
      <c r="M264" s="17">
        <f>AVERAGE(Table143690117171198152153159171[[#This Row],[Teste 1]:[Teste 3]])</f>
        <v>3</v>
      </c>
      <c r="N264" s="16"/>
      <c r="O264" s="16" t="s">
        <v>3</v>
      </c>
      <c r="P264" s="16" t="s">
        <v>4</v>
      </c>
      <c r="Q264" s="17">
        <v>3</v>
      </c>
      <c r="R264" s="17">
        <v>3</v>
      </c>
      <c r="S264" s="17">
        <v>3</v>
      </c>
      <c r="T264" s="17">
        <f>AVERAGE(Table143690117171198152153159183[[#This Row],[Teste 1]:[Teste 3]])</f>
        <v>3</v>
      </c>
    </row>
    <row r="265" spans="1:20" x14ac:dyDescent="0.25">
      <c r="A265" s="16" t="s">
        <v>3</v>
      </c>
      <c r="B265" s="16" t="s">
        <v>5</v>
      </c>
      <c r="C265" s="17">
        <v>1.6666666666666601</v>
      </c>
      <c r="D265" s="17">
        <v>1.3333333333333299</v>
      </c>
      <c r="E265" s="17">
        <v>1.3333333333333299</v>
      </c>
      <c r="F265" s="17">
        <f>AVERAGE(Table143690117171198152153159[[#This Row],[Teste 1]:[Teste 3]])</f>
        <v>1.44444444444444</v>
      </c>
      <c r="G265" s="16"/>
      <c r="H265" s="16" t="s">
        <v>3</v>
      </c>
      <c r="I265" s="16" t="s">
        <v>5</v>
      </c>
      <c r="J265" s="17">
        <v>9.6666666666666607</v>
      </c>
      <c r="K265" s="17">
        <v>5</v>
      </c>
      <c r="L265" s="17">
        <v>3.3333333333333299</v>
      </c>
      <c r="M265" s="17">
        <f>AVERAGE(Table143690117171198152153159171[[#This Row],[Teste 1]:[Teste 3]])</f>
        <v>5.9999999999999964</v>
      </c>
      <c r="N265" s="16"/>
      <c r="O265" s="16" t="s">
        <v>3</v>
      </c>
      <c r="P265" s="16" t="s">
        <v>5</v>
      </c>
      <c r="Q265" s="17">
        <v>979.66666666666595</v>
      </c>
      <c r="R265" s="17">
        <v>2318</v>
      </c>
      <c r="S265" s="17">
        <v>16242.333333333299</v>
      </c>
      <c r="T265" s="17">
        <f>AVERAGE(Table143690117171198152153159183[[#This Row],[Teste 1]:[Teste 3]])</f>
        <v>6513.3333333333212</v>
      </c>
    </row>
    <row r="266" spans="1:20" x14ac:dyDescent="0.25">
      <c r="A266" s="16" t="s">
        <v>3</v>
      </c>
      <c r="B266" s="16" t="s">
        <v>6</v>
      </c>
      <c r="C266" s="17">
        <v>1</v>
      </c>
      <c r="D266" s="17">
        <v>1</v>
      </c>
      <c r="E266" s="17">
        <v>1</v>
      </c>
      <c r="F266" s="17">
        <f>AVERAGE(Table143690117171198152153159[[#This Row],[Teste 1]:[Teste 3]])</f>
        <v>1</v>
      </c>
      <c r="G266" s="16"/>
      <c r="H266" s="16" t="s">
        <v>3</v>
      </c>
      <c r="I266" s="16" t="s">
        <v>6</v>
      </c>
      <c r="J266" s="17">
        <v>1</v>
      </c>
      <c r="K266" s="17">
        <v>1</v>
      </c>
      <c r="L266" s="17">
        <v>1</v>
      </c>
      <c r="M266" s="17">
        <f>AVERAGE(Table143690117171198152153159171[[#This Row],[Teste 1]:[Teste 3]])</f>
        <v>1</v>
      </c>
      <c r="N266" s="16"/>
      <c r="O266" s="16" t="s">
        <v>3</v>
      </c>
      <c r="P266" s="16" t="s">
        <v>6</v>
      </c>
      <c r="Q266" s="17">
        <v>1</v>
      </c>
      <c r="R266" s="17">
        <v>1</v>
      </c>
      <c r="S266" s="17">
        <v>1</v>
      </c>
      <c r="T266" s="17">
        <f>AVERAGE(Table143690117171198152153159183[[#This Row],[Teste 1]:[Teste 3]])</f>
        <v>1</v>
      </c>
    </row>
    <row r="267" spans="1:20" x14ac:dyDescent="0.25">
      <c r="A267" s="16" t="s">
        <v>3</v>
      </c>
      <c r="B267" s="16" t="s">
        <v>7</v>
      </c>
      <c r="C267" s="17">
        <v>3</v>
      </c>
      <c r="D267" s="17">
        <v>2</v>
      </c>
      <c r="E267" s="17">
        <v>2</v>
      </c>
      <c r="F267" s="17">
        <f>AVERAGE(Table143690117171198152153159[[#This Row],[Teste 1]:[Teste 3]])</f>
        <v>2.3333333333333335</v>
      </c>
      <c r="G267" s="16"/>
      <c r="H267" s="16" t="s">
        <v>3</v>
      </c>
      <c r="I267" s="16" t="s">
        <v>7</v>
      </c>
      <c r="J267" s="17">
        <v>16</v>
      </c>
      <c r="K267" s="17">
        <v>13</v>
      </c>
      <c r="L267" s="17">
        <v>7</v>
      </c>
      <c r="M267" s="17">
        <f>AVERAGE(Table143690117171198152153159171[[#This Row],[Teste 1]:[Teste 3]])</f>
        <v>12</v>
      </c>
      <c r="N267" s="16"/>
      <c r="O267" s="16" t="s">
        <v>3</v>
      </c>
      <c r="P267" s="16" t="s">
        <v>7</v>
      </c>
      <c r="Q267" s="17">
        <v>2931</v>
      </c>
      <c r="R267" s="17">
        <v>6947</v>
      </c>
      <c r="S267" s="17">
        <v>48735</v>
      </c>
      <c r="T267" s="17">
        <f>AVERAGE(Table143690117171198152153159183[[#This Row],[Teste 1]:[Teste 3]])</f>
        <v>19537.666666666668</v>
      </c>
    </row>
    <row r="268" spans="1:20" x14ac:dyDescent="0.25">
      <c r="A268" s="16" t="s">
        <v>3</v>
      </c>
      <c r="B268" s="16" t="s">
        <v>8</v>
      </c>
      <c r="C268" s="17">
        <v>3</v>
      </c>
      <c r="D268" s="17">
        <v>2</v>
      </c>
      <c r="E268" s="17">
        <v>2</v>
      </c>
      <c r="F268" s="17">
        <f>AVERAGE(Table143690117171198152153159[[#This Row],[Teste 1]:[Teste 3]])</f>
        <v>2.3333333333333335</v>
      </c>
      <c r="G268" s="16"/>
      <c r="H268" s="16" t="s">
        <v>3</v>
      </c>
      <c r="I268" s="16" t="s">
        <v>8</v>
      </c>
      <c r="J268" s="17">
        <v>16</v>
      </c>
      <c r="K268" s="17">
        <v>13</v>
      </c>
      <c r="L268" s="17">
        <v>7</v>
      </c>
      <c r="M268" s="17">
        <f>AVERAGE(Table143690117171198152153159171[[#This Row],[Teste 1]:[Teste 3]])</f>
        <v>12</v>
      </c>
      <c r="N268" s="16"/>
      <c r="O268" s="16" t="s">
        <v>3</v>
      </c>
      <c r="P268" s="16" t="s">
        <v>8</v>
      </c>
      <c r="Q268" s="17">
        <v>2931</v>
      </c>
      <c r="R268" s="17">
        <v>6947</v>
      </c>
      <c r="S268" s="17">
        <v>48735</v>
      </c>
      <c r="T268" s="17">
        <f>AVERAGE(Table143690117171198152153159183[[#This Row],[Teste 1]:[Teste 3]])</f>
        <v>19537.666666666668</v>
      </c>
    </row>
    <row r="269" spans="1:20" x14ac:dyDescent="0.25">
      <c r="A269" s="16" t="s">
        <v>3</v>
      </c>
      <c r="B269" s="16" t="s">
        <v>9</v>
      </c>
      <c r="C269" s="17">
        <v>3</v>
      </c>
      <c r="D269" s="17">
        <v>2</v>
      </c>
      <c r="E269" s="17">
        <v>2</v>
      </c>
      <c r="F269" s="17">
        <f>AVERAGE(Table143690117171198152153159[[#This Row],[Teste 1]:[Teste 3]])</f>
        <v>2.3333333333333335</v>
      </c>
      <c r="G269" s="16"/>
      <c r="H269" s="16" t="s">
        <v>3</v>
      </c>
      <c r="I269" s="16" t="s">
        <v>9</v>
      </c>
      <c r="J269" s="17">
        <v>16</v>
      </c>
      <c r="K269" s="17">
        <v>13</v>
      </c>
      <c r="L269" s="17">
        <v>7</v>
      </c>
      <c r="M269" s="17">
        <f>AVERAGE(Table143690117171198152153159171[[#This Row],[Teste 1]:[Teste 3]])</f>
        <v>12</v>
      </c>
      <c r="N269" s="16"/>
      <c r="O269" s="16" t="s">
        <v>3</v>
      </c>
      <c r="P269" s="16" t="s">
        <v>9</v>
      </c>
      <c r="Q269" s="17">
        <v>2931</v>
      </c>
      <c r="R269" s="17">
        <v>6947</v>
      </c>
      <c r="S269" s="17">
        <v>48735</v>
      </c>
      <c r="T269" s="17">
        <f>AVERAGE(Table143690117171198152153159183[[#This Row],[Teste 1]:[Teste 3]])</f>
        <v>19537.666666666668</v>
      </c>
    </row>
    <row r="270" spans="1:20" x14ac:dyDescent="0.25">
      <c r="A270" s="16" t="s">
        <v>17</v>
      </c>
      <c r="B270" s="16" t="s">
        <v>4</v>
      </c>
      <c r="C270" s="17">
        <v>4997877</v>
      </c>
      <c r="D270" s="17">
        <v>4999947</v>
      </c>
      <c r="E270" s="17">
        <v>4958747</v>
      </c>
      <c r="F270" s="17">
        <f>AVERAGE(Table143690117171198152153159[[#This Row],[Teste 1]:[Teste 3]])</f>
        <v>4985523.666666667</v>
      </c>
      <c r="G270" s="16"/>
      <c r="H270" s="16" t="s">
        <v>17</v>
      </c>
      <c r="I270" s="16" t="s">
        <v>4</v>
      </c>
      <c r="J270" s="17">
        <v>4998255</v>
      </c>
      <c r="K270" s="17">
        <v>4999810</v>
      </c>
      <c r="L270" s="17">
        <v>4997018</v>
      </c>
      <c r="M270" s="17">
        <f>AVERAGE(Table143690117171198152153159171[[#This Row],[Teste 1]:[Teste 3]])</f>
        <v>4998361</v>
      </c>
      <c r="N270" s="16"/>
      <c r="O270" s="16" t="s">
        <v>17</v>
      </c>
      <c r="P270" s="16" t="s">
        <v>4</v>
      </c>
      <c r="Q270" s="17">
        <v>4999170</v>
      </c>
      <c r="R270" s="17">
        <v>5001094</v>
      </c>
      <c r="S270" s="17">
        <v>5001518</v>
      </c>
      <c r="T270" s="17">
        <f>AVERAGE(Table143690117171198152153159183[[#This Row],[Teste 1]:[Teste 3]])</f>
        <v>5000594</v>
      </c>
    </row>
    <row r="271" spans="1:20" x14ac:dyDescent="0.25">
      <c r="A271" s="16" t="s">
        <v>17</v>
      </c>
      <c r="B271" s="16" t="s">
        <v>5</v>
      </c>
      <c r="C271" s="17">
        <v>406.57876014155602</v>
      </c>
      <c r="D271" s="17">
        <v>383.49263782195999</v>
      </c>
      <c r="E271" s="17">
        <v>393.35983782196001</v>
      </c>
      <c r="F271" s="17">
        <f>AVERAGE(Table143690117171198152153159[[#This Row],[Teste 1]:[Teste 3]])</f>
        <v>394.47707859515867</v>
      </c>
      <c r="G271" s="16"/>
      <c r="H271" s="16" t="s">
        <v>17</v>
      </c>
      <c r="I271" s="16" t="s">
        <v>5</v>
      </c>
      <c r="J271" s="17">
        <v>717.63</v>
      </c>
      <c r="K271" s="17">
        <v>640.46</v>
      </c>
      <c r="L271" s="17">
        <v>647.91999999999996</v>
      </c>
      <c r="M271" s="17">
        <f>AVERAGE(Table143690117171198152153159171[[#This Row],[Teste 1]:[Teste 3]])</f>
        <v>668.67000000000007</v>
      </c>
      <c r="N271" s="16"/>
      <c r="O271" s="16" t="s">
        <v>17</v>
      </c>
      <c r="P271" s="16" t="s">
        <v>5</v>
      </c>
      <c r="Q271" s="17">
        <v>379.69737756467498</v>
      </c>
      <c r="R271" s="17">
        <v>338.86784531544498</v>
      </c>
      <c r="S271" s="17">
        <v>342.814710653845</v>
      </c>
      <c r="T271" s="17">
        <f>AVERAGE(Table143690117171198152153159183[[#This Row],[Teste 1]:[Teste 3]])</f>
        <v>353.7933111779883</v>
      </c>
    </row>
    <row r="272" spans="1:20" x14ac:dyDescent="0.25">
      <c r="A272" s="16" t="s">
        <v>17</v>
      </c>
      <c r="B272" s="16" t="s">
        <v>6</v>
      </c>
      <c r="C272" s="17">
        <v>111</v>
      </c>
      <c r="D272" s="17">
        <v>114</v>
      </c>
      <c r="E272" s="17">
        <v>112</v>
      </c>
      <c r="F272" s="17">
        <f>AVERAGE(Table143690117171198152153159[[#This Row],[Teste 1]:[Teste 3]])</f>
        <v>112.33333333333333</v>
      </c>
      <c r="G272" s="16"/>
      <c r="H272" s="16" t="s">
        <v>17</v>
      </c>
      <c r="I272" s="16" t="s">
        <v>6</v>
      </c>
      <c r="J272" s="17">
        <v>336</v>
      </c>
      <c r="K272" s="17">
        <v>321</v>
      </c>
      <c r="L272" s="17">
        <v>340</v>
      </c>
      <c r="M272" s="17">
        <f>AVERAGE(Table143690117171198152153159171[[#This Row],[Teste 1]:[Teste 3]])</f>
        <v>332.33333333333331</v>
      </c>
      <c r="N272" s="16"/>
      <c r="O272" s="16" t="s">
        <v>17</v>
      </c>
      <c r="P272" s="16" t="s">
        <v>6</v>
      </c>
      <c r="Q272" s="17">
        <v>178</v>
      </c>
      <c r="R272" s="17">
        <v>170</v>
      </c>
      <c r="S272" s="17">
        <v>180</v>
      </c>
      <c r="T272" s="17">
        <f>AVERAGE(Table143690117171198152153159183[[#This Row],[Teste 1]:[Teste 3]])</f>
        <v>176</v>
      </c>
    </row>
    <row r="273" spans="1:20" x14ac:dyDescent="0.25">
      <c r="A273" s="16" t="s">
        <v>17</v>
      </c>
      <c r="B273" s="16" t="s">
        <v>7</v>
      </c>
      <c r="C273" s="17">
        <v>238847</v>
      </c>
      <c r="D273" s="17">
        <v>120703</v>
      </c>
      <c r="E273" s="17">
        <v>212653</v>
      </c>
      <c r="F273" s="17">
        <f>AVERAGE(Table143690117171198152153159[[#This Row],[Teste 1]:[Teste 3]])</f>
        <v>190734.33333333334</v>
      </c>
      <c r="G273" s="16"/>
      <c r="H273" s="16" t="s">
        <v>17</v>
      </c>
      <c r="I273" s="16" t="s">
        <v>7</v>
      </c>
      <c r="J273" s="17">
        <v>287157</v>
      </c>
      <c r="K273" s="17">
        <v>207565</v>
      </c>
      <c r="L273" s="17">
        <v>682696</v>
      </c>
      <c r="M273" s="17">
        <f>AVERAGE(Table143690117171198152153159171[[#This Row],[Teste 1]:[Teste 3]])</f>
        <v>392472.66666666669</v>
      </c>
      <c r="N273" s="16"/>
      <c r="O273" s="16" t="s">
        <v>17</v>
      </c>
      <c r="P273" s="16" t="s">
        <v>7</v>
      </c>
      <c r="Q273" s="17">
        <v>151935</v>
      </c>
      <c r="R273" s="17">
        <v>109823</v>
      </c>
      <c r="S273" s="17">
        <v>361215</v>
      </c>
      <c r="T273" s="17">
        <f>AVERAGE(Table143690117171198152153159183[[#This Row],[Teste 1]:[Teste 3]])</f>
        <v>207657.66666666666</v>
      </c>
    </row>
    <row r="274" spans="1:20" x14ac:dyDescent="0.25">
      <c r="A274" s="16" t="s">
        <v>17</v>
      </c>
      <c r="B274" s="16" t="s">
        <v>8</v>
      </c>
      <c r="C274" s="17">
        <v>663</v>
      </c>
      <c r="D274" s="17">
        <v>607</v>
      </c>
      <c r="E274" s="17">
        <v>652</v>
      </c>
      <c r="F274" s="17">
        <f>AVERAGE(Table143690117171198152153159[[#This Row],[Teste 1]:[Teste 3]])</f>
        <v>640.66666666666663</v>
      </c>
      <c r="G274" s="16"/>
      <c r="H274" s="16" t="s">
        <v>17</v>
      </c>
      <c r="I274" s="16" t="s">
        <v>8</v>
      </c>
      <c r="J274" s="17">
        <v>997</v>
      </c>
      <c r="K274" s="17">
        <v>930</v>
      </c>
      <c r="L274" s="17">
        <v>935</v>
      </c>
      <c r="M274" s="17">
        <f>AVERAGE(Table143690117171198152153159171[[#This Row],[Teste 1]:[Teste 3]])</f>
        <v>954</v>
      </c>
      <c r="N274" s="16"/>
      <c r="O274" s="16" t="s">
        <v>17</v>
      </c>
      <c r="P274" s="16" t="s">
        <v>8</v>
      </c>
      <c r="Q274" s="17">
        <v>528</v>
      </c>
      <c r="R274" s="17">
        <v>492</v>
      </c>
      <c r="S274" s="17">
        <v>495</v>
      </c>
      <c r="T274" s="17">
        <f>AVERAGE(Table143690117171198152153159183[[#This Row],[Teste 1]:[Teste 3]])</f>
        <v>505</v>
      </c>
    </row>
    <row r="275" spans="1:20" x14ac:dyDescent="0.25">
      <c r="A275" s="16" t="s">
        <v>17</v>
      </c>
      <c r="B275" s="16" t="s">
        <v>9</v>
      </c>
      <c r="C275" s="17">
        <v>1129</v>
      </c>
      <c r="D275" s="17">
        <v>996</v>
      </c>
      <c r="E275" s="17">
        <v>1112</v>
      </c>
      <c r="F275" s="17">
        <f>AVERAGE(Table143690117171198152153159[[#This Row],[Teste 1]:[Teste 3]])</f>
        <v>1079</v>
      </c>
      <c r="G275" s="16"/>
      <c r="H275" s="16" t="s">
        <v>17</v>
      </c>
      <c r="I275" s="16" t="s">
        <v>9</v>
      </c>
      <c r="J275" s="17">
        <v>1306</v>
      </c>
      <c r="K275" s="17">
        <v>1256</v>
      </c>
      <c r="L275" s="17">
        <v>1256</v>
      </c>
      <c r="M275" s="17">
        <f>AVERAGE(Table143690117171198152153159171[[#This Row],[Teste 1]:[Teste 3]])</f>
        <v>1272.6666666666667</v>
      </c>
      <c r="N275" s="16"/>
      <c r="O275" s="16" t="s">
        <v>17</v>
      </c>
      <c r="P275" s="16" t="s">
        <v>9</v>
      </c>
      <c r="Q275" s="17">
        <v>691</v>
      </c>
      <c r="R275" s="17">
        <v>665</v>
      </c>
      <c r="S275" s="17">
        <v>665</v>
      </c>
      <c r="T275" s="17">
        <f>AVERAGE(Table143690117171198152153159183[[#This Row],[Teste 1]:[Teste 3]])</f>
        <v>673.66666666666663</v>
      </c>
    </row>
    <row r="276" spans="1:20" x14ac:dyDescent="0.25">
      <c r="A276" s="16" t="s">
        <v>17</v>
      </c>
      <c r="B276" s="16" t="s">
        <v>11</v>
      </c>
      <c r="C276" s="17">
        <v>4997877</v>
      </c>
      <c r="D276" s="17">
        <v>4999947</v>
      </c>
      <c r="E276" s="17">
        <v>4958747</v>
      </c>
      <c r="F276" s="17">
        <f>AVERAGE(Table143690117171198152153159[[#This Row],[Teste 1]:[Teste 3]])</f>
        <v>4985523.666666667</v>
      </c>
      <c r="G276" s="16"/>
      <c r="H276" s="16" t="s">
        <v>17</v>
      </c>
      <c r="I276" s="16" t="s">
        <v>11</v>
      </c>
      <c r="J276" s="17">
        <v>4998255</v>
      </c>
      <c r="K276" s="17">
        <v>4999810</v>
      </c>
      <c r="L276" s="17">
        <v>4997018</v>
      </c>
      <c r="M276" s="17">
        <f>AVERAGE(Table143690117171198152153159171[[#This Row],[Teste 1]:[Teste 3]])</f>
        <v>4998361</v>
      </c>
      <c r="N276" s="16"/>
      <c r="O276" s="16" t="s">
        <v>17</v>
      </c>
      <c r="P276" s="16" t="s">
        <v>11</v>
      </c>
      <c r="Q276" s="17">
        <v>4999170</v>
      </c>
      <c r="R276" s="17">
        <v>5001094</v>
      </c>
      <c r="S276" s="17">
        <v>5001518</v>
      </c>
      <c r="T276" s="17">
        <f>AVERAGE(Table143690117171198152153159183[[#This Row],[Teste 1]:[Teste 3]])</f>
        <v>5000594</v>
      </c>
    </row>
    <row r="277" spans="1:20" x14ac:dyDescent="0.25">
      <c r="A277" s="16"/>
      <c r="B277" s="16"/>
      <c r="C277" s="17"/>
      <c r="D277" s="17"/>
      <c r="E277" s="17"/>
      <c r="F277" s="17"/>
      <c r="G277" s="16"/>
      <c r="H277" s="16"/>
      <c r="I277" s="16"/>
      <c r="J277" s="17"/>
      <c r="K277" s="17"/>
      <c r="L277" s="17"/>
      <c r="M277" s="17"/>
      <c r="N277" s="16"/>
      <c r="O277" s="16"/>
      <c r="P277" s="16"/>
      <c r="Q277" s="17"/>
      <c r="R277" s="17"/>
      <c r="S277" s="17"/>
      <c r="T277" s="17"/>
    </row>
    <row r="278" spans="1:20" x14ac:dyDescent="0.25">
      <c r="A278" s="16"/>
      <c r="B278" s="16"/>
      <c r="C278" s="17"/>
      <c r="D278" s="17"/>
      <c r="E278" s="17"/>
      <c r="F278" s="17"/>
      <c r="G278" s="16"/>
      <c r="H278" s="16"/>
      <c r="I278" s="16"/>
      <c r="J278" s="17"/>
      <c r="K278" s="17"/>
      <c r="L278" s="17"/>
      <c r="M278" s="17"/>
      <c r="N278" s="16"/>
      <c r="O278" s="16"/>
      <c r="P278" s="16"/>
      <c r="Q278" s="17"/>
      <c r="R278" s="17"/>
      <c r="S278" s="17"/>
      <c r="T278" s="17"/>
    </row>
    <row r="279" spans="1:20" x14ac:dyDescent="0.25">
      <c r="A279" s="16"/>
      <c r="B279" s="16"/>
      <c r="C279" s="17"/>
      <c r="D279" s="17"/>
      <c r="E279" s="17"/>
      <c r="F279" s="17"/>
      <c r="G279" s="16"/>
      <c r="H279" s="16"/>
      <c r="I279" s="16"/>
      <c r="J279" s="17"/>
      <c r="K279" s="17"/>
      <c r="L279" s="17"/>
      <c r="M279" s="17"/>
      <c r="N279" s="16"/>
      <c r="O279" s="16"/>
      <c r="P279" s="16"/>
      <c r="Q279" s="17"/>
      <c r="R279" s="17"/>
      <c r="S279" s="17"/>
      <c r="T279" s="17"/>
    </row>
    <row r="281" spans="1:20" ht="15.75" x14ac:dyDescent="0.25">
      <c r="A281" s="2" t="s">
        <v>73</v>
      </c>
      <c r="H281" s="2" t="s">
        <v>73</v>
      </c>
      <c r="O281" s="2" t="s">
        <v>73</v>
      </c>
    </row>
    <row r="282" spans="1:20" ht="15.75" x14ac:dyDescent="0.25">
      <c r="A282" s="16" t="s">
        <v>59</v>
      </c>
      <c r="B282" s="21" t="s">
        <v>81</v>
      </c>
      <c r="C282" s="16" t="s">
        <v>82</v>
      </c>
      <c r="D282" s="16" t="s">
        <v>64</v>
      </c>
      <c r="E282" s="16" t="s">
        <v>63</v>
      </c>
      <c r="F282" s="16" t="s">
        <v>18</v>
      </c>
      <c r="G282" s="16"/>
      <c r="H282" s="16" t="s">
        <v>12</v>
      </c>
      <c r="I282" s="21" t="s">
        <v>81</v>
      </c>
      <c r="J282" s="16" t="s">
        <v>82</v>
      </c>
      <c r="K282" s="16" t="s">
        <v>64</v>
      </c>
      <c r="L282" s="16" t="s">
        <v>63</v>
      </c>
      <c r="M282" s="16" t="s">
        <v>18</v>
      </c>
      <c r="N282" s="16"/>
      <c r="O282" s="16" t="s">
        <v>13</v>
      </c>
      <c r="P282" s="21" t="s">
        <v>81</v>
      </c>
      <c r="Q282" s="16" t="s">
        <v>82</v>
      </c>
      <c r="R282" s="16" t="s">
        <v>64</v>
      </c>
      <c r="S282" s="16" t="s">
        <v>63</v>
      </c>
      <c r="T282" s="16" t="s">
        <v>18</v>
      </c>
    </row>
    <row r="283" spans="1:20" x14ac:dyDescent="0.25">
      <c r="A283" s="16" t="s">
        <v>0</v>
      </c>
      <c r="B283" s="16" t="s">
        <v>1</v>
      </c>
      <c r="C283" s="17">
        <v>40708432</v>
      </c>
      <c r="D283" s="17">
        <v>40199341</v>
      </c>
      <c r="E283" s="17">
        <v>40332424</v>
      </c>
      <c r="F283" s="17">
        <f>AVERAGE(Table143690117171198152154160[[#This Row],[Teste 1]:[Teste 3]])</f>
        <v>40413399</v>
      </c>
      <c r="G283" s="16"/>
      <c r="H283" s="16" t="s">
        <v>0</v>
      </c>
      <c r="I283" s="16" t="s">
        <v>1</v>
      </c>
      <c r="J283" s="17">
        <v>3725142</v>
      </c>
      <c r="K283" s="17">
        <v>3767723</v>
      </c>
      <c r="L283" s="17">
        <v>3741300</v>
      </c>
      <c r="M283" s="17">
        <f>AVERAGE(Table143690117171198152154160172[[#This Row],[Teste 1]:[Teste 3]])</f>
        <v>3744721.6666666665</v>
      </c>
      <c r="N283" s="16"/>
      <c r="O283" s="16" t="s">
        <v>0</v>
      </c>
      <c r="P283" s="16" t="s">
        <v>1</v>
      </c>
      <c r="Q283" s="17">
        <v>4544674</v>
      </c>
      <c r="R283" s="17">
        <v>4596622</v>
      </c>
      <c r="S283" s="17">
        <v>4564386</v>
      </c>
      <c r="T283" s="17">
        <f>AVERAGE(Table143690117171198152154160184[[#This Row],[Teste 1]:[Teste 3]])</f>
        <v>4568560.666666667</v>
      </c>
    </row>
    <row r="284" spans="1:20" x14ac:dyDescent="0.25">
      <c r="A284" s="16" t="s">
        <v>0</v>
      </c>
      <c r="B284" s="16" t="s">
        <v>2</v>
      </c>
      <c r="C284" s="17">
        <v>221.24</v>
      </c>
      <c r="D284" s="17">
        <v>280.5</v>
      </c>
      <c r="E284" s="17">
        <v>259.83999999999997</v>
      </c>
      <c r="F284" s="17">
        <f>AVERAGE(Table143690117171198152154160[[#This Row],[Teste 1]:[Teste 3]])</f>
        <v>253.85999999999999</v>
      </c>
      <c r="G284" s="16"/>
      <c r="H284" s="16" t="s">
        <v>0</v>
      </c>
      <c r="I284" s="16" t="s">
        <v>2</v>
      </c>
      <c r="J284" s="17">
        <v>2684.46</v>
      </c>
      <c r="K284" s="17">
        <v>2654.12</v>
      </c>
      <c r="L284" s="17">
        <v>2672.87</v>
      </c>
      <c r="M284" s="17">
        <f>AVERAGE(Table143690117171198152154160172[[#This Row],[Teste 1]:[Teste 3]])</f>
        <v>2670.4833333333331</v>
      </c>
      <c r="N284" s="16"/>
      <c r="O284" s="16" t="s">
        <v>0</v>
      </c>
      <c r="P284" s="16" t="s">
        <v>2</v>
      </c>
      <c r="Q284" s="17">
        <v>2200.3778488842099</v>
      </c>
      <c r="R284" s="17">
        <v>2175.5106249763398</v>
      </c>
      <c r="S284" s="17">
        <v>2190.8751801447102</v>
      </c>
      <c r="T284" s="17">
        <f>AVERAGE(Table143690117171198152154160184[[#This Row],[Teste 1]:[Teste 3]])</f>
        <v>2188.9212180017535</v>
      </c>
    </row>
    <row r="285" spans="1:20" x14ac:dyDescent="0.25">
      <c r="A285" s="16" t="s">
        <v>16</v>
      </c>
      <c r="B285" s="16" t="s">
        <v>4</v>
      </c>
      <c r="C285" s="17">
        <v>10000000</v>
      </c>
      <c r="D285" s="17">
        <v>10000000</v>
      </c>
      <c r="E285" s="17">
        <v>10000000</v>
      </c>
      <c r="F285" s="17">
        <f>AVERAGE(Table143690117171198152154160[[#This Row],[Teste 1]:[Teste 3]])</f>
        <v>10000000</v>
      </c>
      <c r="G285" s="16"/>
      <c r="H285" s="16" t="s">
        <v>16</v>
      </c>
      <c r="I285" s="16" t="s">
        <v>4</v>
      </c>
      <c r="J285" s="17">
        <v>10000000</v>
      </c>
      <c r="K285" s="17">
        <v>10000000</v>
      </c>
      <c r="L285" s="17">
        <v>10000000</v>
      </c>
      <c r="M285" s="17">
        <f>AVERAGE(Table143690117171198152154160172[[#This Row],[Teste 1]:[Teste 3]])</f>
        <v>10000000</v>
      </c>
      <c r="N285" s="16"/>
      <c r="O285" s="16" t="s">
        <v>16</v>
      </c>
      <c r="P285" s="16" t="s">
        <v>4</v>
      </c>
      <c r="Q285" s="17">
        <v>10000000</v>
      </c>
      <c r="R285" s="17">
        <v>10000000</v>
      </c>
      <c r="S285" s="17">
        <v>10000000</v>
      </c>
      <c r="T285" s="17">
        <f>AVERAGE(Table143690117171198152154160184[[#This Row],[Teste 1]:[Teste 3]])</f>
        <v>10000000</v>
      </c>
    </row>
    <row r="286" spans="1:20" x14ac:dyDescent="0.25">
      <c r="A286" s="16" t="s">
        <v>16</v>
      </c>
      <c r="B286" s="16" t="s">
        <v>5</v>
      </c>
      <c r="C286" s="17">
        <v>37378.867399180599</v>
      </c>
      <c r="D286" s="17">
        <v>45758.750291750002</v>
      </c>
      <c r="E286" s="17">
        <v>39887.652399180603</v>
      </c>
      <c r="F286" s="17">
        <f>AVERAGE(Table143690117171198152154160[[#This Row],[Teste 1]:[Teste 3]])</f>
        <v>41008.423363370406</v>
      </c>
      <c r="G286" s="16"/>
      <c r="H286" s="16" t="s">
        <v>16</v>
      </c>
      <c r="I286" s="16" t="s">
        <v>5</v>
      </c>
      <c r="J286" s="17">
        <v>2046.65</v>
      </c>
      <c r="K286" s="17">
        <v>2062.89</v>
      </c>
      <c r="L286" s="17">
        <v>2051.39</v>
      </c>
      <c r="M286" s="17">
        <f>AVERAGE(Table143690117171198152154160172[[#This Row],[Teste 1]:[Teste 3]])</f>
        <v>2053.6433333333334</v>
      </c>
      <c r="N286" s="16"/>
      <c r="O286" s="16" t="s">
        <v>16</v>
      </c>
      <c r="P286" s="16" t="s">
        <v>5</v>
      </c>
      <c r="Q286" s="17">
        <v>2496.9115618999999</v>
      </c>
      <c r="R286" s="17">
        <v>2516.7362171999998</v>
      </c>
      <c r="S286" s="17">
        <v>2502.6965836999998</v>
      </c>
      <c r="T286" s="17">
        <f>AVERAGE(Table143690117171198152154160184[[#This Row],[Teste 1]:[Teste 3]])</f>
        <v>2505.448120933333</v>
      </c>
    </row>
    <row r="287" spans="1:20" x14ac:dyDescent="0.25">
      <c r="A287" s="16" t="s">
        <v>16</v>
      </c>
      <c r="B287" s="16" t="s">
        <v>6</v>
      </c>
      <c r="C287" s="17">
        <v>78</v>
      </c>
      <c r="D287" s="17">
        <v>76</v>
      </c>
      <c r="E287" s="17">
        <v>77</v>
      </c>
      <c r="F287" s="17">
        <f>AVERAGE(Table143690117171198152154160[[#This Row],[Teste 1]:[Teste 3]])</f>
        <v>77</v>
      </c>
      <c r="G287" s="16"/>
      <c r="H287" s="16" t="s">
        <v>16</v>
      </c>
      <c r="I287" s="16" t="s">
        <v>6</v>
      </c>
      <c r="J287" s="17">
        <v>83</v>
      </c>
      <c r="K287" s="17">
        <v>85</v>
      </c>
      <c r="L287" s="17">
        <v>82</v>
      </c>
      <c r="M287" s="17">
        <f>AVERAGE(Table143690117171198152154160172[[#This Row],[Teste 1]:[Teste 3]])</f>
        <v>83.333333333333329</v>
      </c>
      <c r="N287" s="16"/>
      <c r="O287" s="16" t="s">
        <v>16</v>
      </c>
      <c r="P287" s="16" t="s">
        <v>6</v>
      </c>
      <c r="Q287" s="17">
        <v>102</v>
      </c>
      <c r="R287" s="17">
        <v>104</v>
      </c>
      <c r="S287" s="17">
        <v>100</v>
      </c>
      <c r="T287" s="17">
        <f>AVERAGE(Table143690117171198152154160184[[#This Row],[Teste 1]:[Teste 3]])</f>
        <v>102</v>
      </c>
    </row>
    <row r="288" spans="1:20" x14ac:dyDescent="0.25">
      <c r="A288" s="16" t="s">
        <v>16</v>
      </c>
      <c r="B288" s="16" t="s">
        <v>7</v>
      </c>
      <c r="C288" s="17">
        <v>10002431</v>
      </c>
      <c r="D288" s="17">
        <v>9969663</v>
      </c>
      <c r="E288" s="17">
        <v>9999857</v>
      </c>
      <c r="F288" s="17">
        <f>AVERAGE(Table143690117171198152154160[[#This Row],[Teste 1]:[Teste 3]])</f>
        <v>9990650.333333334</v>
      </c>
      <c r="G288" s="16"/>
      <c r="H288" s="16" t="s">
        <v>16</v>
      </c>
      <c r="I288" s="16" t="s">
        <v>7</v>
      </c>
      <c r="J288" s="17">
        <v>1563697</v>
      </c>
      <c r="K288" s="17">
        <v>1759264</v>
      </c>
      <c r="L288" s="17">
        <v>2214189</v>
      </c>
      <c r="M288" s="17">
        <f>AVERAGE(Table143690117171198152154160172[[#This Row],[Teste 1]:[Teste 3]])</f>
        <v>1845716.6666666667</v>
      </c>
      <c r="N288" s="16"/>
      <c r="O288" s="16" t="s">
        <v>16</v>
      </c>
      <c r="P288" s="16" t="s">
        <v>7</v>
      </c>
      <c r="Q288" s="17">
        <v>1907711</v>
      </c>
      <c r="R288" s="17">
        <v>2146303</v>
      </c>
      <c r="S288" s="17">
        <v>2701311</v>
      </c>
      <c r="T288" s="17">
        <f>AVERAGE(Table143690117171198152154160184[[#This Row],[Teste 1]:[Teste 3]])</f>
        <v>2251775</v>
      </c>
    </row>
    <row r="289" spans="1:20" x14ac:dyDescent="0.25">
      <c r="A289" s="16" t="s">
        <v>16</v>
      </c>
      <c r="B289" s="16" t="s">
        <v>8</v>
      </c>
      <c r="C289" s="17">
        <v>87679</v>
      </c>
      <c r="D289" s="17">
        <v>122623</v>
      </c>
      <c r="E289" s="17">
        <v>102698</v>
      </c>
      <c r="F289" s="17">
        <f>AVERAGE(Table143690117171198152154160[[#This Row],[Teste 1]:[Teste 3]])</f>
        <v>104333.33333333333</v>
      </c>
      <c r="G289" s="16"/>
      <c r="H289" s="16" t="s">
        <v>16</v>
      </c>
      <c r="I289" s="16" t="s">
        <v>8</v>
      </c>
      <c r="J289" s="17">
        <v>7494</v>
      </c>
      <c r="K289" s="17">
        <v>7513</v>
      </c>
      <c r="L289" s="17">
        <v>7645</v>
      </c>
      <c r="M289" s="17">
        <f>AVERAGE(Table143690117171198152154160172[[#This Row],[Teste 1]:[Teste 3]])</f>
        <v>7550.666666666667</v>
      </c>
      <c r="N289" s="16"/>
      <c r="O289" s="16" t="s">
        <v>16</v>
      </c>
      <c r="P289" s="16" t="s">
        <v>8</v>
      </c>
      <c r="Q289" s="17">
        <v>9143</v>
      </c>
      <c r="R289" s="17">
        <v>9167</v>
      </c>
      <c r="S289" s="17">
        <v>9327</v>
      </c>
      <c r="T289" s="17">
        <f>AVERAGE(Table143690117171198152154160184[[#This Row],[Teste 1]:[Teste 3]])</f>
        <v>9212.3333333333339</v>
      </c>
    </row>
    <row r="290" spans="1:20" x14ac:dyDescent="0.25">
      <c r="A290" s="16" t="s">
        <v>16</v>
      </c>
      <c r="B290" s="16" t="s">
        <v>9</v>
      </c>
      <c r="C290" s="17">
        <v>252543</v>
      </c>
      <c r="D290" s="17">
        <v>315647</v>
      </c>
      <c r="E290" s="17">
        <v>298654</v>
      </c>
      <c r="F290" s="17">
        <f>AVERAGE(Table143690117171198152154160[[#This Row],[Teste 1]:[Teste 3]])</f>
        <v>288948</v>
      </c>
      <c r="G290" s="16"/>
      <c r="H290" s="16" t="s">
        <v>16</v>
      </c>
      <c r="I290" s="16" t="s">
        <v>9</v>
      </c>
      <c r="J290" s="17">
        <v>19894</v>
      </c>
      <c r="K290" s="17">
        <v>18595</v>
      </c>
      <c r="L290" s="17">
        <v>18635</v>
      </c>
      <c r="M290" s="17">
        <f>AVERAGE(Table143690117171198152154160172[[#This Row],[Teste 1]:[Teste 3]])</f>
        <v>19041.333333333332</v>
      </c>
      <c r="N290" s="16"/>
      <c r="O290" s="16" t="s">
        <v>16</v>
      </c>
      <c r="P290" s="16" t="s">
        <v>9</v>
      </c>
      <c r="Q290" s="17">
        <v>24271</v>
      </c>
      <c r="R290" s="17">
        <v>22687</v>
      </c>
      <c r="S290" s="17">
        <v>22735</v>
      </c>
      <c r="T290" s="17">
        <f>AVERAGE(Table143690117171198152154160184[[#This Row],[Teste 1]:[Teste 3]])</f>
        <v>23231</v>
      </c>
    </row>
    <row r="291" spans="1:20" x14ac:dyDescent="0.25">
      <c r="A291" s="16" t="s">
        <v>16</v>
      </c>
      <c r="B291" s="16" t="s">
        <v>11</v>
      </c>
      <c r="C291" s="17">
        <v>10000000</v>
      </c>
      <c r="D291" s="17">
        <v>10000000</v>
      </c>
      <c r="E291" s="17">
        <v>10000000</v>
      </c>
      <c r="F291" s="17">
        <f>AVERAGE(Table143690117171198152154160[[#This Row],[Teste 1]:[Teste 3]])</f>
        <v>10000000</v>
      </c>
      <c r="G291" s="16"/>
      <c r="H291" s="16" t="s">
        <v>16</v>
      </c>
      <c r="I291" s="16" t="s">
        <v>11</v>
      </c>
      <c r="J291" s="17">
        <v>10000000</v>
      </c>
      <c r="K291" s="17">
        <v>10000000</v>
      </c>
      <c r="L291" s="17">
        <v>10000000</v>
      </c>
      <c r="M291" s="17">
        <f>AVERAGE(Table143690117171198152154160172[[#This Row],[Teste 1]:[Teste 3]])</f>
        <v>10000000</v>
      </c>
      <c r="N291" s="16"/>
      <c r="O291" s="16" t="s">
        <v>16</v>
      </c>
      <c r="P291" s="16" t="s">
        <v>11</v>
      </c>
      <c r="Q291" s="17">
        <v>10000000</v>
      </c>
      <c r="R291" s="17">
        <v>10000000</v>
      </c>
      <c r="S291" s="17">
        <v>10000000</v>
      </c>
      <c r="T291" s="17">
        <f>AVERAGE(Table143690117171198152154160184[[#This Row],[Teste 1]:[Teste 3]])</f>
        <v>10000000</v>
      </c>
    </row>
    <row r="292" spans="1:20" x14ac:dyDescent="0.25">
      <c r="A292" s="16" t="s">
        <v>72</v>
      </c>
      <c r="B292" s="16" t="s">
        <v>4</v>
      </c>
      <c r="C292" s="17">
        <v>4998743</v>
      </c>
      <c r="D292" s="17">
        <v>5000802</v>
      </c>
      <c r="E292" s="17">
        <v>5000000</v>
      </c>
      <c r="F292" s="17">
        <f>AVERAGE(Table143690117171198152154160[[#This Row],[Teste 1]:[Teste 3]])</f>
        <v>4999848.333333333</v>
      </c>
      <c r="G292" s="16"/>
      <c r="H292" s="16" t="s">
        <v>72</v>
      </c>
      <c r="I292" s="16" t="s">
        <v>4</v>
      </c>
      <c r="J292" s="17">
        <v>4997877</v>
      </c>
      <c r="K292" s="17">
        <v>4999170</v>
      </c>
      <c r="L292" s="17">
        <v>4958747</v>
      </c>
      <c r="M292" s="17">
        <f>AVERAGE(Table143690117171198152154160172[[#This Row],[Teste 1]:[Teste 3]])</f>
        <v>4985264.666666667</v>
      </c>
      <c r="N292" s="16"/>
      <c r="O292" s="16" t="s">
        <v>72</v>
      </c>
      <c r="P292" s="16" t="s">
        <v>4</v>
      </c>
      <c r="Q292" s="17">
        <v>4999019</v>
      </c>
      <c r="R292" s="17">
        <v>4999810</v>
      </c>
      <c r="S292" s="17">
        <v>4998478</v>
      </c>
      <c r="T292" s="17">
        <f>AVERAGE(Table143690117171198152154160184[[#This Row],[Teste 1]:[Teste 3]])</f>
        <v>4999102.333333333</v>
      </c>
    </row>
    <row r="293" spans="1:20" x14ac:dyDescent="0.25">
      <c r="A293" s="16" t="s">
        <v>72</v>
      </c>
      <c r="B293" s="16" t="s">
        <v>5</v>
      </c>
      <c r="C293" s="17">
        <v>38263.335439529401</v>
      </c>
      <c r="D293" s="17">
        <v>46215.550272536202</v>
      </c>
      <c r="E293" s="17">
        <v>44658.35</v>
      </c>
      <c r="F293" s="17">
        <f>AVERAGE(Table143690117171198152154160[[#This Row],[Teste 1]:[Teste 3]])</f>
        <v>43045.745237355201</v>
      </c>
      <c r="G293" s="16"/>
      <c r="H293" s="16" t="s">
        <v>72</v>
      </c>
      <c r="I293" s="16" t="s">
        <v>5</v>
      </c>
      <c r="J293" s="17">
        <v>2410.14</v>
      </c>
      <c r="K293" s="17">
        <v>2447.09</v>
      </c>
      <c r="L293" s="17">
        <v>2425.21</v>
      </c>
      <c r="M293" s="17">
        <f>AVERAGE(Table143690117171198152154160172[[#This Row],[Teste 1]:[Teste 3]])</f>
        <v>2427.48</v>
      </c>
      <c r="N293" s="16"/>
      <c r="O293" s="16" t="s">
        <v>72</v>
      </c>
      <c r="P293" s="16" t="s">
        <v>5</v>
      </c>
      <c r="Q293" s="17">
        <v>2940.3721492156701</v>
      </c>
      <c r="R293" s="17">
        <v>2985.4549590884399</v>
      </c>
      <c r="S293" s="17">
        <v>2958.7498452528898</v>
      </c>
      <c r="T293" s="17">
        <f>AVERAGE(Table143690117171198152154160184[[#This Row],[Teste 1]:[Teste 3]])</f>
        <v>2961.5256511856664</v>
      </c>
    </row>
    <row r="294" spans="1:20" x14ac:dyDescent="0.25">
      <c r="A294" s="16" t="s">
        <v>72</v>
      </c>
      <c r="B294" s="16" t="s">
        <v>6</v>
      </c>
      <c r="C294" s="17">
        <v>194</v>
      </c>
      <c r="D294" s="17">
        <v>219</v>
      </c>
      <c r="E294" s="17">
        <v>201</v>
      </c>
      <c r="F294" s="17">
        <f>AVERAGE(Table143690117171198152154160[[#This Row],[Teste 1]:[Teste 3]])</f>
        <v>204.66666666666666</v>
      </c>
      <c r="G294" s="16"/>
      <c r="H294" s="16" t="s">
        <v>72</v>
      </c>
      <c r="I294" s="16" t="s">
        <v>6</v>
      </c>
      <c r="J294" s="17">
        <v>261</v>
      </c>
      <c r="K294" s="17">
        <v>273</v>
      </c>
      <c r="L294" s="17">
        <v>260</v>
      </c>
      <c r="M294" s="17">
        <f>AVERAGE(Table143690117171198152154160172[[#This Row],[Teste 1]:[Teste 3]])</f>
        <v>264.66666666666669</v>
      </c>
      <c r="N294" s="16"/>
      <c r="O294" s="16" t="s">
        <v>72</v>
      </c>
      <c r="P294" s="16" t="s">
        <v>6</v>
      </c>
      <c r="Q294" s="17">
        <v>319</v>
      </c>
      <c r="R294" s="17">
        <v>334</v>
      </c>
      <c r="S294" s="17">
        <v>318</v>
      </c>
      <c r="T294" s="17">
        <f>AVERAGE(Table143690117171198152154160184[[#This Row],[Teste 1]:[Teste 3]])</f>
        <v>323.66666666666669</v>
      </c>
    </row>
    <row r="295" spans="1:20" x14ac:dyDescent="0.25">
      <c r="A295" s="16" t="s">
        <v>72</v>
      </c>
      <c r="B295" s="16" t="s">
        <v>7</v>
      </c>
      <c r="C295" s="17">
        <v>11141119</v>
      </c>
      <c r="D295" s="17">
        <v>12148735</v>
      </c>
      <c r="E295" s="17">
        <v>11644259</v>
      </c>
      <c r="F295" s="17">
        <f>AVERAGE(Table143690117171198152154160[[#This Row],[Teste 1]:[Teste 3]])</f>
        <v>11644704.333333334</v>
      </c>
      <c r="G295" s="16"/>
      <c r="H295" s="16" t="s">
        <v>72</v>
      </c>
      <c r="I295" s="16" t="s">
        <v>7</v>
      </c>
      <c r="J295" s="17">
        <v>2558662</v>
      </c>
      <c r="K295" s="17">
        <v>2313232</v>
      </c>
      <c r="L295" s="17">
        <v>2214189</v>
      </c>
      <c r="M295" s="17">
        <f>AVERAGE(Table143690117171198152154160172[[#This Row],[Teste 1]:[Teste 3]])</f>
        <v>2362027.6666666665</v>
      </c>
      <c r="N295" s="16"/>
      <c r="O295" s="16" t="s">
        <v>72</v>
      </c>
      <c r="P295" s="16" t="s">
        <v>7</v>
      </c>
      <c r="Q295" s="17">
        <v>1901567</v>
      </c>
      <c r="R295" s="17">
        <v>2822143</v>
      </c>
      <c r="S295" s="17">
        <v>2701311</v>
      </c>
      <c r="T295" s="17">
        <f>AVERAGE(Table143690117171198152154160184[[#This Row],[Teste 1]:[Teste 3]])</f>
        <v>2475007</v>
      </c>
    </row>
    <row r="296" spans="1:20" x14ac:dyDescent="0.25">
      <c r="A296" s="16" t="s">
        <v>72</v>
      </c>
      <c r="B296" s="16" t="s">
        <v>8</v>
      </c>
      <c r="C296" s="17">
        <v>89087</v>
      </c>
      <c r="D296" s="17">
        <v>123391</v>
      </c>
      <c r="E296" s="17">
        <v>106879</v>
      </c>
      <c r="F296" s="17">
        <f>AVERAGE(Table143690117171198152154160[[#This Row],[Teste 1]:[Teste 3]])</f>
        <v>106452.33333333333</v>
      </c>
      <c r="G296" s="16"/>
      <c r="H296" s="16" t="s">
        <v>72</v>
      </c>
      <c r="I296" s="16" t="s">
        <v>8</v>
      </c>
      <c r="J296" s="17">
        <v>8720</v>
      </c>
      <c r="K296" s="17">
        <v>8759</v>
      </c>
      <c r="L296" s="17">
        <v>8832</v>
      </c>
      <c r="M296" s="17">
        <f>AVERAGE(Table143690117171198152154160172[[#This Row],[Teste 1]:[Teste 3]])</f>
        <v>8770.3333333333339</v>
      </c>
      <c r="N296" s="16"/>
      <c r="O296" s="16" t="s">
        <v>72</v>
      </c>
      <c r="P296" s="16" t="s">
        <v>8</v>
      </c>
      <c r="Q296" s="17">
        <v>10639</v>
      </c>
      <c r="R296" s="17">
        <v>10687</v>
      </c>
      <c r="S296" s="17">
        <v>10775</v>
      </c>
      <c r="T296" s="17">
        <f>AVERAGE(Table143690117171198152154160184[[#This Row],[Teste 1]:[Teste 3]])</f>
        <v>10700.333333333334</v>
      </c>
    </row>
    <row r="297" spans="1:20" x14ac:dyDescent="0.25">
      <c r="A297" s="16" t="s">
        <v>72</v>
      </c>
      <c r="B297" s="16" t="s">
        <v>9</v>
      </c>
      <c r="C297" s="17">
        <v>254719</v>
      </c>
      <c r="D297" s="17">
        <v>315391</v>
      </c>
      <c r="E297" s="17">
        <v>285158</v>
      </c>
      <c r="F297" s="17">
        <f>AVERAGE(Table143690117171198152154160[[#This Row],[Teste 1]:[Teste 3]])</f>
        <v>285089.33333333331</v>
      </c>
      <c r="G297" s="16"/>
      <c r="H297" s="16" t="s">
        <v>72</v>
      </c>
      <c r="I297" s="16" t="s">
        <v>9</v>
      </c>
      <c r="J297" s="17">
        <v>20694</v>
      </c>
      <c r="K297" s="17">
        <v>19369</v>
      </c>
      <c r="L297" s="17">
        <v>19462</v>
      </c>
      <c r="M297" s="17">
        <f>AVERAGE(Table143690117171198152154160172[[#This Row],[Teste 1]:[Teste 3]])</f>
        <v>19841.666666666668</v>
      </c>
      <c r="N297" s="16"/>
      <c r="O297" s="16" t="s">
        <v>72</v>
      </c>
      <c r="P297" s="16" t="s">
        <v>9</v>
      </c>
      <c r="Q297" s="17">
        <v>25247</v>
      </c>
      <c r="R297" s="17">
        <v>23631</v>
      </c>
      <c r="S297" s="17">
        <v>23743</v>
      </c>
      <c r="T297" s="17">
        <f>AVERAGE(Table143690117171198152154160184[[#This Row],[Teste 1]:[Teste 3]])</f>
        <v>24207</v>
      </c>
    </row>
    <row r="298" spans="1:20" x14ac:dyDescent="0.25">
      <c r="A298" s="16" t="s">
        <v>3</v>
      </c>
      <c r="B298" s="16" t="s">
        <v>4</v>
      </c>
      <c r="C298" s="17">
        <v>6</v>
      </c>
      <c r="D298" s="17">
        <v>6</v>
      </c>
      <c r="E298" s="17">
        <v>6</v>
      </c>
      <c r="F298" s="17">
        <f>AVERAGE(Table143690117171198152154160[[#This Row],[Teste 1]:[Teste 3]])</f>
        <v>6</v>
      </c>
      <c r="G298" s="16"/>
      <c r="H298" s="16" t="s">
        <v>3</v>
      </c>
      <c r="I298" s="16" t="s">
        <v>4</v>
      </c>
      <c r="J298" s="17">
        <v>6</v>
      </c>
      <c r="K298" s="17">
        <v>6</v>
      </c>
      <c r="L298" s="17">
        <v>6</v>
      </c>
      <c r="M298" s="17">
        <f>AVERAGE(Table143690117171198152154160172[[#This Row],[Teste 1]:[Teste 3]])</f>
        <v>6</v>
      </c>
      <c r="N298" s="16"/>
      <c r="O298" s="16" t="s">
        <v>3</v>
      </c>
      <c r="P298" s="16" t="s">
        <v>4</v>
      </c>
      <c r="Q298" s="17">
        <v>6</v>
      </c>
      <c r="R298" s="17">
        <v>6</v>
      </c>
      <c r="S298" s="17">
        <v>6</v>
      </c>
      <c r="T298" s="17">
        <f>AVERAGE(Table143690117171198152154160184[[#This Row],[Teste 1]:[Teste 3]])</f>
        <v>6</v>
      </c>
    </row>
    <row r="299" spans="1:20" x14ac:dyDescent="0.25">
      <c r="A299" s="16" t="s">
        <v>3</v>
      </c>
      <c r="B299" s="16" t="s">
        <v>5</v>
      </c>
      <c r="C299" s="17">
        <v>0.66666666666666596</v>
      </c>
      <c r="D299" s="17">
        <v>0.83333333333333304</v>
      </c>
      <c r="E299" s="17">
        <v>0.33333333300000001</v>
      </c>
      <c r="F299" s="17">
        <f>AVERAGE(Table143690117171198152154160[[#This Row],[Teste 1]:[Teste 3]])</f>
        <v>0.61111111099999971</v>
      </c>
      <c r="G299" s="16"/>
      <c r="H299" s="16" t="s">
        <v>3</v>
      </c>
      <c r="I299" s="16" t="s">
        <v>5</v>
      </c>
      <c r="J299" s="17">
        <v>2</v>
      </c>
      <c r="K299" s="17">
        <v>2.6666666666666599</v>
      </c>
      <c r="L299" s="17">
        <v>2.1666666666666599</v>
      </c>
      <c r="M299" s="17">
        <f>AVERAGE(Table143690117171198152154160172[[#This Row],[Teste 1]:[Teste 3]])</f>
        <v>2.2777777777777732</v>
      </c>
      <c r="N299" s="16"/>
      <c r="O299" s="16" t="s">
        <v>3</v>
      </c>
      <c r="P299" s="16" t="s">
        <v>5</v>
      </c>
      <c r="Q299" s="17">
        <v>7388.8333333333303</v>
      </c>
      <c r="R299" s="17">
        <v>5642.1666666666597</v>
      </c>
      <c r="S299" s="17">
        <v>2914</v>
      </c>
      <c r="T299" s="17">
        <f>AVERAGE(Table143690117171198152154160184[[#This Row],[Teste 1]:[Teste 3]])</f>
        <v>5314.9999999999964</v>
      </c>
    </row>
    <row r="300" spans="1:20" x14ac:dyDescent="0.25">
      <c r="A300" s="16" t="s">
        <v>3</v>
      </c>
      <c r="B300" s="16" t="s">
        <v>6</v>
      </c>
      <c r="C300" s="17">
        <v>0</v>
      </c>
      <c r="D300" s="17">
        <v>0</v>
      </c>
      <c r="E300" s="17">
        <v>0</v>
      </c>
      <c r="F300" s="17">
        <f>AVERAGE(Table143690117171198152154160[[#This Row],[Teste 1]:[Teste 3]])</f>
        <v>0</v>
      </c>
      <c r="G300" s="16"/>
      <c r="H300" s="16" t="s">
        <v>3</v>
      </c>
      <c r="I300" s="16" t="s">
        <v>6</v>
      </c>
      <c r="J300" s="17">
        <v>1</v>
      </c>
      <c r="K300" s="17">
        <v>1</v>
      </c>
      <c r="L300" s="17">
        <v>1</v>
      </c>
      <c r="M300" s="17">
        <f>AVERAGE(Table143690117171198152154160172[[#This Row],[Teste 1]:[Teste 3]])</f>
        <v>1</v>
      </c>
      <c r="N300" s="16"/>
      <c r="O300" s="16" t="s">
        <v>3</v>
      </c>
      <c r="P300" s="16" t="s">
        <v>6</v>
      </c>
      <c r="Q300" s="17">
        <v>1</v>
      </c>
      <c r="R300" s="17">
        <v>1</v>
      </c>
      <c r="S300" s="17">
        <v>1</v>
      </c>
      <c r="T300" s="17">
        <f>AVERAGE(Table143690117171198152154160184[[#This Row],[Teste 1]:[Teste 3]])</f>
        <v>1</v>
      </c>
    </row>
    <row r="301" spans="1:20" x14ac:dyDescent="0.25">
      <c r="A301" s="16" t="s">
        <v>3</v>
      </c>
      <c r="B301" s="16" t="s">
        <v>7</v>
      </c>
      <c r="C301" s="17">
        <v>2</v>
      </c>
      <c r="D301" s="17">
        <v>2</v>
      </c>
      <c r="E301" s="17">
        <v>2</v>
      </c>
      <c r="F301" s="17">
        <f>AVERAGE(Table143690117171198152154160[[#This Row],[Teste 1]:[Teste 3]])</f>
        <v>2</v>
      </c>
      <c r="G301" s="16"/>
      <c r="H301" s="16" t="s">
        <v>3</v>
      </c>
      <c r="I301" s="16" t="s">
        <v>7</v>
      </c>
      <c r="J301" s="17">
        <v>6</v>
      </c>
      <c r="K301" s="17">
        <v>11</v>
      </c>
      <c r="L301" s="17">
        <v>6</v>
      </c>
      <c r="M301" s="17">
        <f>AVERAGE(Table143690117171198152154160172[[#This Row],[Teste 1]:[Teste 3]])</f>
        <v>7.666666666666667</v>
      </c>
      <c r="N301" s="16"/>
      <c r="O301" s="16" t="s">
        <v>3</v>
      </c>
      <c r="P301" s="16" t="s">
        <v>7</v>
      </c>
      <c r="Q301" s="17">
        <v>44319</v>
      </c>
      <c r="R301" s="17">
        <v>33823</v>
      </c>
      <c r="S301" s="17">
        <v>17199</v>
      </c>
      <c r="T301" s="17">
        <f>AVERAGE(Table143690117171198152154160184[[#This Row],[Teste 1]:[Teste 3]])</f>
        <v>31780.333333333332</v>
      </c>
    </row>
    <row r="302" spans="1:20" x14ac:dyDescent="0.25">
      <c r="A302" s="16" t="s">
        <v>3</v>
      </c>
      <c r="B302" s="16" t="s">
        <v>8</v>
      </c>
      <c r="C302" s="17">
        <v>2</v>
      </c>
      <c r="D302" s="17">
        <v>2</v>
      </c>
      <c r="E302" s="17">
        <v>2</v>
      </c>
      <c r="F302" s="17">
        <f>AVERAGE(Table143690117171198152154160[[#This Row],[Teste 1]:[Teste 3]])</f>
        <v>2</v>
      </c>
      <c r="G302" s="16"/>
      <c r="H302" s="16" t="s">
        <v>3</v>
      </c>
      <c r="I302" s="16" t="s">
        <v>8</v>
      </c>
      <c r="J302" s="17">
        <v>6</v>
      </c>
      <c r="K302" s="17">
        <v>11</v>
      </c>
      <c r="L302" s="17">
        <v>6</v>
      </c>
      <c r="M302" s="17">
        <f>AVERAGE(Table143690117171198152154160172[[#This Row],[Teste 1]:[Teste 3]])</f>
        <v>7.666666666666667</v>
      </c>
      <c r="N302" s="16"/>
      <c r="O302" s="16" t="s">
        <v>3</v>
      </c>
      <c r="P302" s="16" t="s">
        <v>8</v>
      </c>
      <c r="Q302" s="17">
        <v>44319</v>
      </c>
      <c r="R302" s="17">
        <v>33823</v>
      </c>
      <c r="S302" s="17">
        <v>17199</v>
      </c>
      <c r="T302" s="17">
        <f>AVERAGE(Table143690117171198152154160184[[#This Row],[Teste 1]:[Teste 3]])</f>
        <v>31780.333333333332</v>
      </c>
    </row>
    <row r="303" spans="1:20" x14ac:dyDescent="0.25">
      <c r="A303" s="16" t="s">
        <v>3</v>
      </c>
      <c r="B303" s="16" t="s">
        <v>9</v>
      </c>
      <c r="C303" s="17">
        <v>2</v>
      </c>
      <c r="D303" s="17">
        <v>2</v>
      </c>
      <c r="E303" s="17">
        <v>2</v>
      </c>
      <c r="F303" s="17">
        <f>AVERAGE(Table143690117171198152154160[[#This Row],[Teste 1]:[Teste 3]])</f>
        <v>2</v>
      </c>
      <c r="G303" s="16"/>
      <c r="H303" s="16" t="s">
        <v>3</v>
      </c>
      <c r="I303" s="16" t="s">
        <v>9</v>
      </c>
      <c r="J303" s="17">
        <v>6</v>
      </c>
      <c r="K303" s="17">
        <v>11</v>
      </c>
      <c r="L303" s="17">
        <v>6</v>
      </c>
      <c r="M303" s="17">
        <f>AVERAGE(Table143690117171198152154160172[[#This Row],[Teste 1]:[Teste 3]])</f>
        <v>7.666666666666667</v>
      </c>
      <c r="N303" s="16"/>
      <c r="O303" s="16" t="s">
        <v>3</v>
      </c>
      <c r="P303" s="16" t="s">
        <v>9</v>
      </c>
      <c r="Q303" s="17">
        <v>44319</v>
      </c>
      <c r="R303" s="17">
        <v>33823</v>
      </c>
      <c r="S303" s="17">
        <v>17199</v>
      </c>
      <c r="T303" s="17">
        <f>AVERAGE(Table143690117171198152154160184[[#This Row],[Teste 1]:[Teste 3]])</f>
        <v>31780.333333333332</v>
      </c>
    </row>
    <row r="304" spans="1:20" x14ac:dyDescent="0.25">
      <c r="A304" s="16" t="s">
        <v>17</v>
      </c>
      <c r="B304" s="16" t="s">
        <v>4</v>
      </c>
      <c r="C304" s="17">
        <v>4998743</v>
      </c>
      <c r="D304" s="17">
        <v>5000802</v>
      </c>
      <c r="E304" s="17">
        <v>5000000</v>
      </c>
      <c r="F304" s="17">
        <f>AVERAGE(Table143690117171198152154160[[#This Row],[Teste 1]:[Teste 3]])</f>
        <v>4999848.333333333</v>
      </c>
      <c r="G304" s="16"/>
      <c r="H304" s="16" t="s">
        <v>17</v>
      </c>
      <c r="I304" s="16" t="s">
        <v>4</v>
      </c>
      <c r="J304" s="17">
        <v>4997877</v>
      </c>
      <c r="K304" s="17">
        <v>4999170</v>
      </c>
      <c r="L304" s="17">
        <v>4958747</v>
      </c>
      <c r="M304" s="17">
        <f>AVERAGE(Table143690117171198152154160172[[#This Row],[Teste 1]:[Teste 3]])</f>
        <v>4985264.666666667</v>
      </c>
      <c r="N304" s="16"/>
      <c r="O304" s="16" t="s">
        <v>17</v>
      </c>
      <c r="P304" s="16" t="s">
        <v>4</v>
      </c>
      <c r="Q304" s="17">
        <v>4999019</v>
      </c>
      <c r="R304" s="17">
        <v>4999810</v>
      </c>
      <c r="S304" s="17">
        <v>4998478</v>
      </c>
      <c r="T304" s="17">
        <f>AVERAGE(Table143690117171198152154160184[[#This Row],[Teste 1]:[Teste 3]])</f>
        <v>4999102.333333333</v>
      </c>
    </row>
    <row r="305" spans="1:20" x14ac:dyDescent="0.25">
      <c r="A305" s="16" t="s">
        <v>17</v>
      </c>
      <c r="B305" s="16" t="s">
        <v>5</v>
      </c>
      <c r="C305" s="17">
        <v>793.782660560865</v>
      </c>
      <c r="D305" s="17">
        <v>451.76528004907999</v>
      </c>
      <c r="E305" s="17">
        <v>658.32569799999999</v>
      </c>
      <c r="F305" s="17">
        <f>AVERAGE(Table143690117171198152154160[[#This Row],[Teste 1]:[Teste 3]])</f>
        <v>634.62454620331494</v>
      </c>
      <c r="G305" s="16"/>
      <c r="H305" s="16" t="s">
        <v>17</v>
      </c>
      <c r="I305" s="16" t="s">
        <v>5</v>
      </c>
      <c r="J305" s="17">
        <v>361.48</v>
      </c>
      <c r="K305" s="17">
        <v>380.37</v>
      </c>
      <c r="L305" s="17">
        <v>372.56</v>
      </c>
      <c r="M305" s="17">
        <f>AVERAGE(Table143690117171198152154160172[[#This Row],[Teste 1]:[Teste 3]])</f>
        <v>371.47</v>
      </c>
      <c r="N305" s="16"/>
      <c r="O305" s="16" t="s">
        <v>17</v>
      </c>
      <c r="P305" s="16" t="s">
        <v>5</v>
      </c>
      <c r="Q305" s="17">
        <v>441.00494657051701</v>
      </c>
      <c r="R305" s="17">
        <v>464.05773259383801</v>
      </c>
      <c r="S305" s="17">
        <v>454.527684827261</v>
      </c>
      <c r="T305" s="17">
        <f>AVERAGE(Table143690117171198152154160184[[#This Row],[Teste 1]:[Teste 3]])</f>
        <v>453.19678799720532</v>
      </c>
    </row>
    <row r="306" spans="1:20" x14ac:dyDescent="0.25">
      <c r="A306" s="16" t="s">
        <v>17</v>
      </c>
      <c r="B306" s="16" t="s">
        <v>6</v>
      </c>
      <c r="C306" s="17">
        <v>113</v>
      </c>
      <c r="D306" s="17">
        <v>115</v>
      </c>
      <c r="E306" s="17">
        <v>114</v>
      </c>
      <c r="F306" s="17">
        <f>AVERAGE(Table143690117171198152154160[[#This Row],[Teste 1]:[Teste 3]])</f>
        <v>114</v>
      </c>
      <c r="G306" s="16"/>
      <c r="H306" s="16" t="s">
        <v>17</v>
      </c>
      <c r="I306" s="16" t="s">
        <v>6</v>
      </c>
      <c r="J306" s="17">
        <v>144</v>
      </c>
      <c r="K306" s="17">
        <v>155</v>
      </c>
      <c r="L306" s="17">
        <v>148</v>
      </c>
      <c r="M306" s="17">
        <f>AVERAGE(Table143690117171198152154160172[[#This Row],[Teste 1]:[Teste 3]])</f>
        <v>149</v>
      </c>
      <c r="N306" s="16"/>
      <c r="O306" s="16" t="s">
        <v>17</v>
      </c>
      <c r="P306" s="16" t="s">
        <v>6</v>
      </c>
      <c r="Q306" s="17">
        <v>175</v>
      </c>
      <c r="R306" s="17">
        <v>189</v>
      </c>
      <c r="S306" s="17">
        <v>180</v>
      </c>
      <c r="T306" s="17">
        <f>AVERAGE(Table143690117171198152154160184[[#This Row],[Teste 1]:[Teste 3]])</f>
        <v>181.33333333333334</v>
      </c>
    </row>
    <row r="307" spans="1:20" x14ac:dyDescent="0.25">
      <c r="A307" s="16" t="s">
        <v>17</v>
      </c>
      <c r="B307" s="16" t="s">
        <v>7</v>
      </c>
      <c r="C307" s="17">
        <v>6938623</v>
      </c>
      <c r="D307" s="17">
        <v>4419583</v>
      </c>
      <c r="E307" s="17">
        <v>5679526</v>
      </c>
      <c r="F307" s="17">
        <f>AVERAGE(Table143690117171198152154160[[#This Row],[Teste 1]:[Teste 3]])</f>
        <v>5679244</v>
      </c>
      <c r="G307" s="16"/>
      <c r="H307" s="16" t="s">
        <v>17</v>
      </c>
      <c r="I307" s="16" t="s">
        <v>7</v>
      </c>
      <c r="J307" s="17">
        <v>1496300</v>
      </c>
      <c r="K307" s="17">
        <v>1311553</v>
      </c>
      <c r="L307" s="17">
        <v>1494871</v>
      </c>
      <c r="M307" s="17">
        <f>AVERAGE(Table143690117171198152154160172[[#This Row],[Teste 1]:[Teste 3]])</f>
        <v>1434241.3333333333</v>
      </c>
      <c r="N307" s="16"/>
      <c r="O307" s="16" t="s">
        <v>17</v>
      </c>
      <c r="P307" s="16" t="s">
        <v>7</v>
      </c>
      <c r="Q307" s="17">
        <v>1215487</v>
      </c>
      <c r="R307" s="17">
        <v>2820095</v>
      </c>
      <c r="S307" s="17">
        <v>1823743</v>
      </c>
      <c r="T307" s="17">
        <f>AVERAGE(Table143690117171198152154160184[[#This Row],[Teste 1]:[Teste 3]])</f>
        <v>1953108.3333333333</v>
      </c>
    </row>
    <row r="308" spans="1:20" x14ac:dyDescent="0.25">
      <c r="A308" s="16" t="s">
        <v>17</v>
      </c>
      <c r="B308" s="16" t="s">
        <v>8</v>
      </c>
      <c r="C308" s="17">
        <v>2509</v>
      </c>
      <c r="D308" s="17">
        <v>841</v>
      </c>
      <c r="E308" s="17">
        <v>1059</v>
      </c>
      <c r="F308" s="17">
        <f>AVERAGE(Table143690117171198152154160[[#This Row],[Teste 1]:[Teste 3]])</f>
        <v>1469.6666666666667</v>
      </c>
      <c r="G308" s="16"/>
      <c r="H308" s="16" t="s">
        <v>17</v>
      </c>
      <c r="I308" s="16" t="s">
        <v>8</v>
      </c>
      <c r="J308" s="17">
        <v>424</v>
      </c>
      <c r="K308" s="17">
        <v>436</v>
      </c>
      <c r="L308" s="17">
        <v>476</v>
      </c>
      <c r="M308" s="17">
        <f>AVERAGE(Table143690117171198152154160172[[#This Row],[Teste 1]:[Teste 3]])</f>
        <v>445.33333333333331</v>
      </c>
      <c r="N308" s="16"/>
      <c r="O308" s="16" t="s">
        <v>17</v>
      </c>
      <c r="P308" s="16" t="s">
        <v>8</v>
      </c>
      <c r="Q308" s="17">
        <v>518</v>
      </c>
      <c r="R308" s="17">
        <v>531</v>
      </c>
      <c r="S308" s="17">
        <v>581</v>
      </c>
      <c r="T308" s="17">
        <f>AVERAGE(Table143690117171198152154160184[[#This Row],[Teste 1]:[Teste 3]])</f>
        <v>543.33333333333337</v>
      </c>
    </row>
    <row r="309" spans="1:20" x14ac:dyDescent="0.25">
      <c r="A309" s="16" t="s">
        <v>17</v>
      </c>
      <c r="B309" s="16" t="s">
        <v>9</v>
      </c>
      <c r="C309" s="17">
        <v>5527</v>
      </c>
      <c r="D309" s="17">
        <v>1564</v>
      </c>
      <c r="E309" s="17">
        <v>3546</v>
      </c>
      <c r="F309" s="17">
        <f>AVERAGE(Table143690117171198152154160[[#This Row],[Teste 1]:[Teste 3]])</f>
        <v>3545.6666666666665</v>
      </c>
      <c r="G309" s="16"/>
      <c r="H309" s="16" t="s">
        <v>17</v>
      </c>
      <c r="I309" s="16" t="s">
        <v>9</v>
      </c>
      <c r="J309" s="17">
        <v>1315</v>
      </c>
      <c r="K309" s="17">
        <v>858</v>
      </c>
      <c r="L309" s="17">
        <v>1183</v>
      </c>
      <c r="M309" s="17">
        <f>AVERAGE(Table143690117171198152154160172[[#This Row],[Teste 1]:[Teste 3]])</f>
        <v>1118.6666666666667</v>
      </c>
      <c r="N309" s="16"/>
      <c r="O309" s="16" t="s">
        <v>17</v>
      </c>
      <c r="P309" s="16" t="s">
        <v>9</v>
      </c>
      <c r="Q309" s="17">
        <v>1605</v>
      </c>
      <c r="R309" s="17">
        <v>1047</v>
      </c>
      <c r="S309" s="17">
        <v>1444</v>
      </c>
      <c r="T309" s="17">
        <f>AVERAGE(Table143690117171198152154160184[[#This Row],[Teste 1]:[Teste 3]])</f>
        <v>1365.3333333333333</v>
      </c>
    </row>
    <row r="310" spans="1:20" x14ac:dyDescent="0.25">
      <c r="A310" s="16" t="s">
        <v>17</v>
      </c>
      <c r="B310" s="16" t="s">
        <v>11</v>
      </c>
      <c r="C310" s="17">
        <v>4998743</v>
      </c>
      <c r="D310" s="17">
        <v>5000802</v>
      </c>
      <c r="E310" s="17">
        <v>5000000</v>
      </c>
      <c r="F310" s="17">
        <f>AVERAGE(Table143690117171198152154160[[#This Row],[Teste 1]:[Teste 3]])</f>
        <v>4999848.333333333</v>
      </c>
      <c r="G310" s="16"/>
      <c r="H310" s="16" t="s">
        <v>17</v>
      </c>
      <c r="I310" s="16" t="s">
        <v>11</v>
      </c>
      <c r="J310" s="17">
        <v>4997877</v>
      </c>
      <c r="K310" s="17">
        <v>4999170</v>
      </c>
      <c r="L310" s="17">
        <v>4958747</v>
      </c>
      <c r="M310" s="17">
        <f>AVERAGE(Table143690117171198152154160172[[#This Row],[Teste 1]:[Teste 3]])</f>
        <v>4985264.666666667</v>
      </c>
      <c r="N310" s="16"/>
      <c r="O310" s="16" t="s">
        <v>17</v>
      </c>
      <c r="P310" s="16" t="s">
        <v>11</v>
      </c>
      <c r="Q310" s="17">
        <v>4999019</v>
      </c>
      <c r="R310" s="17">
        <v>4999810</v>
      </c>
      <c r="S310" s="17">
        <v>4998478</v>
      </c>
      <c r="T310" s="17">
        <f>AVERAGE(Table143690117171198152154160184[[#This Row],[Teste 1]:[Teste 3]])</f>
        <v>4999102.333333333</v>
      </c>
    </row>
    <row r="311" spans="1:20" x14ac:dyDescent="0.25">
      <c r="A311" s="16"/>
      <c r="B311" s="16"/>
      <c r="C311" s="17"/>
      <c r="D311" s="17"/>
      <c r="E311" s="17"/>
      <c r="F311" s="17"/>
      <c r="G311" s="16"/>
      <c r="H311" s="16"/>
      <c r="I311" s="16"/>
      <c r="J311" s="17"/>
      <c r="K311" s="17"/>
      <c r="L311" s="17"/>
      <c r="M311" s="17"/>
      <c r="N311" s="16"/>
      <c r="O311" s="16"/>
      <c r="P311" s="16"/>
      <c r="Q311" s="17"/>
      <c r="R311" s="17"/>
      <c r="S311" s="17"/>
      <c r="T311" s="17"/>
    </row>
    <row r="312" spans="1:20" x14ac:dyDescent="0.25">
      <c r="A312" s="16"/>
      <c r="B312" s="16"/>
      <c r="C312" s="17"/>
      <c r="D312" s="17"/>
      <c r="E312" s="17"/>
      <c r="F312" s="17"/>
      <c r="G312" s="16"/>
      <c r="H312" s="16"/>
      <c r="I312" s="16"/>
      <c r="J312" s="17"/>
      <c r="K312" s="17"/>
      <c r="L312" s="17"/>
      <c r="M312" s="17"/>
      <c r="N312" s="16"/>
      <c r="O312" s="16"/>
      <c r="P312" s="16"/>
      <c r="Q312" s="17"/>
      <c r="R312" s="17"/>
      <c r="S312" s="17"/>
      <c r="T312" s="17"/>
    </row>
    <row r="313" spans="1:20" x14ac:dyDescent="0.25">
      <c r="A313" s="16"/>
      <c r="B313" s="16"/>
      <c r="C313" s="17"/>
      <c r="D313" s="17"/>
      <c r="E313" s="17"/>
      <c r="F313" s="17"/>
      <c r="G313" s="16"/>
      <c r="H313" s="16"/>
      <c r="I313" s="16"/>
      <c r="J313" s="17"/>
      <c r="K313" s="17"/>
      <c r="L313" s="17"/>
      <c r="M313" s="17"/>
      <c r="N313" s="16"/>
      <c r="O313" s="16"/>
      <c r="P313" s="16"/>
      <c r="Q313" s="17"/>
      <c r="R313" s="17"/>
      <c r="S313" s="17"/>
      <c r="T313" s="17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7468-6F17-48F6-91FD-A15483D06CD4}">
  <dimension ref="A1:T259"/>
  <sheetViews>
    <sheetView zoomScale="85" zoomScaleNormal="85" workbookViewId="0">
      <selection activeCell="I4" sqref="I4"/>
    </sheetView>
  </sheetViews>
  <sheetFormatPr defaultRowHeight="15" x14ac:dyDescent="0.25"/>
  <cols>
    <col min="1" max="1" width="15" customWidth="1"/>
    <col min="2" max="2" width="24.5703125" customWidth="1"/>
    <col min="3" max="3" width="12.5703125" customWidth="1"/>
    <col min="4" max="4" width="12.42578125" customWidth="1"/>
    <col min="5" max="5" width="12.5703125" customWidth="1"/>
    <col min="6" max="6" width="12.7109375" customWidth="1"/>
    <col min="7" max="7" width="11.140625" customWidth="1"/>
    <col min="8" max="8" width="14" customWidth="1"/>
    <col min="9" max="9" width="25" customWidth="1"/>
    <col min="10" max="10" width="13" customWidth="1"/>
    <col min="11" max="11" width="12.7109375" customWidth="1"/>
    <col min="12" max="12" width="12.85546875" customWidth="1"/>
    <col min="13" max="13" width="13.7109375" customWidth="1"/>
    <col min="14" max="14" width="10.7109375" customWidth="1"/>
    <col min="15" max="15" width="15.140625" customWidth="1"/>
    <col min="16" max="16" width="24.42578125" customWidth="1"/>
    <col min="17" max="17" width="12.85546875" customWidth="1"/>
    <col min="18" max="20" width="12" customWidth="1"/>
    <col min="21" max="21" width="11.28515625" customWidth="1"/>
    <col min="22" max="22" width="10.85546875" customWidth="1"/>
    <col min="23" max="23" width="11.7109375" customWidth="1"/>
    <col min="24" max="24" width="11.28515625" customWidth="1"/>
    <col min="25" max="25" width="11" customWidth="1"/>
    <col min="26" max="26" width="12.28515625" customWidth="1"/>
    <col min="27" max="28" width="11.7109375" customWidth="1"/>
    <col min="29" max="29" width="10.7109375" customWidth="1"/>
    <col min="30" max="30" width="13.140625" customWidth="1"/>
    <col min="31" max="31" width="11.85546875" customWidth="1"/>
    <col min="32" max="32" width="10" customWidth="1"/>
    <col min="33" max="33" width="13.5703125" customWidth="1"/>
    <col min="34" max="34" width="25.28515625" customWidth="1"/>
    <col min="35" max="35" width="10.7109375" customWidth="1"/>
    <col min="36" max="37" width="11.28515625" customWidth="1"/>
    <col min="38" max="38" width="11.5703125" customWidth="1"/>
    <col min="39" max="39" width="11.42578125" customWidth="1"/>
    <col min="40" max="40" width="10.7109375" customWidth="1"/>
    <col min="41" max="41" width="11.140625" customWidth="1"/>
    <col min="42" max="42" width="10.7109375" customWidth="1"/>
    <col min="43" max="43" width="11.42578125" customWidth="1"/>
    <col min="44" max="44" width="11.7109375" customWidth="1"/>
    <col min="45" max="45" width="9.7109375" customWidth="1"/>
    <col min="46" max="46" width="10.7109375" customWidth="1"/>
    <col min="47" max="47" width="9.42578125" customWidth="1"/>
  </cols>
  <sheetData>
    <row r="1" spans="1:20" ht="18.75" x14ac:dyDescent="0.3">
      <c r="H1" s="1" t="s">
        <v>25</v>
      </c>
    </row>
    <row r="2" spans="1:20" ht="18.75" x14ac:dyDescent="0.3">
      <c r="H2" s="1" t="s">
        <v>26</v>
      </c>
    </row>
    <row r="3" spans="1:20" x14ac:dyDescent="0.25">
      <c r="K3" t="s">
        <v>85</v>
      </c>
    </row>
    <row r="4" spans="1:20" ht="15.75" x14ac:dyDescent="0.25">
      <c r="A4" s="2" t="s">
        <v>62</v>
      </c>
      <c r="H4" s="2" t="s">
        <v>62</v>
      </c>
      <c r="O4" s="2" t="s">
        <v>62</v>
      </c>
    </row>
    <row r="5" spans="1:20" ht="15.75" x14ac:dyDescent="0.25">
      <c r="A5" s="2" t="s">
        <v>65</v>
      </c>
      <c r="H5" s="2" t="s">
        <v>65</v>
      </c>
      <c r="O5" s="2" t="s">
        <v>65</v>
      </c>
    </row>
    <row r="6" spans="1:20" ht="15.75" x14ac:dyDescent="0.25">
      <c r="A6" s="16" t="s">
        <v>59</v>
      </c>
      <c r="B6" s="21" t="s">
        <v>62</v>
      </c>
      <c r="C6" s="16" t="s">
        <v>82</v>
      </c>
      <c r="D6" s="16" t="s">
        <v>64</v>
      </c>
      <c r="E6" s="16" t="s">
        <v>63</v>
      </c>
      <c r="F6" s="16" t="s">
        <v>18</v>
      </c>
      <c r="G6" s="16"/>
      <c r="H6" s="16" t="s">
        <v>12</v>
      </c>
      <c r="I6" s="21" t="s">
        <v>62</v>
      </c>
      <c r="J6" s="16" t="s">
        <v>82</v>
      </c>
      <c r="K6" s="16" t="s">
        <v>64</v>
      </c>
      <c r="L6" s="16" t="s">
        <v>63</v>
      </c>
      <c r="M6" s="16" t="s">
        <v>18</v>
      </c>
      <c r="N6" s="16"/>
      <c r="O6" s="16" t="s">
        <v>13</v>
      </c>
      <c r="P6" s="21" t="s">
        <v>62</v>
      </c>
      <c r="Q6" s="16" t="s">
        <v>82</v>
      </c>
      <c r="R6" s="16" t="s">
        <v>64</v>
      </c>
      <c r="S6" s="16" t="s">
        <v>63</v>
      </c>
      <c r="T6" s="16" t="s">
        <v>18</v>
      </c>
    </row>
    <row r="7" spans="1:20" x14ac:dyDescent="0.25">
      <c r="A7" s="16" t="s">
        <v>0</v>
      </c>
      <c r="B7" s="16" t="s">
        <v>1</v>
      </c>
      <c r="C7" s="17">
        <v>40396</v>
      </c>
      <c r="D7" s="17">
        <v>45991</v>
      </c>
      <c r="E7" s="17">
        <v>37402</v>
      </c>
      <c r="F7" s="17">
        <f>AVERAGE(Table143690117171225188[[#This Row],[Teste 1]:[Teste 3]])</f>
        <v>41263</v>
      </c>
      <c r="G7" s="16"/>
      <c r="H7" s="16" t="s">
        <v>0</v>
      </c>
      <c r="I7" s="16" t="s">
        <v>1</v>
      </c>
      <c r="J7" s="17">
        <v>50414</v>
      </c>
      <c r="K7" s="17">
        <v>57397</v>
      </c>
      <c r="L7" s="17">
        <v>46678</v>
      </c>
      <c r="M7" s="17">
        <f>AVERAGE(Table143690117171225188200[[#This Row],[Teste 1]:[Teste 3]])</f>
        <v>51496.333333333336</v>
      </c>
      <c r="N7" s="16"/>
      <c r="O7" s="16" t="s">
        <v>0</v>
      </c>
      <c r="P7" s="16" t="s">
        <v>1</v>
      </c>
      <c r="Q7" s="17">
        <v>29256</v>
      </c>
      <c r="R7" s="17">
        <v>27861</v>
      </c>
      <c r="S7" s="17">
        <v>27325</v>
      </c>
      <c r="T7" s="17">
        <f>AVERAGE(Table143690117171225188212[[#This Row],[Teste 1]:[Teste 3]])</f>
        <v>28147.333333333332</v>
      </c>
    </row>
    <row r="8" spans="1:20" x14ac:dyDescent="0.25">
      <c r="A8" s="16" t="s">
        <v>0</v>
      </c>
      <c r="B8" s="16" t="s">
        <v>2</v>
      </c>
      <c r="C8" s="17">
        <v>2243.84297726255</v>
      </c>
      <c r="D8" s="17">
        <v>2174.3384575242899</v>
      </c>
      <c r="E8" s="17">
        <v>2111.3686592219501</v>
      </c>
      <c r="F8" s="17">
        <f>AVERAGE(Table143690117171225188[[#This Row],[Teste 1]:[Teste 3]])</f>
        <v>2176.5166980029303</v>
      </c>
      <c r="G8" s="16"/>
      <c r="H8" s="16" t="s">
        <v>0</v>
      </c>
      <c r="I8" s="16" t="s">
        <v>2</v>
      </c>
      <c r="J8" s="17">
        <v>1797.95</v>
      </c>
      <c r="K8" s="17">
        <v>1742.26</v>
      </c>
      <c r="L8" s="17">
        <v>1691.8</v>
      </c>
      <c r="M8" s="17">
        <f>AVERAGE(Table143690117171225188200[[#This Row],[Teste 1]:[Teste 3]])</f>
        <v>1744.0033333333333</v>
      </c>
      <c r="N8" s="16"/>
      <c r="O8" s="16" t="s">
        <v>0</v>
      </c>
      <c r="P8" s="16" t="s">
        <v>2</v>
      </c>
      <c r="Q8" s="17">
        <v>3418.1022696199002</v>
      </c>
      <c r="R8" s="17">
        <v>3589.2466171350602</v>
      </c>
      <c r="S8" s="17">
        <v>3659.6523330283599</v>
      </c>
      <c r="T8" s="17">
        <f>AVERAGE(Table143690117171225188212[[#This Row],[Teste 1]:[Teste 3]])</f>
        <v>3555.6670732611069</v>
      </c>
    </row>
    <row r="9" spans="1:20" x14ac:dyDescent="0.25">
      <c r="A9" s="16" t="s">
        <v>16</v>
      </c>
      <c r="B9" s="16" t="s">
        <v>4</v>
      </c>
      <c r="C9" s="17">
        <v>5107</v>
      </c>
      <c r="D9" s="17">
        <v>4842</v>
      </c>
      <c r="E9" s="17">
        <v>4979</v>
      </c>
      <c r="F9" s="17">
        <f>AVERAGE(Table143690117171225188[[#This Row],[Teste 1]:[Teste 3]])</f>
        <v>4976</v>
      </c>
      <c r="G9" s="16"/>
      <c r="H9" s="16" t="s">
        <v>16</v>
      </c>
      <c r="I9" s="16" t="s">
        <v>4</v>
      </c>
      <c r="J9" s="17">
        <v>5050</v>
      </c>
      <c r="K9" s="17">
        <v>4943</v>
      </c>
      <c r="L9" s="17">
        <v>5156</v>
      </c>
      <c r="M9" s="17">
        <f>AVERAGE(Table143690117171225188200[[#This Row],[Teste 1]:[Teste 3]])</f>
        <v>5049.666666666667</v>
      </c>
      <c r="N9" s="16"/>
      <c r="O9" s="16" t="s">
        <v>16</v>
      </c>
      <c r="P9" s="16" t="s">
        <v>4</v>
      </c>
      <c r="Q9" s="17">
        <v>5008</v>
      </c>
      <c r="R9" s="17">
        <v>4955</v>
      </c>
      <c r="S9" s="17">
        <v>5003</v>
      </c>
      <c r="T9" s="17">
        <f>AVERAGE(Table143690117171225188212[[#This Row],[Teste 1]:[Teste 3]])</f>
        <v>4988.666666666667</v>
      </c>
    </row>
    <row r="10" spans="1:20" x14ac:dyDescent="0.25">
      <c r="A10" s="16" t="s">
        <v>16</v>
      </c>
      <c r="B10" s="16" t="s">
        <v>5</v>
      </c>
      <c r="C10" s="17">
        <v>1002.57568043861</v>
      </c>
      <c r="D10" s="17">
        <v>557.86451879388596</v>
      </c>
      <c r="E10" s="17">
        <v>344.989355292227</v>
      </c>
      <c r="F10" s="17">
        <f>AVERAGE(Table143690117171225188[[#This Row],[Teste 1]:[Teste 3]])</f>
        <v>635.14318484157434</v>
      </c>
      <c r="G10" s="16"/>
      <c r="H10" s="16" t="s">
        <v>16</v>
      </c>
      <c r="I10" s="16" t="s">
        <v>5</v>
      </c>
      <c r="J10" s="17">
        <v>1251.21</v>
      </c>
      <c r="K10" s="17">
        <v>696.22</v>
      </c>
      <c r="L10" s="17">
        <v>430.55</v>
      </c>
      <c r="M10" s="17">
        <f>AVERAGE(Table143690117171225188200[[#This Row],[Teste 1]:[Teste 3]])</f>
        <v>792.66</v>
      </c>
      <c r="N10" s="16"/>
      <c r="O10" s="16" t="s">
        <v>16</v>
      </c>
      <c r="P10" s="16" t="s">
        <v>5</v>
      </c>
      <c r="Q10" s="17">
        <v>236.142971246006</v>
      </c>
      <c r="R10" s="17">
        <v>226.746720484359</v>
      </c>
      <c r="S10" s="17">
        <v>220.747151708974</v>
      </c>
      <c r="T10" s="17">
        <f>AVERAGE(Table143690117171225188212[[#This Row],[Teste 1]:[Teste 3]])</f>
        <v>227.878947813113</v>
      </c>
    </row>
    <row r="11" spans="1:20" x14ac:dyDescent="0.25">
      <c r="A11" s="16" t="s">
        <v>16</v>
      </c>
      <c r="B11" s="16" t="s">
        <v>6</v>
      </c>
      <c r="C11" s="17">
        <v>167</v>
      </c>
      <c r="D11" s="17">
        <v>168</v>
      </c>
      <c r="E11" s="17">
        <v>104</v>
      </c>
      <c r="F11" s="17">
        <f>AVERAGE(Table143690117171225188[[#This Row],[Teste 1]:[Teste 3]])</f>
        <v>146.33333333333334</v>
      </c>
      <c r="G11" s="16"/>
      <c r="H11" s="16" t="s">
        <v>16</v>
      </c>
      <c r="I11" s="16" t="s">
        <v>6</v>
      </c>
      <c r="J11" s="17">
        <v>208</v>
      </c>
      <c r="K11" s="17">
        <v>210</v>
      </c>
      <c r="L11" s="17">
        <v>130</v>
      </c>
      <c r="M11" s="17">
        <f>AVERAGE(Table143690117171225188200[[#This Row],[Teste 1]:[Teste 3]])</f>
        <v>182.66666666666666</v>
      </c>
      <c r="N11" s="16"/>
      <c r="O11" s="16" t="s">
        <v>16</v>
      </c>
      <c r="P11" s="16" t="s">
        <v>6</v>
      </c>
      <c r="Q11" s="17">
        <v>140</v>
      </c>
      <c r="R11" s="17">
        <v>135</v>
      </c>
      <c r="S11" s="17">
        <v>135</v>
      </c>
      <c r="T11" s="17">
        <f>AVERAGE(Table143690117171225188212[[#This Row],[Teste 1]:[Teste 3]])</f>
        <v>136.66666666666666</v>
      </c>
    </row>
    <row r="12" spans="1:20" x14ac:dyDescent="0.25">
      <c r="A12" s="16" t="s">
        <v>16</v>
      </c>
      <c r="B12" s="16" t="s">
        <v>7</v>
      </c>
      <c r="C12" s="17">
        <v>454911</v>
      </c>
      <c r="D12" s="17">
        <v>15567</v>
      </c>
      <c r="E12" s="17">
        <v>8439</v>
      </c>
      <c r="F12" s="17">
        <f>AVERAGE(Table143690117171225188[[#This Row],[Teste 1]:[Teste 3]])</f>
        <v>159639</v>
      </c>
      <c r="G12" s="16"/>
      <c r="H12" s="16" t="s">
        <v>16</v>
      </c>
      <c r="I12" s="16" t="s">
        <v>7</v>
      </c>
      <c r="J12" s="17">
        <v>567729</v>
      </c>
      <c r="K12" s="17">
        <v>19428</v>
      </c>
      <c r="L12" s="17">
        <v>10532</v>
      </c>
      <c r="M12" s="17">
        <f>AVERAGE(Table143690117171225188200[[#This Row],[Teste 1]:[Teste 3]])</f>
        <v>199229.66666666666</v>
      </c>
      <c r="N12" s="16"/>
      <c r="O12" s="16" t="s">
        <v>16</v>
      </c>
      <c r="P12" s="16" t="s">
        <v>7</v>
      </c>
      <c r="Q12" s="17">
        <v>9271</v>
      </c>
      <c r="R12" s="17">
        <v>5891</v>
      </c>
      <c r="S12" s="17">
        <v>5731</v>
      </c>
      <c r="T12" s="17">
        <f>AVERAGE(Table143690117171225188212[[#This Row],[Teste 1]:[Teste 3]])</f>
        <v>6964.333333333333</v>
      </c>
    </row>
    <row r="13" spans="1:20" x14ac:dyDescent="0.25">
      <c r="A13" s="16" t="s">
        <v>16</v>
      </c>
      <c r="B13" s="16" t="s">
        <v>8</v>
      </c>
      <c r="C13" s="17">
        <v>1727</v>
      </c>
      <c r="D13" s="17">
        <v>1052</v>
      </c>
      <c r="E13" s="17">
        <v>688</v>
      </c>
      <c r="F13" s="17">
        <f>AVERAGE(Table143690117171225188[[#This Row],[Teste 1]:[Teste 3]])</f>
        <v>1155.6666666666667</v>
      </c>
      <c r="G13" s="16"/>
      <c r="H13" s="16" t="s">
        <v>16</v>
      </c>
      <c r="I13" s="16" t="s">
        <v>8</v>
      </c>
      <c r="J13" s="17">
        <v>2155</v>
      </c>
      <c r="K13" s="17">
        <v>1313</v>
      </c>
      <c r="L13" s="17">
        <v>859</v>
      </c>
      <c r="M13" s="17">
        <f>AVERAGE(Table143690117171225188200[[#This Row],[Teste 1]:[Teste 3]])</f>
        <v>1442.3333333333333</v>
      </c>
      <c r="N13" s="16"/>
      <c r="O13" s="16" t="s">
        <v>16</v>
      </c>
      <c r="P13" s="16" t="s">
        <v>8</v>
      </c>
      <c r="Q13" s="17">
        <v>392</v>
      </c>
      <c r="R13" s="17">
        <v>385</v>
      </c>
      <c r="S13" s="17">
        <v>370</v>
      </c>
      <c r="T13" s="17">
        <f>AVERAGE(Table143690117171225188212[[#This Row],[Teste 1]:[Teste 3]])</f>
        <v>382.33333333333331</v>
      </c>
    </row>
    <row r="14" spans="1:20" x14ac:dyDescent="0.25">
      <c r="A14" s="16" t="s">
        <v>16</v>
      </c>
      <c r="B14" s="16" t="s">
        <v>9</v>
      </c>
      <c r="C14" s="17">
        <v>6811</v>
      </c>
      <c r="D14" s="17">
        <v>2257</v>
      </c>
      <c r="E14" s="17">
        <v>1596</v>
      </c>
      <c r="F14" s="17">
        <f>AVERAGE(Table143690117171225188[[#This Row],[Teste 1]:[Teste 3]])</f>
        <v>3554.6666666666665</v>
      </c>
      <c r="G14" s="16"/>
      <c r="H14" s="16" t="s">
        <v>16</v>
      </c>
      <c r="I14" s="16" t="s">
        <v>9</v>
      </c>
      <c r="J14" s="17">
        <v>2500</v>
      </c>
      <c r="K14" s="17">
        <v>2817</v>
      </c>
      <c r="L14" s="17">
        <v>1992</v>
      </c>
      <c r="M14" s="17">
        <f>AVERAGE(Table143690117171225188200[[#This Row],[Teste 1]:[Teste 3]])</f>
        <v>2436.3333333333335</v>
      </c>
      <c r="N14" s="16"/>
      <c r="O14" s="16" t="s">
        <v>16</v>
      </c>
      <c r="P14" s="16" t="s">
        <v>9</v>
      </c>
      <c r="Q14" s="17">
        <v>636</v>
      </c>
      <c r="R14" s="17">
        <v>530</v>
      </c>
      <c r="S14" s="17">
        <v>486</v>
      </c>
      <c r="T14" s="17">
        <f>AVERAGE(Table143690117171225188212[[#This Row],[Teste 1]:[Teste 3]])</f>
        <v>550.66666666666663</v>
      </c>
    </row>
    <row r="15" spans="1:20" x14ac:dyDescent="0.25">
      <c r="A15" s="16" t="s">
        <v>16</v>
      </c>
      <c r="B15" s="16" t="s">
        <v>11</v>
      </c>
      <c r="C15" s="17">
        <v>5107</v>
      </c>
      <c r="D15" s="17">
        <v>4842</v>
      </c>
      <c r="E15" s="17">
        <v>4979</v>
      </c>
      <c r="F15" s="17">
        <f>AVERAGE(Table143690117171225188[[#This Row],[Teste 1]:[Teste 3]])</f>
        <v>4976</v>
      </c>
      <c r="G15" s="16"/>
      <c r="H15" s="16" t="s">
        <v>16</v>
      </c>
      <c r="I15" s="16" t="s">
        <v>11</v>
      </c>
      <c r="J15" s="17">
        <v>5050</v>
      </c>
      <c r="K15" s="17">
        <v>4943</v>
      </c>
      <c r="L15" s="17">
        <v>5156</v>
      </c>
      <c r="M15" s="17">
        <f>AVERAGE(Table143690117171225188200[[#This Row],[Teste 1]:[Teste 3]])</f>
        <v>5049.666666666667</v>
      </c>
      <c r="N15" s="16"/>
      <c r="O15" s="16" t="s">
        <v>16</v>
      </c>
      <c r="P15" s="16" t="s">
        <v>11</v>
      </c>
      <c r="Q15" s="17">
        <v>5008</v>
      </c>
      <c r="R15" s="17">
        <v>4955</v>
      </c>
      <c r="S15" s="17">
        <v>5003</v>
      </c>
      <c r="T15" s="17">
        <f>AVERAGE(Table143690117171225188212[[#This Row],[Teste 1]:[Teste 3]])</f>
        <v>4988.666666666667</v>
      </c>
    </row>
    <row r="16" spans="1:20" x14ac:dyDescent="0.25">
      <c r="A16" s="16" t="s">
        <v>3</v>
      </c>
      <c r="B16" s="16" t="s">
        <v>4</v>
      </c>
      <c r="C16" s="17">
        <v>1</v>
      </c>
      <c r="D16" s="17">
        <v>1</v>
      </c>
      <c r="E16" s="17">
        <v>1</v>
      </c>
      <c r="F16" s="17">
        <f>AVERAGE(Table143690117171225188[[#This Row],[Teste 1]:[Teste 3]])</f>
        <v>1</v>
      </c>
      <c r="G16" s="16"/>
      <c r="H16" s="16" t="s">
        <v>3</v>
      </c>
      <c r="I16" s="16" t="s">
        <v>4</v>
      </c>
      <c r="J16" s="17">
        <v>1</v>
      </c>
      <c r="K16" s="17">
        <v>1</v>
      </c>
      <c r="L16" s="17">
        <v>1</v>
      </c>
      <c r="M16" s="17">
        <f>AVERAGE(Table143690117171225188200[[#This Row],[Teste 1]:[Teste 3]])</f>
        <v>1</v>
      </c>
      <c r="N16" s="16"/>
      <c r="O16" s="16" t="s">
        <v>3</v>
      </c>
      <c r="P16" s="16" t="s">
        <v>4</v>
      </c>
      <c r="Q16" s="17">
        <v>1</v>
      </c>
      <c r="R16" s="17">
        <v>1</v>
      </c>
      <c r="S16" s="17">
        <v>1</v>
      </c>
      <c r="T16" s="17">
        <f>AVERAGE(Table143690117171225188212[[#This Row],[Teste 1]:[Teste 3]])</f>
        <v>1</v>
      </c>
    </row>
    <row r="17" spans="1:20" x14ac:dyDescent="0.25">
      <c r="A17" s="16" t="s">
        <v>3</v>
      </c>
      <c r="B17" s="16" t="s">
        <v>5</v>
      </c>
      <c r="C17" s="17">
        <v>9</v>
      </c>
      <c r="D17" s="17">
        <v>9</v>
      </c>
      <c r="E17" s="17">
        <v>7</v>
      </c>
      <c r="F17" s="17">
        <f>AVERAGE(Table143690117171225188[[#This Row],[Teste 1]:[Teste 3]])</f>
        <v>8.3333333333333339</v>
      </c>
      <c r="G17" s="16"/>
      <c r="H17" s="16" t="s">
        <v>3</v>
      </c>
      <c r="I17" s="16" t="s">
        <v>5</v>
      </c>
      <c r="J17" s="17">
        <v>7</v>
      </c>
      <c r="K17" s="17">
        <v>8</v>
      </c>
      <c r="L17" s="17">
        <v>7</v>
      </c>
      <c r="M17" s="17">
        <f>AVERAGE(Table143690117171225188200[[#This Row],[Teste 1]:[Teste 3]])</f>
        <v>7.333333333333333</v>
      </c>
      <c r="N17" s="16"/>
      <c r="O17" s="16" t="s">
        <v>3</v>
      </c>
      <c r="P17" s="16" t="s">
        <v>5</v>
      </c>
      <c r="Q17" s="17">
        <v>1085</v>
      </c>
      <c r="R17" s="17">
        <v>1196</v>
      </c>
      <c r="S17" s="17">
        <v>1022</v>
      </c>
      <c r="T17" s="17">
        <f>AVERAGE(Table143690117171225188212[[#This Row],[Teste 1]:[Teste 3]])</f>
        <v>1101</v>
      </c>
    </row>
    <row r="18" spans="1:20" x14ac:dyDescent="0.25">
      <c r="A18" s="16" t="s">
        <v>3</v>
      </c>
      <c r="B18" s="16" t="s">
        <v>6</v>
      </c>
      <c r="C18" s="17">
        <v>9</v>
      </c>
      <c r="D18" s="17">
        <v>9</v>
      </c>
      <c r="E18" s="17">
        <v>7</v>
      </c>
      <c r="F18" s="17">
        <f>AVERAGE(Table143690117171225188[[#This Row],[Teste 1]:[Teste 3]])</f>
        <v>8.3333333333333339</v>
      </c>
      <c r="G18" s="16"/>
      <c r="H18" s="16" t="s">
        <v>3</v>
      </c>
      <c r="I18" s="16" t="s">
        <v>6</v>
      </c>
      <c r="J18" s="17">
        <v>7</v>
      </c>
      <c r="K18" s="17">
        <v>8</v>
      </c>
      <c r="L18" s="17">
        <v>7</v>
      </c>
      <c r="M18" s="17">
        <f>AVERAGE(Table143690117171225188200[[#This Row],[Teste 1]:[Teste 3]])</f>
        <v>7.333333333333333</v>
      </c>
      <c r="N18" s="16"/>
      <c r="O18" s="16" t="s">
        <v>3</v>
      </c>
      <c r="P18" s="16" t="s">
        <v>6</v>
      </c>
      <c r="Q18" s="17">
        <v>1085</v>
      </c>
      <c r="R18" s="17">
        <v>1196</v>
      </c>
      <c r="S18" s="17">
        <v>1022</v>
      </c>
      <c r="T18" s="17">
        <f>AVERAGE(Table143690117171225188212[[#This Row],[Teste 1]:[Teste 3]])</f>
        <v>1101</v>
      </c>
    </row>
    <row r="19" spans="1:20" x14ac:dyDescent="0.25">
      <c r="A19" s="16" t="s">
        <v>3</v>
      </c>
      <c r="B19" s="16" t="s">
        <v>7</v>
      </c>
      <c r="C19" s="17">
        <v>9</v>
      </c>
      <c r="D19" s="17">
        <v>9</v>
      </c>
      <c r="E19" s="17">
        <v>7</v>
      </c>
      <c r="F19" s="17">
        <f>AVERAGE(Table143690117171225188[[#This Row],[Teste 1]:[Teste 3]])</f>
        <v>8.3333333333333339</v>
      </c>
      <c r="G19" s="16"/>
      <c r="H19" s="16" t="s">
        <v>3</v>
      </c>
      <c r="I19" s="16" t="s">
        <v>7</v>
      </c>
      <c r="J19" s="17">
        <v>7</v>
      </c>
      <c r="K19" s="17">
        <v>8</v>
      </c>
      <c r="L19" s="17">
        <v>7</v>
      </c>
      <c r="M19" s="17">
        <f>AVERAGE(Table143690117171225188200[[#This Row],[Teste 1]:[Teste 3]])</f>
        <v>7.333333333333333</v>
      </c>
      <c r="N19" s="16"/>
      <c r="O19" s="16" t="s">
        <v>3</v>
      </c>
      <c r="P19" s="16" t="s">
        <v>7</v>
      </c>
      <c r="Q19" s="17">
        <v>1085</v>
      </c>
      <c r="R19" s="17">
        <v>1196</v>
      </c>
      <c r="S19" s="17">
        <v>1022</v>
      </c>
      <c r="T19" s="17">
        <f>AVERAGE(Table143690117171225188212[[#This Row],[Teste 1]:[Teste 3]])</f>
        <v>1101</v>
      </c>
    </row>
    <row r="20" spans="1:20" x14ac:dyDescent="0.25">
      <c r="A20" s="16" t="s">
        <v>3</v>
      </c>
      <c r="B20" s="16" t="s">
        <v>8</v>
      </c>
      <c r="C20" s="17">
        <v>9</v>
      </c>
      <c r="D20" s="17">
        <v>9</v>
      </c>
      <c r="E20" s="17">
        <v>7</v>
      </c>
      <c r="F20" s="17">
        <f>AVERAGE(Table143690117171225188[[#This Row],[Teste 1]:[Teste 3]])</f>
        <v>8.3333333333333339</v>
      </c>
      <c r="G20" s="16"/>
      <c r="H20" s="16" t="s">
        <v>3</v>
      </c>
      <c r="I20" s="16" t="s">
        <v>8</v>
      </c>
      <c r="J20" s="17">
        <v>7</v>
      </c>
      <c r="K20" s="17">
        <v>8</v>
      </c>
      <c r="L20" s="17">
        <v>7</v>
      </c>
      <c r="M20" s="17">
        <f>AVERAGE(Table143690117171225188200[[#This Row],[Teste 1]:[Teste 3]])</f>
        <v>7.333333333333333</v>
      </c>
      <c r="N20" s="16"/>
      <c r="O20" s="16" t="s">
        <v>3</v>
      </c>
      <c r="P20" s="16" t="s">
        <v>8</v>
      </c>
      <c r="Q20" s="17">
        <v>1085</v>
      </c>
      <c r="R20" s="17">
        <v>1196</v>
      </c>
      <c r="S20" s="17">
        <v>1022</v>
      </c>
      <c r="T20" s="17">
        <f>AVERAGE(Table143690117171225188212[[#This Row],[Teste 1]:[Teste 3]])</f>
        <v>1101</v>
      </c>
    </row>
    <row r="21" spans="1:20" x14ac:dyDescent="0.25">
      <c r="A21" s="16" t="s">
        <v>3</v>
      </c>
      <c r="B21" s="16" t="s">
        <v>9</v>
      </c>
      <c r="C21" s="17">
        <v>9</v>
      </c>
      <c r="D21" s="17">
        <v>9</v>
      </c>
      <c r="E21" s="17">
        <v>7</v>
      </c>
      <c r="F21" s="17">
        <f>AVERAGE(Table143690117171225188[[#This Row],[Teste 1]:[Teste 3]])</f>
        <v>8.3333333333333339</v>
      </c>
      <c r="G21" s="16"/>
      <c r="H21" s="16" t="s">
        <v>3</v>
      </c>
      <c r="I21" s="16" t="s">
        <v>9</v>
      </c>
      <c r="J21" s="17">
        <v>7</v>
      </c>
      <c r="K21" s="17">
        <v>8</v>
      </c>
      <c r="L21" s="17">
        <v>7</v>
      </c>
      <c r="M21" s="17">
        <f>AVERAGE(Table143690117171225188200[[#This Row],[Teste 1]:[Teste 3]])</f>
        <v>7.333333333333333</v>
      </c>
      <c r="N21" s="16"/>
      <c r="O21" s="16" t="s">
        <v>3</v>
      </c>
      <c r="P21" s="16" t="s">
        <v>9</v>
      </c>
      <c r="Q21" s="17">
        <v>1085</v>
      </c>
      <c r="R21" s="17">
        <v>1196</v>
      </c>
      <c r="S21" s="17">
        <v>1022</v>
      </c>
      <c r="T21" s="17">
        <f>AVERAGE(Table143690117171225188212[[#This Row],[Teste 1]:[Teste 3]])</f>
        <v>1101</v>
      </c>
    </row>
    <row r="22" spans="1:20" x14ac:dyDescent="0.25">
      <c r="A22" s="16" t="s">
        <v>17</v>
      </c>
      <c r="B22" s="16" t="s">
        <v>4</v>
      </c>
      <c r="C22" s="17">
        <v>94893</v>
      </c>
      <c r="D22" s="17">
        <v>95158</v>
      </c>
      <c r="E22" s="17">
        <v>95021</v>
      </c>
      <c r="F22" s="17">
        <f>AVERAGE(Table143690117171225188[[#This Row],[Teste 1]:[Teste 3]])</f>
        <v>95024</v>
      </c>
      <c r="G22" s="16"/>
      <c r="H22" s="16" t="s">
        <v>17</v>
      </c>
      <c r="I22" s="16" t="s">
        <v>4</v>
      </c>
      <c r="J22" s="17">
        <v>94950</v>
      </c>
      <c r="K22" s="17">
        <v>95057</v>
      </c>
      <c r="L22" s="17">
        <v>94844</v>
      </c>
      <c r="M22" s="17">
        <f>AVERAGE(Table143690117171225188200[[#This Row],[Teste 1]:[Teste 3]])</f>
        <v>94950.333333333328</v>
      </c>
      <c r="N22" s="16"/>
      <c r="O22" s="16" t="s">
        <v>17</v>
      </c>
      <c r="P22" s="16" t="s">
        <v>4</v>
      </c>
      <c r="Q22" s="17">
        <v>94992</v>
      </c>
      <c r="R22" s="17">
        <v>95045</v>
      </c>
      <c r="S22" s="17">
        <v>94997</v>
      </c>
      <c r="T22" s="17">
        <f>AVERAGE(Table143690117171225188212[[#This Row],[Teste 1]:[Teste 3]])</f>
        <v>95011.333333333328</v>
      </c>
    </row>
    <row r="23" spans="1:20" x14ac:dyDescent="0.25">
      <c r="A23" s="16" t="s">
        <v>17</v>
      </c>
      <c r="B23" s="16" t="s">
        <v>5</v>
      </c>
      <c r="C23" s="17">
        <v>758.64168062976103</v>
      </c>
      <c r="D23" s="17">
        <v>423.55770402908797</v>
      </c>
      <c r="E23" s="17">
        <v>253.65169804569501</v>
      </c>
      <c r="F23" s="17">
        <f>AVERAGE(Table143690117171225188[[#This Row],[Teste 1]:[Teste 3]])</f>
        <v>478.6170275681813</v>
      </c>
      <c r="G23" s="16"/>
      <c r="H23" s="16" t="s">
        <v>17</v>
      </c>
      <c r="I23" s="16" t="s">
        <v>5</v>
      </c>
      <c r="J23" s="17">
        <v>946.79</v>
      </c>
      <c r="K23" s="17">
        <v>528.6</v>
      </c>
      <c r="L23" s="17">
        <v>316.56</v>
      </c>
      <c r="M23" s="17">
        <f>AVERAGE(Table143690117171225188200[[#This Row],[Teste 1]:[Teste 3]])</f>
        <v>597.31666666666661</v>
      </c>
      <c r="N23" s="16"/>
      <c r="O23" s="16" t="s">
        <v>17</v>
      </c>
      <c r="P23" s="16" t="s">
        <v>5</v>
      </c>
      <c r="Q23" s="17">
        <v>282.224787350513</v>
      </c>
      <c r="R23" s="17">
        <v>268.84014940291399</v>
      </c>
      <c r="S23" s="17">
        <v>263.092034485299</v>
      </c>
      <c r="T23" s="17">
        <f>AVERAGE(Table143690117171225188212[[#This Row],[Teste 1]:[Teste 3]])</f>
        <v>271.38565707957531</v>
      </c>
    </row>
    <row r="24" spans="1:20" x14ac:dyDescent="0.25">
      <c r="A24" s="16" t="s">
        <v>17</v>
      </c>
      <c r="B24" s="16" t="s">
        <v>6</v>
      </c>
      <c r="C24" s="17">
        <v>113</v>
      </c>
      <c r="D24" s="17">
        <v>143</v>
      </c>
      <c r="E24" s="17">
        <v>97</v>
      </c>
      <c r="F24" s="17">
        <f>AVERAGE(Table143690117171225188[[#This Row],[Teste 1]:[Teste 3]])</f>
        <v>117.66666666666667</v>
      </c>
      <c r="G24" s="16"/>
      <c r="H24" s="16" t="s">
        <v>17</v>
      </c>
      <c r="I24" s="16" t="s">
        <v>6</v>
      </c>
      <c r="J24" s="17">
        <v>141</v>
      </c>
      <c r="K24" s="17">
        <v>179</v>
      </c>
      <c r="L24" s="17">
        <v>121</v>
      </c>
      <c r="M24" s="17">
        <f>AVERAGE(Table143690117171225188200[[#This Row],[Teste 1]:[Teste 3]])</f>
        <v>147</v>
      </c>
      <c r="N24" s="16"/>
      <c r="O24" s="16" t="s">
        <v>17</v>
      </c>
      <c r="P24" s="16" t="s">
        <v>6</v>
      </c>
      <c r="Q24" s="17">
        <v>191</v>
      </c>
      <c r="R24" s="17">
        <v>188</v>
      </c>
      <c r="S24" s="17">
        <v>173</v>
      </c>
      <c r="T24" s="17">
        <f>AVERAGE(Table143690117171225188212[[#This Row],[Teste 1]:[Teste 3]])</f>
        <v>184</v>
      </c>
    </row>
    <row r="25" spans="1:20" x14ac:dyDescent="0.25">
      <c r="A25" s="16" t="s">
        <v>17</v>
      </c>
      <c r="B25" s="16" t="s">
        <v>7</v>
      </c>
      <c r="C25" s="17">
        <v>1158143</v>
      </c>
      <c r="D25" s="17">
        <v>20927</v>
      </c>
      <c r="E25" s="17">
        <v>28959</v>
      </c>
      <c r="F25" s="17">
        <f>AVERAGE(Table143690117171225188[[#This Row],[Teste 1]:[Teste 3]])</f>
        <v>402676.33333333331</v>
      </c>
      <c r="G25" s="16"/>
      <c r="H25" s="16" t="s">
        <v>17</v>
      </c>
      <c r="I25" s="16" t="s">
        <v>7</v>
      </c>
      <c r="J25" s="17">
        <v>35363</v>
      </c>
      <c r="K25" s="17">
        <v>26117</v>
      </c>
      <c r="L25" s="17">
        <v>36111</v>
      </c>
      <c r="M25" s="17">
        <f>AVERAGE(Table143690117171225188200[[#This Row],[Teste 1]:[Teste 3]])</f>
        <v>32530.333333333332</v>
      </c>
      <c r="N25" s="16"/>
      <c r="O25" s="16" t="s">
        <v>17</v>
      </c>
      <c r="P25" s="16" t="s">
        <v>7</v>
      </c>
      <c r="Q25" s="17">
        <v>36191</v>
      </c>
      <c r="R25" s="17">
        <v>35135</v>
      </c>
      <c r="S25" s="17">
        <v>372991</v>
      </c>
      <c r="T25" s="17">
        <f>AVERAGE(Table143690117171225188212[[#This Row],[Teste 1]:[Teste 3]])</f>
        <v>148105.66666666666</v>
      </c>
    </row>
    <row r="26" spans="1:20" x14ac:dyDescent="0.25">
      <c r="A26" s="16" t="s">
        <v>17</v>
      </c>
      <c r="B26" s="16" t="s">
        <v>8</v>
      </c>
      <c r="C26" s="17">
        <v>1492</v>
      </c>
      <c r="D26" s="17">
        <v>722</v>
      </c>
      <c r="E26" s="17">
        <v>481</v>
      </c>
      <c r="F26" s="17">
        <f>AVERAGE(Table143690117171225188[[#This Row],[Teste 1]:[Teste 3]])</f>
        <v>898.33333333333337</v>
      </c>
      <c r="G26" s="16"/>
      <c r="H26" s="16" t="s">
        <v>17</v>
      </c>
      <c r="I26" s="16" t="s">
        <v>8</v>
      </c>
      <c r="J26" s="17">
        <v>1862</v>
      </c>
      <c r="K26" s="17">
        <v>901</v>
      </c>
      <c r="L26" s="17">
        <v>600</v>
      </c>
      <c r="M26" s="17">
        <f>AVERAGE(Table143690117171225188200[[#This Row],[Teste 1]:[Teste 3]])</f>
        <v>1121</v>
      </c>
      <c r="N26" s="16"/>
      <c r="O26" s="16" t="s">
        <v>17</v>
      </c>
      <c r="P26" s="16" t="s">
        <v>8</v>
      </c>
      <c r="Q26" s="17">
        <v>456</v>
      </c>
      <c r="R26" s="17">
        <v>448</v>
      </c>
      <c r="S26" s="17">
        <v>435</v>
      </c>
      <c r="T26" s="17">
        <f>AVERAGE(Table143690117171225188212[[#This Row],[Teste 1]:[Teste 3]])</f>
        <v>446.33333333333331</v>
      </c>
    </row>
    <row r="27" spans="1:20" x14ac:dyDescent="0.25">
      <c r="A27" s="16" t="s">
        <v>17</v>
      </c>
      <c r="B27" s="16" t="s">
        <v>9</v>
      </c>
      <c r="C27" s="17">
        <v>5879</v>
      </c>
      <c r="D27" s="17">
        <v>1449</v>
      </c>
      <c r="E27" s="17">
        <v>1117</v>
      </c>
      <c r="F27" s="17">
        <f>AVERAGE(Table143690117171225188[[#This Row],[Teste 1]:[Teste 3]])</f>
        <v>2815</v>
      </c>
      <c r="G27" s="16"/>
      <c r="H27" s="16" t="s">
        <v>17</v>
      </c>
      <c r="I27" s="16" t="s">
        <v>9</v>
      </c>
      <c r="J27" s="17">
        <v>7337</v>
      </c>
      <c r="K27" s="17">
        <v>1808</v>
      </c>
      <c r="L27" s="17">
        <v>1394</v>
      </c>
      <c r="M27" s="17">
        <f>AVERAGE(Table143690117171225188200[[#This Row],[Teste 1]:[Teste 3]])</f>
        <v>3513</v>
      </c>
      <c r="N27" s="16"/>
      <c r="O27" s="16" t="s">
        <v>17</v>
      </c>
      <c r="P27" s="16" t="s">
        <v>9</v>
      </c>
      <c r="Q27" s="17">
        <v>654</v>
      </c>
      <c r="R27" s="17">
        <v>626</v>
      </c>
      <c r="S27" s="17">
        <v>594</v>
      </c>
      <c r="T27" s="17">
        <f>AVERAGE(Table143690117171225188212[[#This Row],[Teste 1]:[Teste 3]])</f>
        <v>624.66666666666663</v>
      </c>
    </row>
    <row r="28" spans="1:20" x14ac:dyDescent="0.25">
      <c r="A28" s="16" t="s">
        <v>17</v>
      </c>
      <c r="B28" s="16" t="s">
        <v>11</v>
      </c>
      <c r="C28" s="17">
        <v>94893</v>
      </c>
      <c r="D28" s="17">
        <v>95158</v>
      </c>
      <c r="E28" s="17">
        <v>95021</v>
      </c>
      <c r="F28" s="17">
        <f>AVERAGE(Table143690117171225188[[#This Row],[Teste 1]:[Teste 3]])</f>
        <v>95024</v>
      </c>
      <c r="G28" s="16"/>
      <c r="H28" s="16" t="s">
        <v>17</v>
      </c>
      <c r="I28" s="16" t="s">
        <v>11</v>
      </c>
      <c r="J28" s="17">
        <v>94950</v>
      </c>
      <c r="K28" s="17">
        <v>95057</v>
      </c>
      <c r="L28" s="17">
        <v>94844</v>
      </c>
      <c r="M28" s="17">
        <f>AVERAGE(Table143690117171225188200[[#This Row],[Teste 1]:[Teste 3]])</f>
        <v>94950.333333333328</v>
      </c>
      <c r="N28" s="16"/>
      <c r="O28" s="16" t="s">
        <v>17</v>
      </c>
      <c r="P28" s="16" t="s">
        <v>11</v>
      </c>
      <c r="Q28" s="17">
        <v>94992</v>
      </c>
      <c r="R28" s="17">
        <v>95045</v>
      </c>
      <c r="S28" s="17">
        <v>94997</v>
      </c>
      <c r="T28" s="17">
        <f>AVERAGE(Table143690117171225188212[[#This Row],[Teste 1]:[Teste 3]])</f>
        <v>95011.333333333328</v>
      </c>
    </row>
    <row r="29" spans="1:20" x14ac:dyDescent="0.25">
      <c r="A29" s="16"/>
      <c r="B29" s="16"/>
      <c r="C29" s="17"/>
      <c r="D29" s="17"/>
      <c r="E29" s="17"/>
      <c r="F29" s="17"/>
      <c r="G29" s="16"/>
      <c r="H29" s="16"/>
      <c r="I29" s="16"/>
      <c r="J29" s="17"/>
      <c r="K29" s="17"/>
      <c r="L29" s="17"/>
      <c r="M29" s="17"/>
      <c r="N29" s="16"/>
      <c r="O29" s="16"/>
      <c r="P29" s="16"/>
      <c r="Q29" s="17"/>
      <c r="R29" s="17"/>
      <c r="S29" s="17"/>
      <c r="T29" s="17"/>
    </row>
    <row r="30" spans="1:20" x14ac:dyDescent="0.25">
      <c r="A30" s="16"/>
      <c r="B30" s="16"/>
      <c r="C30" s="17"/>
      <c r="D30" s="17"/>
      <c r="E30" s="17"/>
      <c r="F30" s="17"/>
      <c r="G30" s="16"/>
      <c r="H30" s="16"/>
      <c r="I30" s="16"/>
      <c r="J30" s="17"/>
      <c r="K30" s="17"/>
      <c r="L30" s="17"/>
      <c r="M30" s="17"/>
      <c r="N30" s="16"/>
      <c r="O30" s="16"/>
      <c r="P30" s="16"/>
      <c r="Q30" s="17"/>
      <c r="R30" s="17"/>
      <c r="S30" s="17"/>
      <c r="T30" s="17"/>
    </row>
    <row r="31" spans="1:20" x14ac:dyDescent="0.25">
      <c r="A31" s="16"/>
      <c r="B31" s="16"/>
      <c r="C31" s="17"/>
      <c r="D31" s="17"/>
      <c r="E31" s="17"/>
      <c r="F31" s="17"/>
      <c r="G31" s="16"/>
      <c r="H31" s="16"/>
      <c r="I31" s="16"/>
      <c r="J31" s="17"/>
      <c r="K31" s="17"/>
      <c r="L31" s="17"/>
      <c r="M31" s="17"/>
      <c r="N31" s="16"/>
      <c r="O31" s="16"/>
      <c r="P31" s="16"/>
      <c r="Q31" s="17"/>
      <c r="R31" s="17"/>
      <c r="S31" s="17"/>
      <c r="T31" s="17"/>
    </row>
    <row r="33" spans="1:20" ht="15.75" x14ac:dyDescent="0.25">
      <c r="A33" s="2" t="s">
        <v>74</v>
      </c>
      <c r="H33" s="2" t="s">
        <v>74</v>
      </c>
      <c r="O33" s="2" t="s">
        <v>74</v>
      </c>
    </row>
    <row r="34" spans="1:20" ht="15.75" x14ac:dyDescent="0.25">
      <c r="A34" s="16" t="s">
        <v>59</v>
      </c>
      <c r="B34" s="21" t="s">
        <v>62</v>
      </c>
      <c r="C34" s="16" t="s">
        <v>82</v>
      </c>
      <c r="D34" s="16" t="s">
        <v>64</v>
      </c>
      <c r="E34" s="16" t="s">
        <v>63</v>
      </c>
      <c r="F34" s="16" t="s">
        <v>18</v>
      </c>
      <c r="G34" s="16"/>
      <c r="H34" s="16" t="s">
        <v>12</v>
      </c>
      <c r="I34" s="21" t="s">
        <v>62</v>
      </c>
      <c r="J34" s="16" t="s">
        <v>82</v>
      </c>
      <c r="K34" s="16" t="s">
        <v>64</v>
      </c>
      <c r="L34" s="16" t="s">
        <v>63</v>
      </c>
      <c r="M34" s="16" t="s">
        <v>18</v>
      </c>
      <c r="N34" s="16"/>
      <c r="O34" s="16" t="s">
        <v>13</v>
      </c>
      <c r="P34" s="21" t="s">
        <v>62</v>
      </c>
      <c r="Q34" s="16" t="s">
        <v>82</v>
      </c>
      <c r="R34" s="16" t="s">
        <v>64</v>
      </c>
      <c r="S34" s="16" t="s">
        <v>63</v>
      </c>
      <c r="T34" s="16" t="s">
        <v>18</v>
      </c>
    </row>
    <row r="35" spans="1:20" x14ac:dyDescent="0.25">
      <c r="A35" s="16" t="s">
        <v>0</v>
      </c>
      <c r="B35" s="16" t="s">
        <v>1</v>
      </c>
      <c r="C35" s="17">
        <v>22718</v>
      </c>
      <c r="D35" s="17">
        <v>19400</v>
      </c>
      <c r="E35" s="17">
        <v>19776</v>
      </c>
      <c r="F35" s="17">
        <f>AVERAGE(Table143690117171225188189[[#This Row],[Teste 1]:[Teste 3]])</f>
        <v>20631.333333333332</v>
      </c>
      <c r="G35" s="16"/>
      <c r="H35" s="16" t="s">
        <v>0</v>
      </c>
      <c r="I35" s="16" t="s">
        <v>1</v>
      </c>
      <c r="J35" s="17">
        <v>29079</v>
      </c>
      <c r="K35" s="17">
        <v>24832</v>
      </c>
      <c r="L35" s="17">
        <v>25313</v>
      </c>
      <c r="M35" s="17">
        <f>AVERAGE(Table143690117171225188189201[[#This Row],[Teste 1]:[Teste 3]])</f>
        <v>26408</v>
      </c>
      <c r="N35" s="16"/>
      <c r="O35" s="16" t="s">
        <v>0</v>
      </c>
      <c r="P35" s="16" t="s">
        <v>1</v>
      </c>
      <c r="Q35" s="17">
        <v>12579</v>
      </c>
      <c r="R35" s="17">
        <v>12046</v>
      </c>
      <c r="S35" s="17">
        <v>12022</v>
      </c>
      <c r="T35" s="17">
        <f>AVERAGE(Table143690117171225188189213[[#This Row],[Teste 1]:[Teste 3]])</f>
        <v>12215.666666666666</v>
      </c>
    </row>
    <row r="36" spans="1:20" x14ac:dyDescent="0.25">
      <c r="A36" s="16" t="s">
        <v>0</v>
      </c>
      <c r="B36" s="16" t="s">
        <v>2</v>
      </c>
      <c r="C36" s="17">
        <v>4401.7959327405497</v>
      </c>
      <c r="D36" s="17">
        <v>5154.6391752577301</v>
      </c>
      <c r="E36" s="17">
        <v>5029.1325695580999</v>
      </c>
      <c r="F36" s="17">
        <f>AVERAGE(Table143690117171225188189[[#This Row],[Teste 1]:[Teste 3]])</f>
        <v>4861.8558925187936</v>
      </c>
      <c r="G36" s="16"/>
      <c r="H36" s="16" t="s">
        <v>0</v>
      </c>
      <c r="I36" s="16" t="s">
        <v>2</v>
      </c>
      <c r="J36" s="17">
        <v>3438.91</v>
      </c>
      <c r="K36" s="17">
        <v>4027.06</v>
      </c>
      <c r="L36" s="17">
        <v>3929</v>
      </c>
      <c r="M36" s="17">
        <f>AVERAGE(Table143690117171225188189201[[#This Row],[Teste 1]:[Teste 3]])</f>
        <v>3798.3233333333333</v>
      </c>
      <c r="N36" s="16"/>
      <c r="O36" s="16" t="s">
        <v>0</v>
      </c>
      <c r="P36" s="16" t="s">
        <v>2</v>
      </c>
      <c r="Q36" s="17">
        <v>7949.7575323952597</v>
      </c>
      <c r="R36" s="17">
        <v>8301.5108749792398</v>
      </c>
      <c r="S36" s="17">
        <v>8318.0835135584693</v>
      </c>
      <c r="T36" s="17">
        <f>AVERAGE(Table143690117171225188189213[[#This Row],[Teste 1]:[Teste 3]])</f>
        <v>8189.7839736443229</v>
      </c>
    </row>
    <row r="37" spans="1:20" x14ac:dyDescent="0.25">
      <c r="A37" s="16" t="s">
        <v>16</v>
      </c>
      <c r="B37" s="16" t="s">
        <v>4</v>
      </c>
      <c r="C37" s="17">
        <v>4803</v>
      </c>
      <c r="D37" s="17">
        <v>5050</v>
      </c>
      <c r="E37" s="17">
        <v>5021</v>
      </c>
      <c r="F37" s="17">
        <f>AVERAGE(Table143690117171225188189[[#This Row],[Teste 1]:[Teste 3]])</f>
        <v>4958</v>
      </c>
      <c r="G37" s="16"/>
      <c r="H37" s="16" t="s">
        <v>16</v>
      </c>
      <c r="I37" s="16" t="s">
        <v>4</v>
      </c>
      <c r="J37" s="17">
        <v>4955</v>
      </c>
      <c r="K37" s="17">
        <v>4842</v>
      </c>
      <c r="L37" s="17">
        <v>5051</v>
      </c>
      <c r="M37" s="17">
        <f>AVERAGE(Table143690117171225188189201[[#This Row],[Teste 1]:[Teste 3]])</f>
        <v>4949.333333333333</v>
      </c>
      <c r="N37" s="16"/>
      <c r="O37" s="16" t="s">
        <v>16</v>
      </c>
      <c r="P37" s="16" t="s">
        <v>4</v>
      </c>
      <c r="Q37" s="17">
        <v>5080</v>
      </c>
      <c r="R37" s="17">
        <v>4943</v>
      </c>
      <c r="S37" s="17">
        <v>5086</v>
      </c>
      <c r="T37" s="17">
        <f>AVERAGE(Table143690117171225188189213[[#This Row],[Teste 1]:[Teste 3]])</f>
        <v>5036.333333333333</v>
      </c>
    </row>
    <row r="38" spans="1:20" x14ac:dyDescent="0.25">
      <c r="A38" s="16" t="s">
        <v>16</v>
      </c>
      <c r="B38" s="16" t="s">
        <v>5</v>
      </c>
      <c r="C38" s="17">
        <v>783.78388507183001</v>
      </c>
      <c r="D38" s="17">
        <v>675.18435643564305</v>
      </c>
      <c r="E38" s="17">
        <v>382.51921927902799</v>
      </c>
      <c r="F38" s="17">
        <f>AVERAGE(Table143690117171225188189[[#This Row],[Teste 1]:[Teste 3]])</f>
        <v>613.82915359550032</v>
      </c>
      <c r="G38" s="16"/>
      <c r="H38" s="16" t="s">
        <v>16</v>
      </c>
      <c r="I38" s="16" t="s">
        <v>5</v>
      </c>
      <c r="J38" s="17">
        <v>1003.24</v>
      </c>
      <c r="K38" s="17">
        <v>864.24</v>
      </c>
      <c r="L38" s="17">
        <v>489.62</v>
      </c>
      <c r="M38" s="17">
        <f>AVERAGE(Table143690117171225188189201[[#This Row],[Teste 1]:[Teste 3]])</f>
        <v>785.69999999999993</v>
      </c>
      <c r="N38" s="16"/>
      <c r="O38" s="16" t="s">
        <v>16</v>
      </c>
      <c r="P38" s="16" t="s">
        <v>5</v>
      </c>
      <c r="Q38" s="17">
        <v>292.05866141732201</v>
      </c>
      <c r="R38" s="17">
        <v>299.796479870523</v>
      </c>
      <c r="S38" s="17">
        <v>304.21726307510801</v>
      </c>
      <c r="T38" s="17">
        <f>AVERAGE(Table143690117171225188189213[[#This Row],[Teste 1]:[Teste 3]])</f>
        <v>298.69080145431769</v>
      </c>
    </row>
    <row r="39" spans="1:20" x14ac:dyDescent="0.25">
      <c r="A39" s="16" t="s">
        <v>16</v>
      </c>
      <c r="B39" s="16" t="s">
        <v>6</v>
      </c>
      <c r="C39" s="17">
        <v>204</v>
      </c>
      <c r="D39" s="17">
        <v>246</v>
      </c>
      <c r="E39" s="17">
        <v>108</v>
      </c>
      <c r="F39" s="17">
        <f>AVERAGE(Table143690117171225188189[[#This Row],[Teste 1]:[Teste 3]])</f>
        <v>186</v>
      </c>
      <c r="G39" s="16"/>
      <c r="H39" s="16" t="s">
        <v>16</v>
      </c>
      <c r="I39" s="16" t="s">
        <v>6</v>
      </c>
      <c r="J39" s="17">
        <v>261</v>
      </c>
      <c r="K39" s="17">
        <v>315</v>
      </c>
      <c r="L39" s="17">
        <v>138</v>
      </c>
      <c r="M39" s="17">
        <f>AVERAGE(Table143690117171225188189201[[#This Row],[Teste 1]:[Teste 3]])</f>
        <v>238</v>
      </c>
      <c r="N39" s="16"/>
      <c r="O39" s="16" t="s">
        <v>16</v>
      </c>
      <c r="P39" s="16" t="s">
        <v>6</v>
      </c>
      <c r="Q39" s="17">
        <v>140</v>
      </c>
      <c r="R39" s="17">
        <v>130</v>
      </c>
      <c r="S39" s="17">
        <v>143</v>
      </c>
      <c r="T39" s="17">
        <f>AVERAGE(Table143690117171225188189213[[#This Row],[Teste 1]:[Teste 3]])</f>
        <v>137.66666666666666</v>
      </c>
    </row>
    <row r="40" spans="1:20" x14ac:dyDescent="0.25">
      <c r="A40" s="16" t="s">
        <v>16</v>
      </c>
      <c r="B40" s="16" t="s">
        <v>7</v>
      </c>
      <c r="C40" s="17">
        <v>77631</v>
      </c>
      <c r="D40" s="17">
        <v>31151</v>
      </c>
      <c r="E40" s="17">
        <v>20095</v>
      </c>
      <c r="F40" s="17">
        <f>AVERAGE(Table143690117171225188189[[#This Row],[Teste 1]:[Teste 3]])</f>
        <v>42959</v>
      </c>
      <c r="G40" s="16"/>
      <c r="H40" s="16" t="s">
        <v>16</v>
      </c>
      <c r="I40" s="16" t="s">
        <v>7</v>
      </c>
      <c r="J40" s="17">
        <v>39368</v>
      </c>
      <c r="K40" s="17">
        <v>39873</v>
      </c>
      <c r="L40" s="17">
        <v>25722</v>
      </c>
      <c r="M40" s="17">
        <f>AVERAGE(Table143690117171225188189201[[#This Row],[Teste 1]:[Teste 3]])</f>
        <v>34987.666666666664</v>
      </c>
      <c r="N40" s="16"/>
      <c r="O40" s="16" t="s">
        <v>16</v>
      </c>
      <c r="P40" s="16" t="s">
        <v>7</v>
      </c>
      <c r="Q40" s="17">
        <v>7327</v>
      </c>
      <c r="R40" s="17">
        <v>7895</v>
      </c>
      <c r="S40" s="17">
        <v>7639</v>
      </c>
      <c r="T40" s="17">
        <f>AVERAGE(Table143690117171225188189213[[#This Row],[Teste 1]:[Teste 3]])</f>
        <v>7620.333333333333</v>
      </c>
    </row>
    <row r="41" spans="1:20" x14ac:dyDescent="0.25">
      <c r="A41" s="16" t="s">
        <v>16</v>
      </c>
      <c r="B41" s="16" t="s">
        <v>8</v>
      </c>
      <c r="C41" s="17">
        <v>1710</v>
      </c>
      <c r="D41" s="17">
        <v>1338</v>
      </c>
      <c r="E41" s="17">
        <v>834</v>
      </c>
      <c r="F41" s="17">
        <f>AVERAGE(Table143690117171225188189[[#This Row],[Teste 1]:[Teste 3]])</f>
        <v>1294</v>
      </c>
      <c r="G41" s="16"/>
      <c r="H41" s="16" t="s">
        <v>16</v>
      </c>
      <c r="I41" s="16" t="s">
        <v>8</v>
      </c>
      <c r="J41" s="17">
        <v>2189</v>
      </c>
      <c r="K41" s="17">
        <v>1713</v>
      </c>
      <c r="L41" s="17">
        <v>1068</v>
      </c>
      <c r="M41" s="17">
        <f>AVERAGE(Table143690117171225188189201[[#This Row],[Teste 1]:[Teste 3]])</f>
        <v>1656.6666666666667</v>
      </c>
      <c r="N41" s="16"/>
      <c r="O41" s="16" t="s">
        <v>16</v>
      </c>
      <c r="P41" s="16" t="s">
        <v>8</v>
      </c>
      <c r="Q41" s="17">
        <v>488</v>
      </c>
      <c r="R41" s="17">
        <v>488</v>
      </c>
      <c r="S41" s="17">
        <v>486</v>
      </c>
      <c r="T41" s="17">
        <f>AVERAGE(Table143690117171225188189213[[#This Row],[Teste 1]:[Teste 3]])</f>
        <v>487.33333333333331</v>
      </c>
    </row>
    <row r="42" spans="1:20" x14ac:dyDescent="0.25">
      <c r="A42" s="16" t="s">
        <v>16</v>
      </c>
      <c r="B42" s="16" t="s">
        <v>9</v>
      </c>
      <c r="C42" s="17">
        <v>3835</v>
      </c>
      <c r="D42" s="17">
        <v>2797</v>
      </c>
      <c r="E42" s="17">
        <v>1993</v>
      </c>
      <c r="F42" s="17">
        <f>AVERAGE(Table143690117171225188189[[#This Row],[Teste 1]:[Teste 3]])</f>
        <v>2875</v>
      </c>
      <c r="G42" s="16"/>
      <c r="H42" s="16" t="s">
        <v>16</v>
      </c>
      <c r="I42" s="16" t="s">
        <v>9</v>
      </c>
      <c r="J42" s="17">
        <v>4909</v>
      </c>
      <c r="K42" s="17">
        <v>3580</v>
      </c>
      <c r="L42" s="17">
        <v>2551</v>
      </c>
      <c r="M42" s="17">
        <f>AVERAGE(Table143690117171225188189201[[#This Row],[Teste 1]:[Teste 3]])</f>
        <v>3680</v>
      </c>
      <c r="N42" s="16"/>
      <c r="O42" s="16" t="s">
        <v>16</v>
      </c>
      <c r="P42" s="16" t="s">
        <v>9</v>
      </c>
      <c r="Q42" s="17">
        <v>707</v>
      </c>
      <c r="R42" s="17">
        <v>718</v>
      </c>
      <c r="S42" s="17">
        <v>846</v>
      </c>
      <c r="T42" s="17">
        <f>AVERAGE(Table143690117171225188189213[[#This Row],[Teste 1]:[Teste 3]])</f>
        <v>757</v>
      </c>
    </row>
    <row r="43" spans="1:20" x14ac:dyDescent="0.25">
      <c r="A43" s="16" t="s">
        <v>16</v>
      </c>
      <c r="B43" s="16" t="s">
        <v>11</v>
      </c>
      <c r="C43" s="17">
        <v>4803</v>
      </c>
      <c r="D43" s="17">
        <v>5050</v>
      </c>
      <c r="E43" s="17">
        <v>5021</v>
      </c>
      <c r="F43" s="17">
        <f>AVERAGE(Table143690117171225188189[[#This Row],[Teste 1]:[Teste 3]])</f>
        <v>4958</v>
      </c>
      <c r="G43" s="16"/>
      <c r="H43" s="16" t="s">
        <v>16</v>
      </c>
      <c r="I43" s="16" t="s">
        <v>11</v>
      </c>
      <c r="J43" s="17">
        <v>4955</v>
      </c>
      <c r="K43" s="17">
        <v>4842</v>
      </c>
      <c r="L43" s="17">
        <v>5051</v>
      </c>
      <c r="M43" s="17">
        <f>AVERAGE(Table143690117171225188189201[[#This Row],[Teste 1]:[Teste 3]])</f>
        <v>4949.333333333333</v>
      </c>
      <c r="N43" s="16"/>
      <c r="O43" s="16" t="s">
        <v>16</v>
      </c>
      <c r="P43" s="16" t="s">
        <v>11</v>
      </c>
      <c r="Q43" s="17">
        <v>5080</v>
      </c>
      <c r="R43" s="17">
        <v>4943</v>
      </c>
      <c r="S43" s="17">
        <v>5086</v>
      </c>
      <c r="T43" s="17">
        <f>AVERAGE(Table143690117171225188189213[[#This Row],[Teste 1]:[Teste 3]])</f>
        <v>5036.333333333333</v>
      </c>
    </row>
    <row r="44" spans="1:20" x14ac:dyDescent="0.25">
      <c r="A44" s="16" t="s">
        <v>3</v>
      </c>
      <c r="B44" s="16" t="s">
        <v>4</v>
      </c>
      <c r="C44" s="17">
        <v>3</v>
      </c>
      <c r="D44" s="17">
        <v>3</v>
      </c>
      <c r="E44" s="17">
        <v>3</v>
      </c>
      <c r="F44" s="17">
        <f>AVERAGE(Table143690117171225188189[[#This Row],[Teste 1]:[Teste 3]])</f>
        <v>3</v>
      </c>
      <c r="G44" s="16"/>
      <c r="H44" s="16" t="s">
        <v>3</v>
      </c>
      <c r="I44" s="16" t="s">
        <v>4</v>
      </c>
      <c r="J44" s="17">
        <v>3</v>
      </c>
      <c r="K44" s="17">
        <v>3</v>
      </c>
      <c r="L44" s="17">
        <v>3</v>
      </c>
      <c r="M44" s="17">
        <f>AVERAGE(Table143690117171225188189201[[#This Row],[Teste 1]:[Teste 3]])</f>
        <v>3</v>
      </c>
      <c r="N44" s="16"/>
      <c r="O44" s="16" t="s">
        <v>3</v>
      </c>
      <c r="P44" s="16" t="s">
        <v>4</v>
      </c>
      <c r="Q44" s="17">
        <v>3</v>
      </c>
      <c r="R44" s="17">
        <v>3</v>
      </c>
      <c r="S44" s="17">
        <v>3</v>
      </c>
      <c r="T44" s="17">
        <f>AVERAGE(Table143690117171225188189213[[#This Row],[Teste 1]:[Teste 3]])</f>
        <v>3</v>
      </c>
    </row>
    <row r="45" spans="1:20" x14ac:dyDescent="0.25">
      <c r="A45" s="16" t="s">
        <v>3</v>
      </c>
      <c r="B45" s="16" t="s">
        <v>5</v>
      </c>
      <c r="C45" s="17">
        <v>3.6666666666666599</v>
      </c>
      <c r="D45" s="17">
        <v>4.6666666666666599</v>
      </c>
      <c r="E45" s="17">
        <v>2</v>
      </c>
      <c r="F45" s="17">
        <f>AVERAGE(Table143690117171225188189[[#This Row],[Teste 1]:[Teste 3]])</f>
        <v>3.4444444444444398</v>
      </c>
      <c r="G45" s="16"/>
      <c r="H45" s="16" t="s">
        <v>3</v>
      </c>
      <c r="I45" s="16" t="s">
        <v>5</v>
      </c>
      <c r="J45" s="17">
        <v>4</v>
      </c>
      <c r="K45" s="17">
        <v>4</v>
      </c>
      <c r="L45" s="17">
        <v>4</v>
      </c>
      <c r="M45" s="17">
        <f>AVERAGE(Table143690117171225188189201[[#This Row],[Teste 1]:[Teste 3]])</f>
        <v>4</v>
      </c>
      <c r="N45" s="16"/>
      <c r="O45" s="16" t="s">
        <v>3</v>
      </c>
      <c r="P45" s="16" t="s">
        <v>5</v>
      </c>
      <c r="Q45" s="17">
        <v>390.666666666666</v>
      </c>
      <c r="R45" s="17">
        <v>430</v>
      </c>
      <c r="S45" s="17">
        <v>416.666666666666</v>
      </c>
      <c r="T45" s="17">
        <f>AVERAGE(Table143690117171225188189213[[#This Row],[Teste 1]:[Teste 3]])</f>
        <v>412.44444444444406</v>
      </c>
    </row>
    <row r="46" spans="1:20" x14ac:dyDescent="0.25">
      <c r="A46" s="16" t="s">
        <v>3</v>
      </c>
      <c r="B46" s="16" t="s">
        <v>6</v>
      </c>
      <c r="C46" s="17">
        <v>7</v>
      </c>
      <c r="D46" s="17">
        <v>1</v>
      </c>
      <c r="E46" s="17">
        <v>0</v>
      </c>
      <c r="F46" s="17">
        <f>AVERAGE(Table143690117171225188189[[#This Row],[Teste 1]:[Teste 3]])</f>
        <v>2.6666666666666665</v>
      </c>
      <c r="G46" s="16"/>
      <c r="H46" s="16" t="s">
        <v>3</v>
      </c>
      <c r="I46" s="16" t="s">
        <v>6</v>
      </c>
      <c r="J46" s="17">
        <v>0</v>
      </c>
      <c r="K46" s="17">
        <v>0</v>
      </c>
      <c r="L46" s="17">
        <v>0</v>
      </c>
      <c r="M46" s="17">
        <f>AVERAGE(Table143690117171225188189201[[#This Row],[Teste 1]:[Teste 3]])</f>
        <v>0</v>
      </c>
      <c r="N46" s="16"/>
      <c r="O46" s="16" t="s">
        <v>3</v>
      </c>
      <c r="P46" s="16" t="s">
        <v>6</v>
      </c>
      <c r="Q46" s="17">
        <v>3</v>
      </c>
      <c r="R46" s="17">
        <v>2</v>
      </c>
      <c r="S46" s="17">
        <v>1</v>
      </c>
      <c r="T46" s="17">
        <f>AVERAGE(Table143690117171225188189213[[#This Row],[Teste 1]:[Teste 3]])</f>
        <v>2</v>
      </c>
    </row>
    <row r="47" spans="1:20" x14ac:dyDescent="0.25">
      <c r="A47" s="16" t="s">
        <v>3</v>
      </c>
      <c r="B47" s="16" t="s">
        <v>7</v>
      </c>
      <c r="C47" s="17">
        <v>9</v>
      </c>
      <c r="D47" s="17">
        <v>12</v>
      </c>
      <c r="E47" s="17">
        <v>6</v>
      </c>
      <c r="F47" s="17">
        <f>AVERAGE(Table143690117171225188189[[#This Row],[Teste 1]:[Teste 3]])</f>
        <v>9</v>
      </c>
      <c r="G47" s="16"/>
      <c r="H47" s="16" t="s">
        <v>3</v>
      </c>
      <c r="I47" s="16" t="s">
        <v>7</v>
      </c>
      <c r="J47" s="17">
        <v>11</v>
      </c>
      <c r="K47" s="17">
        <v>14</v>
      </c>
      <c r="L47" s="17">
        <v>6</v>
      </c>
      <c r="M47" s="17">
        <f>AVERAGE(Table143690117171225188189201[[#This Row],[Teste 1]:[Teste 3]])</f>
        <v>10.333333333333334</v>
      </c>
      <c r="N47" s="16"/>
      <c r="O47" s="16" t="s">
        <v>3</v>
      </c>
      <c r="P47" s="16" t="s">
        <v>7</v>
      </c>
      <c r="Q47" s="17">
        <v>1153</v>
      </c>
      <c r="R47" s="17">
        <v>1278</v>
      </c>
      <c r="S47" s="17">
        <v>1239</v>
      </c>
      <c r="T47" s="17">
        <f>AVERAGE(Table143690117171225188189213[[#This Row],[Teste 1]:[Teste 3]])</f>
        <v>1223.3333333333333</v>
      </c>
    </row>
    <row r="48" spans="1:20" x14ac:dyDescent="0.25">
      <c r="A48" s="16" t="s">
        <v>3</v>
      </c>
      <c r="B48" s="16" t="s">
        <v>8</v>
      </c>
      <c r="C48" s="17">
        <v>9</v>
      </c>
      <c r="D48" s="17">
        <v>12</v>
      </c>
      <c r="E48" s="17">
        <v>6</v>
      </c>
      <c r="F48" s="17">
        <f>AVERAGE(Table143690117171225188189[[#This Row],[Teste 1]:[Teste 3]])</f>
        <v>9</v>
      </c>
      <c r="G48" s="16"/>
      <c r="H48" s="16" t="s">
        <v>3</v>
      </c>
      <c r="I48" s="16" t="s">
        <v>8</v>
      </c>
      <c r="J48" s="17">
        <v>11</v>
      </c>
      <c r="K48" s="17">
        <v>14</v>
      </c>
      <c r="L48" s="17">
        <v>6</v>
      </c>
      <c r="M48" s="17">
        <f>AVERAGE(Table143690117171225188189201[[#This Row],[Teste 1]:[Teste 3]])</f>
        <v>10.333333333333334</v>
      </c>
      <c r="N48" s="16"/>
      <c r="O48" s="16" t="s">
        <v>3</v>
      </c>
      <c r="P48" s="16" t="s">
        <v>8</v>
      </c>
      <c r="Q48" s="17">
        <v>1153</v>
      </c>
      <c r="R48" s="17">
        <v>1278</v>
      </c>
      <c r="S48" s="17">
        <v>1239</v>
      </c>
      <c r="T48" s="17">
        <f>AVERAGE(Table143690117171225188189213[[#This Row],[Teste 1]:[Teste 3]])</f>
        <v>1223.3333333333333</v>
      </c>
    </row>
    <row r="49" spans="1:20" x14ac:dyDescent="0.25">
      <c r="A49" s="16" t="s">
        <v>3</v>
      </c>
      <c r="B49" s="16" t="s">
        <v>9</v>
      </c>
      <c r="C49" s="17">
        <v>9</v>
      </c>
      <c r="D49" s="17">
        <v>12</v>
      </c>
      <c r="E49" s="17">
        <v>6</v>
      </c>
      <c r="F49" s="17">
        <f>AVERAGE(Table143690117171225188189[[#This Row],[Teste 1]:[Teste 3]])</f>
        <v>9</v>
      </c>
      <c r="G49" s="16"/>
      <c r="H49" s="16" t="s">
        <v>3</v>
      </c>
      <c r="I49" s="16" t="s">
        <v>9</v>
      </c>
      <c r="J49" s="17">
        <v>11</v>
      </c>
      <c r="K49" s="17">
        <v>14</v>
      </c>
      <c r="L49" s="17">
        <v>6</v>
      </c>
      <c r="M49" s="17">
        <f>AVERAGE(Table143690117171225188189201[[#This Row],[Teste 1]:[Teste 3]])</f>
        <v>10.333333333333334</v>
      </c>
      <c r="N49" s="16"/>
      <c r="O49" s="16" t="s">
        <v>3</v>
      </c>
      <c r="P49" s="16" t="s">
        <v>9</v>
      </c>
      <c r="Q49" s="17">
        <v>1153</v>
      </c>
      <c r="R49" s="17">
        <v>1278</v>
      </c>
      <c r="S49" s="17">
        <v>1239</v>
      </c>
      <c r="T49" s="17">
        <f>AVERAGE(Table143690117171225188189213[[#This Row],[Teste 1]:[Teste 3]])</f>
        <v>1223.3333333333333</v>
      </c>
    </row>
    <row r="50" spans="1:20" x14ac:dyDescent="0.25">
      <c r="A50" s="16" t="s">
        <v>17</v>
      </c>
      <c r="B50" s="16" t="s">
        <v>4</v>
      </c>
      <c r="C50" s="17">
        <v>95197</v>
      </c>
      <c r="D50" s="17">
        <v>94950</v>
      </c>
      <c r="E50" s="17">
        <v>94979</v>
      </c>
      <c r="F50" s="17">
        <f>AVERAGE(Table143690117171225188189[[#This Row],[Teste 1]:[Teste 3]])</f>
        <v>95042</v>
      </c>
      <c r="G50" s="16"/>
      <c r="H50" s="16" t="s">
        <v>17</v>
      </c>
      <c r="I50" s="16" t="s">
        <v>4</v>
      </c>
      <c r="J50" s="17">
        <v>95045</v>
      </c>
      <c r="K50" s="17">
        <v>95158</v>
      </c>
      <c r="L50" s="17">
        <v>94949</v>
      </c>
      <c r="M50" s="17">
        <f>AVERAGE(Table143690117171225188189201[[#This Row],[Teste 1]:[Teste 3]])</f>
        <v>95050.666666666672</v>
      </c>
      <c r="N50" s="16"/>
      <c r="O50" s="16" t="s">
        <v>17</v>
      </c>
      <c r="P50" s="16" t="s">
        <v>4</v>
      </c>
      <c r="Q50" s="17">
        <v>94920</v>
      </c>
      <c r="R50" s="17">
        <v>95057</v>
      </c>
      <c r="S50" s="17">
        <v>94914</v>
      </c>
      <c r="T50" s="17">
        <f>AVERAGE(Table143690117171225188189213[[#This Row],[Teste 1]:[Teste 3]])</f>
        <v>94963.666666666672</v>
      </c>
    </row>
    <row r="51" spans="1:20" x14ac:dyDescent="0.25">
      <c r="A51" s="16" t="s">
        <v>17</v>
      </c>
      <c r="B51" s="16" t="s">
        <v>5</v>
      </c>
      <c r="C51" s="17">
        <v>602.78205195541796</v>
      </c>
      <c r="D51" s="17">
        <v>506.42935229067899</v>
      </c>
      <c r="E51" s="17">
        <v>257.88786995019899</v>
      </c>
      <c r="F51" s="17">
        <f>AVERAGE(Table143690117171225188189[[#This Row],[Teste 1]:[Teste 3]])</f>
        <v>455.69975806543198</v>
      </c>
      <c r="G51" s="16"/>
      <c r="H51" s="16" t="s">
        <v>17</v>
      </c>
      <c r="I51" s="16" t="s">
        <v>5</v>
      </c>
      <c r="J51" s="17">
        <v>771.56</v>
      </c>
      <c r="K51" s="17">
        <v>648.23</v>
      </c>
      <c r="L51" s="17">
        <v>330.09</v>
      </c>
      <c r="M51" s="17">
        <f>AVERAGE(Table143690117171225188189201[[#This Row],[Teste 1]:[Teste 3]])</f>
        <v>583.29333333333329</v>
      </c>
      <c r="N51" s="16"/>
      <c r="O51" s="16" t="s">
        <v>17</v>
      </c>
      <c r="P51" s="16" t="s">
        <v>5</v>
      </c>
      <c r="Q51" s="17">
        <v>344.017477876106</v>
      </c>
      <c r="R51" s="17">
        <v>332.895336482321</v>
      </c>
      <c r="S51" s="17">
        <v>333.28952525443998</v>
      </c>
      <c r="T51" s="17">
        <f>AVERAGE(Table143690117171225188189213[[#This Row],[Teste 1]:[Teste 3]])</f>
        <v>336.73411320428903</v>
      </c>
    </row>
    <row r="52" spans="1:20" x14ac:dyDescent="0.25">
      <c r="A52" s="16" t="s">
        <v>17</v>
      </c>
      <c r="B52" s="16" t="s">
        <v>6</v>
      </c>
      <c r="C52" s="17">
        <v>185</v>
      </c>
      <c r="D52" s="17">
        <v>191</v>
      </c>
      <c r="E52" s="17">
        <v>84</v>
      </c>
      <c r="F52" s="17">
        <f>AVERAGE(Table143690117171225188189[[#This Row],[Teste 1]:[Teste 3]])</f>
        <v>153.33333333333334</v>
      </c>
      <c r="G52" s="16"/>
      <c r="H52" s="16" t="s">
        <v>17</v>
      </c>
      <c r="I52" s="16" t="s">
        <v>6</v>
      </c>
      <c r="J52" s="17">
        <v>237</v>
      </c>
      <c r="K52" s="17">
        <v>245</v>
      </c>
      <c r="L52" s="17">
        <v>108</v>
      </c>
      <c r="M52" s="17">
        <f>AVERAGE(Table143690117171225188189201[[#This Row],[Teste 1]:[Teste 3]])</f>
        <v>196.66666666666666</v>
      </c>
      <c r="N52" s="16"/>
      <c r="O52" s="16" t="s">
        <v>17</v>
      </c>
      <c r="P52" s="16" t="s">
        <v>6</v>
      </c>
      <c r="Q52" s="17">
        <v>169</v>
      </c>
      <c r="R52" s="17">
        <v>167</v>
      </c>
      <c r="S52" s="17">
        <v>166</v>
      </c>
      <c r="T52" s="17">
        <f>AVERAGE(Table143690117171225188189213[[#This Row],[Teste 1]:[Teste 3]])</f>
        <v>167.33333333333334</v>
      </c>
    </row>
    <row r="53" spans="1:20" x14ac:dyDescent="0.25">
      <c r="A53" s="16" t="s">
        <v>17</v>
      </c>
      <c r="B53" s="16" t="s">
        <v>7</v>
      </c>
      <c r="C53" s="17">
        <v>148095</v>
      </c>
      <c r="D53" s="17">
        <v>85887</v>
      </c>
      <c r="E53" s="17">
        <v>30575</v>
      </c>
      <c r="F53" s="17">
        <f>AVERAGE(Table143690117171225188189[[#This Row],[Teste 1]:[Teste 3]])</f>
        <v>88185.666666666672</v>
      </c>
      <c r="G53" s="16"/>
      <c r="H53" s="16" t="s">
        <v>17</v>
      </c>
      <c r="I53" s="16" t="s">
        <v>7</v>
      </c>
      <c r="J53" s="17">
        <v>189562</v>
      </c>
      <c r="K53" s="17">
        <v>109935</v>
      </c>
      <c r="L53" s="17">
        <v>109136</v>
      </c>
      <c r="M53" s="17">
        <f>AVERAGE(Table143690117171225188189201[[#This Row],[Teste 1]:[Teste 3]])</f>
        <v>136211</v>
      </c>
      <c r="N53" s="16"/>
      <c r="O53" s="16" t="s">
        <v>17</v>
      </c>
      <c r="P53" s="16" t="s">
        <v>7</v>
      </c>
      <c r="Q53" s="17">
        <v>671743</v>
      </c>
      <c r="R53" s="17">
        <v>35135</v>
      </c>
      <c r="S53" s="17">
        <v>35359</v>
      </c>
      <c r="T53" s="17">
        <f>AVERAGE(Table143690117171225188189213[[#This Row],[Teste 1]:[Teste 3]])</f>
        <v>247412.33333333334</v>
      </c>
    </row>
    <row r="54" spans="1:20" x14ac:dyDescent="0.25">
      <c r="A54" s="16" t="s">
        <v>17</v>
      </c>
      <c r="B54" s="16" t="s">
        <v>8</v>
      </c>
      <c r="C54" s="17">
        <v>1268</v>
      </c>
      <c r="D54" s="17">
        <v>963</v>
      </c>
      <c r="E54" s="17">
        <v>542</v>
      </c>
      <c r="F54" s="17">
        <f>AVERAGE(Table143690117171225188189[[#This Row],[Teste 1]:[Teste 3]])</f>
        <v>924.33333333333337</v>
      </c>
      <c r="G54" s="16"/>
      <c r="H54" s="16" t="s">
        <v>17</v>
      </c>
      <c r="I54" s="16" t="s">
        <v>8</v>
      </c>
      <c r="J54" s="17">
        <v>1623</v>
      </c>
      <c r="K54" s="17">
        <v>1334</v>
      </c>
      <c r="L54" s="17">
        <v>1394</v>
      </c>
      <c r="M54" s="17">
        <f>AVERAGE(Table143690117171225188189201[[#This Row],[Teste 1]:[Teste 3]])</f>
        <v>1450.3333333333333</v>
      </c>
      <c r="N54" s="16"/>
      <c r="O54" s="16" t="s">
        <v>17</v>
      </c>
      <c r="P54" s="16" t="s">
        <v>8</v>
      </c>
      <c r="Q54" s="17">
        <v>545</v>
      </c>
      <c r="R54" s="17">
        <v>536</v>
      </c>
      <c r="S54" s="17">
        <v>533</v>
      </c>
      <c r="T54" s="17">
        <f>AVERAGE(Table143690117171225188189213[[#This Row],[Teste 1]:[Teste 3]])</f>
        <v>538</v>
      </c>
    </row>
    <row r="55" spans="1:20" x14ac:dyDescent="0.25">
      <c r="A55" s="16" t="s">
        <v>17</v>
      </c>
      <c r="B55" s="16" t="s">
        <v>9</v>
      </c>
      <c r="C55" s="17">
        <v>3201</v>
      </c>
      <c r="D55" s="17">
        <v>1893</v>
      </c>
      <c r="E55" s="17">
        <v>1296</v>
      </c>
      <c r="F55" s="17">
        <f>AVERAGE(Table143690117171225188189[[#This Row],[Teste 1]:[Teste 3]])</f>
        <v>2130</v>
      </c>
      <c r="G55" s="16"/>
      <c r="H55" s="16" t="s">
        <v>17</v>
      </c>
      <c r="I55" s="16" t="s">
        <v>9</v>
      </c>
      <c r="J55" s="17">
        <v>409</v>
      </c>
      <c r="K55" s="17">
        <v>2423</v>
      </c>
      <c r="L55" s="17">
        <v>1659</v>
      </c>
      <c r="M55" s="17">
        <f>AVERAGE(Table143690117171225188189201[[#This Row],[Teste 1]:[Teste 3]])</f>
        <v>1497</v>
      </c>
      <c r="N55" s="16"/>
      <c r="O55" s="16" t="s">
        <v>17</v>
      </c>
      <c r="P55" s="16" t="s">
        <v>9</v>
      </c>
      <c r="Q55" s="17">
        <v>789</v>
      </c>
      <c r="R55" s="17">
        <v>797</v>
      </c>
      <c r="S55" s="17">
        <v>816</v>
      </c>
      <c r="T55" s="17">
        <f>AVERAGE(Table143690117171225188189213[[#This Row],[Teste 1]:[Teste 3]])</f>
        <v>800.66666666666663</v>
      </c>
    </row>
    <row r="56" spans="1:20" x14ac:dyDescent="0.25">
      <c r="A56" s="16" t="s">
        <v>17</v>
      </c>
      <c r="B56" s="16" t="s">
        <v>11</v>
      </c>
      <c r="C56" s="17">
        <v>95197</v>
      </c>
      <c r="D56" s="17">
        <v>94950</v>
      </c>
      <c r="E56" s="17">
        <v>94979</v>
      </c>
      <c r="F56" s="17">
        <f>AVERAGE(Table143690117171225188189[[#This Row],[Teste 1]:[Teste 3]])</f>
        <v>95042</v>
      </c>
      <c r="G56" s="16"/>
      <c r="H56" s="16" t="s">
        <v>17</v>
      </c>
      <c r="I56" s="16" t="s">
        <v>11</v>
      </c>
      <c r="J56" s="17">
        <v>95045</v>
      </c>
      <c r="K56" s="17">
        <v>95158</v>
      </c>
      <c r="L56" s="17">
        <v>94949</v>
      </c>
      <c r="M56" s="17">
        <f>AVERAGE(Table143690117171225188189201[[#This Row],[Teste 1]:[Teste 3]])</f>
        <v>95050.666666666672</v>
      </c>
      <c r="N56" s="16"/>
      <c r="O56" s="16" t="s">
        <v>17</v>
      </c>
      <c r="P56" s="16" t="s">
        <v>11</v>
      </c>
      <c r="Q56" s="17">
        <v>94920</v>
      </c>
      <c r="R56" s="17">
        <v>95057</v>
      </c>
      <c r="S56" s="17">
        <v>94914</v>
      </c>
      <c r="T56" s="17">
        <f>AVERAGE(Table143690117171225188189213[[#This Row],[Teste 1]:[Teste 3]])</f>
        <v>94963.666666666672</v>
      </c>
    </row>
    <row r="57" spans="1:20" x14ac:dyDescent="0.25">
      <c r="A57" s="16"/>
      <c r="B57" s="16"/>
      <c r="C57" s="17"/>
      <c r="D57" s="17"/>
      <c r="E57" s="17"/>
      <c r="F57" s="17"/>
      <c r="G57" s="16"/>
      <c r="H57" s="16"/>
      <c r="I57" s="16"/>
      <c r="J57" s="17"/>
      <c r="K57" s="17"/>
      <c r="L57" s="17"/>
      <c r="M57" s="17"/>
      <c r="N57" s="16"/>
      <c r="O57" s="16"/>
      <c r="P57" s="16"/>
      <c r="Q57" s="17"/>
      <c r="R57" s="17"/>
      <c r="S57" s="17"/>
      <c r="T57" s="17"/>
    </row>
    <row r="58" spans="1:20" x14ac:dyDescent="0.25">
      <c r="A58" s="16"/>
      <c r="B58" s="16"/>
      <c r="C58" s="17"/>
      <c r="D58" s="17"/>
      <c r="E58" s="17"/>
      <c r="F58" s="17"/>
      <c r="G58" s="16"/>
      <c r="H58" s="16"/>
      <c r="I58" s="16"/>
      <c r="J58" s="17"/>
      <c r="K58" s="17"/>
      <c r="L58" s="17"/>
      <c r="M58" s="17"/>
      <c r="N58" s="16"/>
      <c r="O58" s="16"/>
      <c r="P58" s="16"/>
      <c r="Q58" s="17"/>
      <c r="R58" s="17"/>
      <c r="S58" s="17"/>
      <c r="T58" s="17"/>
    </row>
    <row r="59" spans="1:20" x14ac:dyDescent="0.25">
      <c r="A59" s="16"/>
      <c r="B59" s="16"/>
      <c r="C59" s="17"/>
      <c r="D59" s="17"/>
      <c r="E59" s="17"/>
      <c r="F59" s="17"/>
      <c r="G59" s="16"/>
      <c r="H59" s="16"/>
      <c r="I59" s="16"/>
      <c r="J59" s="17"/>
      <c r="K59" s="17"/>
      <c r="L59" s="17"/>
      <c r="M59" s="17"/>
      <c r="N59" s="16"/>
      <c r="O59" s="16"/>
      <c r="P59" s="16"/>
      <c r="Q59" s="17"/>
      <c r="R59" s="17"/>
      <c r="S59" s="17"/>
      <c r="T59" s="17"/>
    </row>
    <row r="61" spans="1:20" ht="15.75" x14ac:dyDescent="0.25">
      <c r="A61" s="2" t="s">
        <v>73</v>
      </c>
      <c r="H61" s="2" t="s">
        <v>73</v>
      </c>
      <c r="O61" s="2" t="s">
        <v>73</v>
      </c>
    </row>
    <row r="62" spans="1:20" ht="15.75" x14ac:dyDescent="0.25">
      <c r="A62" s="16" t="s">
        <v>59</v>
      </c>
      <c r="B62" s="21" t="s">
        <v>62</v>
      </c>
      <c r="C62" s="16" t="s">
        <v>82</v>
      </c>
      <c r="D62" s="16" t="s">
        <v>64</v>
      </c>
      <c r="E62" s="16" t="s">
        <v>63</v>
      </c>
      <c r="F62" s="16" t="s">
        <v>18</v>
      </c>
      <c r="G62" s="16"/>
      <c r="H62" s="16" t="s">
        <v>12</v>
      </c>
      <c r="I62" s="21" t="s">
        <v>62</v>
      </c>
      <c r="J62" s="16" t="s">
        <v>82</v>
      </c>
      <c r="K62" s="16" t="s">
        <v>64</v>
      </c>
      <c r="L62" s="16" t="s">
        <v>63</v>
      </c>
      <c r="M62" s="16" t="s">
        <v>18</v>
      </c>
      <c r="N62" s="16"/>
      <c r="O62" s="16" t="s">
        <v>13</v>
      </c>
      <c r="P62" s="21" t="s">
        <v>62</v>
      </c>
      <c r="Q62" s="16" t="s">
        <v>82</v>
      </c>
      <c r="R62" s="16" t="s">
        <v>64</v>
      </c>
      <c r="S62" s="16" t="s">
        <v>63</v>
      </c>
      <c r="T62" s="16" t="s">
        <v>18</v>
      </c>
    </row>
    <row r="63" spans="1:20" x14ac:dyDescent="0.25">
      <c r="A63" s="16" t="s">
        <v>0</v>
      </c>
      <c r="B63" s="16" t="s">
        <v>1</v>
      </c>
      <c r="C63" s="17">
        <v>6096</v>
      </c>
      <c r="D63" s="17">
        <v>6651</v>
      </c>
      <c r="E63" s="17">
        <v>9611</v>
      </c>
      <c r="F63" s="17">
        <f>AVERAGE(Table143690117171225188190[[#This Row],[Teste 1]:[Teste 3]])</f>
        <v>7452.666666666667</v>
      </c>
      <c r="G63" s="16"/>
      <c r="H63" s="16" t="s">
        <v>0</v>
      </c>
      <c r="I63" s="16" t="s">
        <v>1</v>
      </c>
      <c r="J63" s="17">
        <v>13436</v>
      </c>
      <c r="K63" s="17">
        <v>12836</v>
      </c>
      <c r="L63" s="17">
        <v>11973</v>
      </c>
      <c r="M63" s="17">
        <f>AVERAGE(Table143690117171225188190202[[#This Row],[Teste 1]:[Teste 3]])</f>
        <v>12748.333333333334</v>
      </c>
      <c r="N63" s="16"/>
      <c r="O63" s="16" t="s">
        <v>0</v>
      </c>
      <c r="P63" s="16" t="s">
        <v>1</v>
      </c>
      <c r="Q63" s="17">
        <v>10102</v>
      </c>
      <c r="R63" s="17">
        <v>9576</v>
      </c>
      <c r="S63" s="17">
        <v>9002</v>
      </c>
      <c r="T63" s="17">
        <f>AVERAGE(Table143690117171225188190214[[#This Row],[Teste 1]:[Teste 3]])</f>
        <v>9560</v>
      </c>
    </row>
    <row r="64" spans="1:20" x14ac:dyDescent="0.25">
      <c r="A64" s="16" t="s">
        <v>0</v>
      </c>
      <c r="B64" s="16" t="s">
        <v>2</v>
      </c>
      <c r="C64" s="17">
        <v>16404.199475065601</v>
      </c>
      <c r="D64" s="17">
        <v>15035.3330326266</v>
      </c>
      <c r="E64" s="17">
        <v>10404.744563520901</v>
      </c>
      <c r="F64" s="17">
        <f>AVERAGE(Table143690117171225188190[[#This Row],[Teste 1]:[Teste 3]])</f>
        <v>13948.092357071035</v>
      </c>
      <c r="G64" s="16"/>
      <c r="H64" s="16" t="s">
        <v>0</v>
      </c>
      <c r="I64" s="16" t="s">
        <v>2</v>
      </c>
      <c r="J64" s="17">
        <v>7442.88</v>
      </c>
      <c r="K64" s="17">
        <v>1851.71</v>
      </c>
      <c r="L64" s="17">
        <v>8352.36</v>
      </c>
      <c r="M64" s="17">
        <f>AVERAGE(Table143690117171225188190202[[#This Row],[Teste 1]:[Teste 3]])</f>
        <v>5882.3166666666666</v>
      </c>
      <c r="N64" s="16"/>
      <c r="O64" s="16" t="s">
        <v>0</v>
      </c>
      <c r="P64" s="16" t="s">
        <v>2</v>
      </c>
      <c r="Q64" s="17">
        <v>9899.02989507028</v>
      </c>
      <c r="R64" s="17">
        <v>10442.773600668301</v>
      </c>
      <c r="S64" s="17">
        <v>11108.6425238835</v>
      </c>
      <c r="T64" s="17">
        <f>AVERAGE(Table143690117171225188190214[[#This Row],[Teste 1]:[Teste 3]])</f>
        <v>10483.482006540695</v>
      </c>
    </row>
    <row r="65" spans="1:20" x14ac:dyDescent="0.25">
      <c r="A65" s="16" t="s">
        <v>16</v>
      </c>
      <c r="B65" s="16" t="s">
        <v>4</v>
      </c>
      <c r="C65" s="17">
        <v>5006</v>
      </c>
      <c r="D65" s="17">
        <v>5051</v>
      </c>
      <c r="E65" s="17">
        <v>5027</v>
      </c>
      <c r="F65" s="17">
        <f>AVERAGE(Table143690117171225188190[[#This Row],[Teste 1]:[Teste 3]])</f>
        <v>5028</v>
      </c>
      <c r="G65" s="16"/>
      <c r="H65" s="16" t="s">
        <v>16</v>
      </c>
      <c r="I65" s="16" t="s">
        <v>4</v>
      </c>
      <c r="J65" s="17">
        <v>5080</v>
      </c>
      <c r="K65" s="17">
        <v>4803</v>
      </c>
      <c r="L65" s="17">
        <v>5003</v>
      </c>
      <c r="M65" s="17">
        <f>AVERAGE(Table143690117171225188190202[[#This Row],[Teste 1]:[Teste 3]])</f>
        <v>4962</v>
      </c>
      <c r="N65" s="16"/>
      <c r="O65" s="16" t="s">
        <v>16</v>
      </c>
      <c r="P65" s="16" t="s">
        <v>4</v>
      </c>
      <c r="Q65" s="17">
        <v>5025</v>
      </c>
      <c r="R65" s="17">
        <v>5156</v>
      </c>
      <c r="S65" s="17">
        <v>4945</v>
      </c>
      <c r="T65" s="17">
        <f>AVERAGE(Table143690117171225188190214[[#This Row],[Teste 1]:[Teste 3]])</f>
        <v>5042</v>
      </c>
    </row>
    <row r="66" spans="1:20" x14ac:dyDescent="0.25">
      <c r="A66" s="16" t="s">
        <v>16</v>
      </c>
      <c r="B66" s="16" t="s">
        <v>5</v>
      </c>
      <c r="C66" s="17">
        <v>427.493208150219</v>
      </c>
      <c r="D66" s="17">
        <v>463.98950702831098</v>
      </c>
      <c r="E66" s="17">
        <v>611.74537497513404</v>
      </c>
      <c r="F66" s="17">
        <f>AVERAGE(Table143690117171225188190[[#This Row],[Teste 1]:[Teste 3]])</f>
        <v>501.07603005122138</v>
      </c>
      <c r="G66" s="16"/>
      <c r="H66" s="16" t="s">
        <v>16</v>
      </c>
      <c r="I66" s="16" t="s">
        <v>5</v>
      </c>
      <c r="J66" s="17">
        <v>699.05</v>
      </c>
      <c r="K66" s="17">
        <v>652.57000000000005</v>
      </c>
      <c r="L66" s="17">
        <v>623.25</v>
      </c>
      <c r="M66" s="17">
        <f>AVERAGE(Table143690117171225188190202[[#This Row],[Teste 1]:[Teste 3]])</f>
        <v>658.29</v>
      </c>
      <c r="N66" s="16"/>
      <c r="O66" s="16" t="s">
        <v>16</v>
      </c>
      <c r="P66" s="16" t="s">
        <v>5</v>
      </c>
      <c r="Q66" s="17">
        <v>525.60318407960199</v>
      </c>
      <c r="R66" s="17">
        <v>490.65321955003799</v>
      </c>
      <c r="S66" s="17">
        <v>468.610920121334</v>
      </c>
      <c r="T66" s="17">
        <f>AVERAGE(Table143690117171225188190214[[#This Row],[Teste 1]:[Teste 3]])</f>
        <v>494.95577458365801</v>
      </c>
    </row>
    <row r="67" spans="1:20" x14ac:dyDescent="0.25">
      <c r="A67" s="16" t="s">
        <v>16</v>
      </c>
      <c r="B67" s="16" t="s">
        <v>6</v>
      </c>
      <c r="C67" s="17">
        <v>96</v>
      </c>
      <c r="D67" s="17">
        <v>103</v>
      </c>
      <c r="E67" s="17">
        <v>121</v>
      </c>
      <c r="F67" s="17">
        <f>AVERAGE(Table143690117171225188190[[#This Row],[Teste 1]:[Teste 3]])</f>
        <v>106.66666666666667</v>
      </c>
      <c r="G67" s="16"/>
      <c r="H67" s="16" t="s">
        <v>16</v>
      </c>
      <c r="I67" s="16" t="s">
        <v>6</v>
      </c>
      <c r="J67" s="17">
        <v>226</v>
      </c>
      <c r="K67" s="17">
        <v>235</v>
      </c>
      <c r="L67" s="17">
        <v>193</v>
      </c>
      <c r="M67" s="17">
        <f>AVERAGE(Table143690117171225188190202[[#This Row],[Teste 1]:[Teste 3]])</f>
        <v>218</v>
      </c>
      <c r="N67" s="16"/>
      <c r="O67" s="16" t="s">
        <v>16</v>
      </c>
      <c r="P67" s="16" t="s">
        <v>6</v>
      </c>
      <c r="Q67" s="17">
        <v>170</v>
      </c>
      <c r="R67" s="17">
        <v>177</v>
      </c>
      <c r="S67" s="17">
        <v>145</v>
      </c>
      <c r="T67" s="17">
        <f>AVERAGE(Table143690117171225188190214[[#This Row],[Teste 1]:[Teste 3]])</f>
        <v>164</v>
      </c>
    </row>
    <row r="68" spans="1:20" x14ac:dyDescent="0.25">
      <c r="A68" s="16" t="s">
        <v>16</v>
      </c>
      <c r="B68" s="16" t="s">
        <v>7</v>
      </c>
      <c r="C68" s="17">
        <v>86783</v>
      </c>
      <c r="D68" s="17">
        <v>114943</v>
      </c>
      <c r="E68" s="17">
        <v>163839</v>
      </c>
      <c r="F68" s="17">
        <f>AVERAGE(Table143690117171225188190[[#This Row],[Teste 1]:[Teste 3]])</f>
        <v>121855</v>
      </c>
      <c r="G68" s="16"/>
      <c r="H68" s="16" t="s">
        <v>16</v>
      </c>
      <c r="I68" s="16" t="s">
        <v>7</v>
      </c>
      <c r="J68" s="17">
        <v>17682</v>
      </c>
      <c r="K68" s="17">
        <v>12448</v>
      </c>
      <c r="L68" s="17">
        <v>49496</v>
      </c>
      <c r="M68" s="17">
        <f>AVERAGE(Table143690117171225188190202[[#This Row],[Teste 1]:[Teste 3]])</f>
        <v>26542</v>
      </c>
      <c r="N68" s="16"/>
      <c r="O68" s="16" t="s">
        <v>16</v>
      </c>
      <c r="P68" s="16" t="s">
        <v>7</v>
      </c>
      <c r="Q68" s="17">
        <v>13295</v>
      </c>
      <c r="R68" s="17">
        <v>9359</v>
      </c>
      <c r="S68" s="17">
        <v>37215</v>
      </c>
      <c r="T68" s="17">
        <f>AVERAGE(Table143690117171225188190214[[#This Row],[Teste 1]:[Teste 3]])</f>
        <v>19956.333333333332</v>
      </c>
    </row>
    <row r="69" spans="1:20" x14ac:dyDescent="0.25">
      <c r="A69" s="16" t="s">
        <v>16</v>
      </c>
      <c r="B69" s="16" t="s">
        <v>8</v>
      </c>
      <c r="C69" s="17">
        <v>890</v>
      </c>
      <c r="D69" s="17">
        <v>959</v>
      </c>
      <c r="E69" s="17">
        <v>1125</v>
      </c>
      <c r="F69" s="17">
        <f>AVERAGE(Table143690117171225188190[[#This Row],[Teste 1]:[Teste 3]])</f>
        <v>991.33333333333337</v>
      </c>
      <c r="G69" s="16"/>
      <c r="H69" s="16" t="s">
        <v>16</v>
      </c>
      <c r="I69" s="16" t="s">
        <v>8</v>
      </c>
      <c r="J69" s="17">
        <v>1587</v>
      </c>
      <c r="K69" s="17">
        <v>1491</v>
      </c>
      <c r="L69" s="17">
        <v>1192</v>
      </c>
      <c r="M69" s="17">
        <f>AVERAGE(Table143690117171225188190202[[#This Row],[Teste 1]:[Teste 3]])</f>
        <v>1423.3333333333333</v>
      </c>
      <c r="N69" s="16"/>
      <c r="O69" s="16" t="s">
        <v>16</v>
      </c>
      <c r="P69" s="16" t="s">
        <v>8</v>
      </c>
      <c r="Q69" s="17">
        <v>1193</v>
      </c>
      <c r="R69" s="17">
        <v>1121</v>
      </c>
      <c r="S69" s="17">
        <v>896</v>
      </c>
      <c r="T69" s="17">
        <f>AVERAGE(Table143690117171225188190214[[#This Row],[Teste 1]:[Teste 3]])</f>
        <v>1070</v>
      </c>
    </row>
    <row r="70" spans="1:20" x14ac:dyDescent="0.25">
      <c r="A70" s="16" t="s">
        <v>16</v>
      </c>
      <c r="B70" s="16" t="s">
        <v>9</v>
      </c>
      <c r="C70" s="17">
        <v>1907</v>
      </c>
      <c r="D70" s="17">
        <v>2089</v>
      </c>
      <c r="E70" s="17">
        <v>2251</v>
      </c>
      <c r="F70" s="17">
        <f>AVERAGE(Table143690117171225188190[[#This Row],[Teste 1]:[Teste 3]])</f>
        <v>2082.3333333333335</v>
      </c>
      <c r="G70" s="16"/>
      <c r="H70" s="16" t="s">
        <v>16</v>
      </c>
      <c r="I70" s="16" t="s">
        <v>9</v>
      </c>
      <c r="J70" s="17">
        <v>3087</v>
      </c>
      <c r="K70" s="17">
        <v>2655</v>
      </c>
      <c r="L70" s="17">
        <v>2093</v>
      </c>
      <c r="M70" s="17">
        <f>AVERAGE(Table143690117171225188190202[[#This Row],[Teste 1]:[Teste 3]])</f>
        <v>2611.6666666666665</v>
      </c>
      <c r="N70" s="16"/>
      <c r="O70" s="16" t="s">
        <v>16</v>
      </c>
      <c r="P70" s="16" t="s">
        <v>9</v>
      </c>
      <c r="Q70" s="17">
        <v>2321</v>
      </c>
      <c r="R70" s="17">
        <v>1996</v>
      </c>
      <c r="S70" s="17">
        <v>1574</v>
      </c>
      <c r="T70" s="17">
        <f>AVERAGE(Table143690117171225188190214[[#This Row],[Teste 1]:[Teste 3]])</f>
        <v>1963.6666666666667</v>
      </c>
    </row>
    <row r="71" spans="1:20" x14ac:dyDescent="0.25">
      <c r="A71" s="16" t="s">
        <v>16</v>
      </c>
      <c r="B71" s="16" t="s">
        <v>11</v>
      </c>
      <c r="C71" s="17">
        <v>5006</v>
      </c>
      <c r="D71" s="17">
        <v>5051</v>
      </c>
      <c r="E71" s="17">
        <v>5027</v>
      </c>
      <c r="F71" s="17">
        <f>AVERAGE(Table143690117171225188190[[#This Row],[Teste 1]:[Teste 3]])</f>
        <v>5028</v>
      </c>
      <c r="G71" s="16"/>
      <c r="H71" s="16" t="s">
        <v>16</v>
      </c>
      <c r="I71" s="16" t="s">
        <v>11</v>
      </c>
      <c r="J71" s="17">
        <v>5080</v>
      </c>
      <c r="K71" s="17">
        <v>4803</v>
      </c>
      <c r="L71" s="17">
        <v>5003</v>
      </c>
      <c r="M71" s="17">
        <f>AVERAGE(Table143690117171225188190202[[#This Row],[Teste 1]:[Teste 3]])</f>
        <v>4962</v>
      </c>
      <c r="N71" s="16"/>
      <c r="O71" s="16" t="s">
        <v>16</v>
      </c>
      <c r="P71" s="16" t="s">
        <v>11</v>
      </c>
      <c r="Q71" s="17">
        <v>5025</v>
      </c>
      <c r="R71" s="17">
        <v>5156</v>
      </c>
      <c r="S71" s="17">
        <v>4945</v>
      </c>
      <c r="T71" s="17">
        <f>AVERAGE(Table143690117171225188190214[[#This Row],[Teste 1]:[Teste 3]])</f>
        <v>5042</v>
      </c>
    </row>
    <row r="72" spans="1:20" x14ac:dyDescent="0.25">
      <c r="A72" s="16" t="s">
        <v>3</v>
      </c>
      <c r="B72" s="16" t="s">
        <v>4</v>
      </c>
      <c r="C72" s="17">
        <v>6</v>
      </c>
      <c r="D72" s="17">
        <v>6</v>
      </c>
      <c r="E72" s="17">
        <v>6</v>
      </c>
      <c r="F72" s="17">
        <f>AVERAGE(Table143690117171225188190[[#This Row],[Teste 1]:[Teste 3]])</f>
        <v>6</v>
      </c>
      <c r="G72" s="16"/>
      <c r="H72" s="16" t="s">
        <v>3</v>
      </c>
      <c r="I72" s="16" t="s">
        <v>4</v>
      </c>
      <c r="J72" s="17">
        <v>6</v>
      </c>
      <c r="K72" s="17">
        <v>6</v>
      </c>
      <c r="L72" s="17">
        <v>6</v>
      </c>
      <c r="M72" s="17">
        <f>AVERAGE(Table143690117171225188190202[[#This Row],[Teste 1]:[Teste 3]])</f>
        <v>6</v>
      </c>
      <c r="N72" s="16"/>
      <c r="O72" s="16" t="s">
        <v>3</v>
      </c>
      <c r="P72" s="16" t="s">
        <v>4</v>
      </c>
      <c r="Q72" s="17">
        <v>6</v>
      </c>
      <c r="R72" s="17">
        <v>6</v>
      </c>
      <c r="S72" s="17">
        <v>6</v>
      </c>
      <c r="T72" s="17">
        <f>AVERAGE(Table143690117171225188190214[[#This Row],[Teste 1]:[Teste 3]])</f>
        <v>6</v>
      </c>
    </row>
    <row r="73" spans="1:20" x14ac:dyDescent="0.25">
      <c r="A73" s="16" t="s">
        <v>3</v>
      </c>
      <c r="B73" s="16" t="s">
        <v>5</v>
      </c>
      <c r="C73" s="17">
        <v>2</v>
      </c>
      <c r="D73" s="17">
        <v>2</v>
      </c>
      <c r="E73" s="17">
        <v>2.6666666666666599</v>
      </c>
      <c r="F73" s="17">
        <f>AVERAGE(Table143690117171225188190[[#This Row],[Teste 1]:[Teste 3]])</f>
        <v>2.2222222222222201</v>
      </c>
      <c r="G73" s="16"/>
      <c r="H73" s="16" t="s">
        <v>3</v>
      </c>
      <c r="I73" s="16" t="s">
        <v>5</v>
      </c>
      <c r="J73" s="17">
        <v>1.33</v>
      </c>
      <c r="K73" s="17">
        <v>1.33</v>
      </c>
      <c r="L73" s="17">
        <v>1.33</v>
      </c>
      <c r="M73" s="17">
        <f>AVERAGE(Table143690117171225188190202[[#This Row],[Teste 1]:[Teste 3]])</f>
        <v>1.33</v>
      </c>
      <c r="N73" s="16"/>
      <c r="O73" s="16" t="s">
        <v>3</v>
      </c>
      <c r="P73" s="16" t="s">
        <v>5</v>
      </c>
      <c r="Q73" s="17">
        <v>302.166666666666</v>
      </c>
      <c r="R73" s="17">
        <v>436</v>
      </c>
      <c r="S73" s="17">
        <v>204.666666666666</v>
      </c>
      <c r="T73" s="17">
        <f>AVERAGE(Table143690117171225188190214[[#This Row],[Teste 1]:[Teste 3]])</f>
        <v>314.27777777777737</v>
      </c>
    </row>
    <row r="74" spans="1:20" x14ac:dyDescent="0.25">
      <c r="A74" s="16" t="s">
        <v>3</v>
      </c>
      <c r="B74" s="16" t="s">
        <v>6</v>
      </c>
      <c r="C74" s="17">
        <v>0</v>
      </c>
      <c r="D74" s="17">
        <v>1</v>
      </c>
      <c r="E74" s="17">
        <v>1</v>
      </c>
      <c r="F74" s="17">
        <f>AVERAGE(Table143690117171225188190[[#This Row],[Teste 1]:[Teste 3]])</f>
        <v>0.66666666666666663</v>
      </c>
      <c r="G74" s="16"/>
      <c r="H74" s="16" t="s">
        <v>3</v>
      </c>
      <c r="I74" s="16" t="s">
        <v>6</v>
      </c>
      <c r="J74" s="17">
        <v>2</v>
      </c>
      <c r="K74" s="17">
        <v>2</v>
      </c>
      <c r="L74" s="17">
        <v>2</v>
      </c>
      <c r="M74" s="17">
        <f>AVERAGE(Table143690117171225188190202[[#This Row],[Teste 1]:[Teste 3]])</f>
        <v>2</v>
      </c>
      <c r="N74" s="16"/>
      <c r="O74" s="16" t="s">
        <v>3</v>
      </c>
      <c r="P74" s="16" t="s">
        <v>6</v>
      </c>
      <c r="Q74" s="17">
        <v>2</v>
      </c>
      <c r="R74" s="17">
        <v>3</v>
      </c>
      <c r="S74" s="17">
        <v>2</v>
      </c>
      <c r="T74" s="17">
        <f>AVERAGE(Table143690117171225188190214[[#This Row],[Teste 1]:[Teste 3]])</f>
        <v>2.3333333333333335</v>
      </c>
    </row>
    <row r="75" spans="1:20" x14ac:dyDescent="0.25">
      <c r="A75" s="16" t="s">
        <v>3</v>
      </c>
      <c r="B75" s="16" t="s">
        <v>7</v>
      </c>
      <c r="C75" s="17">
        <v>8</v>
      </c>
      <c r="D75" s="17">
        <v>7</v>
      </c>
      <c r="E75" s="17">
        <v>11</v>
      </c>
      <c r="F75" s="17">
        <f>AVERAGE(Table143690117171225188190[[#This Row],[Teste 1]:[Teste 3]])</f>
        <v>8.6666666666666661</v>
      </c>
      <c r="G75" s="16"/>
      <c r="H75" s="16" t="s">
        <v>3</v>
      </c>
      <c r="I75" s="16" t="s">
        <v>7</v>
      </c>
      <c r="J75" s="17">
        <v>21</v>
      </c>
      <c r="K75" s="17">
        <v>4</v>
      </c>
      <c r="L75" s="17">
        <v>4</v>
      </c>
      <c r="M75" s="17">
        <f>AVERAGE(Table143690117171225188190202[[#This Row],[Teste 1]:[Teste 3]])</f>
        <v>9.6666666666666661</v>
      </c>
      <c r="N75" s="16"/>
      <c r="O75" s="16" t="s">
        <v>3</v>
      </c>
      <c r="P75" s="16" t="s">
        <v>7</v>
      </c>
      <c r="Q75" s="17">
        <v>1787</v>
      </c>
      <c r="R75" s="17">
        <v>2589</v>
      </c>
      <c r="S75" s="17">
        <v>1199</v>
      </c>
      <c r="T75" s="17">
        <f>AVERAGE(Table143690117171225188190214[[#This Row],[Teste 1]:[Teste 3]])</f>
        <v>1858.3333333333333</v>
      </c>
    </row>
    <row r="76" spans="1:20" x14ac:dyDescent="0.25">
      <c r="A76" s="16" t="s">
        <v>3</v>
      </c>
      <c r="B76" s="16" t="s">
        <v>8</v>
      </c>
      <c r="C76" s="17">
        <v>8</v>
      </c>
      <c r="D76" s="17">
        <v>7</v>
      </c>
      <c r="E76" s="17">
        <v>11</v>
      </c>
      <c r="F76" s="17">
        <f>AVERAGE(Table143690117171225188190[[#This Row],[Teste 1]:[Teste 3]])</f>
        <v>8.6666666666666661</v>
      </c>
      <c r="G76" s="16"/>
      <c r="H76" s="16" t="s">
        <v>3</v>
      </c>
      <c r="I76" s="16" t="s">
        <v>8</v>
      </c>
      <c r="J76" s="17">
        <v>21</v>
      </c>
      <c r="K76" s="17">
        <v>4</v>
      </c>
      <c r="L76" s="17">
        <v>4</v>
      </c>
      <c r="M76" s="17">
        <f>AVERAGE(Table143690117171225188190202[[#This Row],[Teste 1]:[Teste 3]])</f>
        <v>9.6666666666666661</v>
      </c>
      <c r="N76" s="16"/>
      <c r="O76" s="16" t="s">
        <v>3</v>
      </c>
      <c r="P76" s="16" t="s">
        <v>8</v>
      </c>
      <c r="Q76" s="17">
        <v>1787</v>
      </c>
      <c r="R76" s="17">
        <v>2589</v>
      </c>
      <c r="S76" s="17">
        <v>1199</v>
      </c>
      <c r="T76" s="17">
        <f>AVERAGE(Table143690117171225188190214[[#This Row],[Teste 1]:[Teste 3]])</f>
        <v>1858.3333333333333</v>
      </c>
    </row>
    <row r="77" spans="1:20" x14ac:dyDescent="0.25">
      <c r="A77" s="16" t="s">
        <v>3</v>
      </c>
      <c r="B77" s="16" t="s">
        <v>9</v>
      </c>
      <c r="C77" s="17">
        <v>8</v>
      </c>
      <c r="D77" s="17">
        <v>7</v>
      </c>
      <c r="E77" s="17">
        <v>11</v>
      </c>
      <c r="F77" s="17">
        <f>AVERAGE(Table143690117171225188190[[#This Row],[Teste 1]:[Teste 3]])</f>
        <v>8.6666666666666661</v>
      </c>
      <c r="G77" s="16"/>
      <c r="H77" s="16" t="s">
        <v>3</v>
      </c>
      <c r="I77" s="16" t="s">
        <v>9</v>
      </c>
      <c r="J77" s="17">
        <v>21</v>
      </c>
      <c r="K77" s="17">
        <v>4</v>
      </c>
      <c r="L77" s="17">
        <v>4</v>
      </c>
      <c r="M77" s="17">
        <f>AVERAGE(Table143690117171225188190202[[#This Row],[Teste 1]:[Teste 3]])</f>
        <v>9.6666666666666661</v>
      </c>
      <c r="N77" s="16"/>
      <c r="O77" s="16" t="s">
        <v>3</v>
      </c>
      <c r="P77" s="16" t="s">
        <v>9</v>
      </c>
      <c r="Q77" s="17">
        <v>1787</v>
      </c>
      <c r="R77" s="17">
        <v>2589</v>
      </c>
      <c r="S77" s="17">
        <v>1199</v>
      </c>
      <c r="T77" s="17">
        <f>AVERAGE(Table143690117171225188190214[[#This Row],[Teste 1]:[Teste 3]])</f>
        <v>1858.3333333333333</v>
      </c>
    </row>
    <row r="78" spans="1:20" x14ac:dyDescent="0.25">
      <c r="A78" s="16" t="s">
        <v>17</v>
      </c>
      <c r="B78" s="16" t="s">
        <v>4</v>
      </c>
      <c r="C78" s="17">
        <v>94994</v>
      </c>
      <c r="D78" s="17">
        <v>94949</v>
      </c>
      <c r="E78" s="17">
        <v>94973</v>
      </c>
      <c r="F78" s="17">
        <f>AVERAGE(Table143690117171225188190[[#This Row],[Teste 1]:[Teste 3]])</f>
        <v>94972</v>
      </c>
      <c r="G78" s="16"/>
      <c r="H78" s="16" t="s">
        <v>17</v>
      </c>
      <c r="I78" s="16" t="s">
        <v>4</v>
      </c>
      <c r="J78" s="17">
        <v>94920</v>
      </c>
      <c r="K78" s="17">
        <v>95197</v>
      </c>
      <c r="L78" s="17">
        <v>94997</v>
      </c>
      <c r="M78" s="17">
        <f>AVERAGE(Table143690117171225188190202[[#This Row],[Teste 1]:[Teste 3]])</f>
        <v>95038</v>
      </c>
      <c r="N78" s="16"/>
      <c r="O78" s="16" t="s">
        <v>17</v>
      </c>
      <c r="P78" s="16" t="s">
        <v>4</v>
      </c>
      <c r="Q78" s="17">
        <v>94975</v>
      </c>
      <c r="R78" s="17">
        <v>94844</v>
      </c>
      <c r="S78" s="17">
        <v>95055</v>
      </c>
      <c r="T78" s="17">
        <f>AVERAGE(Table143690117171225188190214[[#This Row],[Teste 1]:[Teste 3]])</f>
        <v>94958</v>
      </c>
    </row>
    <row r="79" spans="1:20" x14ac:dyDescent="0.25">
      <c r="A79" s="16" t="s">
        <v>17</v>
      </c>
      <c r="B79" s="16" t="s">
        <v>5</v>
      </c>
      <c r="C79" s="17">
        <v>296.681937806598</v>
      </c>
      <c r="D79" s="17">
        <v>330.06438193135199</v>
      </c>
      <c r="E79" s="17">
        <v>493.030313878681</v>
      </c>
      <c r="F79" s="17">
        <f>AVERAGE(Table143690117171225188190[[#This Row],[Teste 1]:[Teste 3]])</f>
        <v>373.25887787221035</v>
      </c>
      <c r="G79" s="16"/>
      <c r="H79" s="16" t="s">
        <v>17</v>
      </c>
      <c r="I79" s="16" t="s">
        <v>5</v>
      </c>
      <c r="J79" s="17">
        <v>734.47</v>
      </c>
      <c r="K79" s="17">
        <v>691.91</v>
      </c>
      <c r="L79" s="17">
        <v>644.33000000000004</v>
      </c>
      <c r="M79" s="17">
        <f>AVERAGE(Table143690117171225188190202[[#This Row],[Teste 1]:[Teste 3]])</f>
        <v>690.23666666666668</v>
      </c>
      <c r="N79" s="16"/>
      <c r="O79" s="16" t="s">
        <v>17</v>
      </c>
      <c r="P79" s="16" t="s">
        <v>5</v>
      </c>
      <c r="Q79" s="17">
        <v>552.236072650697</v>
      </c>
      <c r="R79" s="17">
        <v>520.22969296950703</v>
      </c>
      <c r="S79" s="17">
        <v>484.457387828099</v>
      </c>
      <c r="T79" s="17">
        <f>AVERAGE(Table143690117171225188190214[[#This Row],[Teste 1]:[Teste 3]])</f>
        <v>518.97438448276762</v>
      </c>
    </row>
    <row r="80" spans="1:20" x14ac:dyDescent="0.25">
      <c r="A80" s="16" t="s">
        <v>17</v>
      </c>
      <c r="B80" s="16" t="s">
        <v>6</v>
      </c>
      <c r="C80" s="17">
        <v>81</v>
      </c>
      <c r="D80" s="17">
        <v>89</v>
      </c>
      <c r="E80" s="17">
        <v>100</v>
      </c>
      <c r="F80" s="17">
        <f>AVERAGE(Table143690117171225188190[[#This Row],[Teste 1]:[Teste 3]])</f>
        <v>90</v>
      </c>
      <c r="G80" s="16"/>
      <c r="H80" s="16" t="s">
        <v>17</v>
      </c>
      <c r="I80" s="16" t="s">
        <v>6</v>
      </c>
      <c r="J80" s="17">
        <v>242</v>
      </c>
      <c r="K80" s="17">
        <v>233</v>
      </c>
      <c r="L80" s="17">
        <v>220</v>
      </c>
      <c r="M80" s="17">
        <f>AVERAGE(Table143690117171225188190202[[#This Row],[Teste 1]:[Teste 3]])</f>
        <v>231.66666666666666</v>
      </c>
      <c r="N80" s="16"/>
      <c r="O80" s="16" t="s">
        <v>17</v>
      </c>
      <c r="P80" s="16" t="s">
        <v>6</v>
      </c>
      <c r="Q80" s="17">
        <v>182</v>
      </c>
      <c r="R80" s="17">
        <v>175</v>
      </c>
      <c r="S80" s="17">
        <v>165</v>
      </c>
      <c r="T80" s="17">
        <f>AVERAGE(Table143690117171225188190214[[#This Row],[Teste 1]:[Teste 3]])</f>
        <v>174</v>
      </c>
    </row>
    <row r="81" spans="1:20" x14ac:dyDescent="0.25">
      <c r="A81" s="16" t="s">
        <v>17</v>
      </c>
      <c r="B81" s="16" t="s">
        <v>7</v>
      </c>
      <c r="C81" s="17">
        <v>143103</v>
      </c>
      <c r="D81" s="17">
        <v>183679</v>
      </c>
      <c r="E81" s="17">
        <v>276223</v>
      </c>
      <c r="F81" s="17">
        <f>AVERAGE(Table143690117171225188190[[#This Row],[Teste 1]:[Teste 3]])</f>
        <v>201001.66666666666</v>
      </c>
      <c r="G81" s="16"/>
      <c r="H81" s="16" t="s">
        <v>17</v>
      </c>
      <c r="I81" s="16" t="s">
        <v>7</v>
      </c>
      <c r="J81" s="17">
        <v>53837</v>
      </c>
      <c r="K81" s="17">
        <v>50815</v>
      </c>
      <c r="L81" s="17">
        <v>56156</v>
      </c>
      <c r="M81" s="17">
        <f>AVERAGE(Table143690117171225188190202[[#This Row],[Teste 1]:[Teste 3]])</f>
        <v>53602.666666666664</v>
      </c>
      <c r="N81" s="16"/>
      <c r="O81" s="16" t="s">
        <v>17</v>
      </c>
      <c r="P81" s="16" t="s">
        <v>7</v>
      </c>
      <c r="Q81" s="17">
        <v>40479</v>
      </c>
      <c r="R81" s="17">
        <v>38207</v>
      </c>
      <c r="S81" s="17">
        <v>136959</v>
      </c>
      <c r="T81" s="17">
        <f>AVERAGE(Table143690117171225188190214[[#This Row],[Teste 1]:[Teste 3]])</f>
        <v>71881.666666666672</v>
      </c>
    </row>
    <row r="82" spans="1:20" x14ac:dyDescent="0.25">
      <c r="A82" s="16" t="s">
        <v>17</v>
      </c>
      <c r="B82" s="16" t="s">
        <v>8</v>
      </c>
      <c r="C82" s="17">
        <v>599</v>
      </c>
      <c r="D82" s="17">
        <v>700</v>
      </c>
      <c r="E82" s="17">
        <v>886</v>
      </c>
      <c r="F82" s="17">
        <f>AVERAGE(Table143690117171225188190[[#This Row],[Teste 1]:[Teste 3]])</f>
        <v>728.33333333333337</v>
      </c>
      <c r="G82" s="16"/>
      <c r="H82" s="16" t="s">
        <v>17</v>
      </c>
      <c r="I82" s="16" t="s">
        <v>8</v>
      </c>
      <c r="J82" s="17">
        <v>1663</v>
      </c>
      <c r="K82" s="17">
        <v>1602</v>
      </c>
      <c r="L82" s="17">
        <v>1252</v>
      </c>
      <c r="M82" s="17">
        <f>AVERAGE(Table143690117171225188190202[[#This Row],[Teste 1]:[Teste 3]])</f>
        <v>1505.6666666666667</v>
      </c>
      <c r="N82" s="16"/>
      <c r="O82" s="16" t="s">
        <v>17</v>
      </c>
      <c r="P82" s="16" t="s">
        <v>8</v>
      </c>
      <c r="Q82" s="17">
        <v>1250</v>
      </c>
      <c r="R82" s="17">
        <v>1205</v>
      </c>
      <c r="S82" s="17">
        <v>941</v>
      </c>
      <c r="T82" s="17">
        <f>AVERAGE(Table143690117171225188190214[[#This Row],[Teste 1]:[Teste 3]])</f>
        <v>1132</v>
      </c>
    </row>
    <row r="83" spans="1:20" x14ac:dyDescent="0.25">
      <c r="A83" s="16" t="s">
        <v>17</v>
      </c>
      <c r="B83" s="16" t="s">
        <v>9</v>
      </c>
      <c r="C83" s="17">
        <v>1411</v>
      </c>
      <c r="D83" s="17">
        <v>1578</v>
      </c>
      <c r="E83" s="17">
        <v>1709</v>
      </c>
      <c r="F83" s="17">
        <f>AVERAGE(Table143690117171225188190[[#This Row],[Teste 1]:[Teste 3]])</f>
        <v>1566</v>
      </c>
      <c r="G83" s="16"/>
      <c r="H83" s="16" t="s">
        <v>17</v>
      </c>
      <c r="I83" s="16" t="s">
        <v>9</v>
      </c>
      <c r="J83" s="17">
        <v>2935</v>
      </c>
      <c r="K83" s="17">
        <v>2696</v>
      </c>
      <c r="L83" s="17">
        <v>2156</v>
      </c>
      <c r="M83" s="17">
        <f>AVERAGE(Table143690117171225188190202[[#This Row],[Teste 1]:[Teste 3]])</f>
        <v>2595.6666666666665</v>
      </c>
      <c r="N83" s="16"/>
      <c r="O83" s="16" t="s">
        <v>17</v>
      </c>
      <c r="P83" s="16" t="s">
        <v>9</v>
      </c>
      <c r="Q83" s="17">
        <v>2207</v>
      </c>
      <c r="R83" s="17">
        <v>2027</v>
      </c>
      <c r="S83" s="17">
        <v>1621</v>
      </c>
      <c r="T83" s="17">
        <f>AVERAGE(Table143690117171225188190214[[#This Row],[Teste 1]:[Teste 3]])</f>
        <v>1951.6666666666667</v>
      </c>
    </row>
    <row r="84" spans="1:20" x14ac:dyDescent="0.25">
      <c r="A84" s="16" t="s">
        <v>17</v>
      </c>
      <c r="B84" s="16" t="s">
        <v>11</v>
      </c>
      <c r="C84" s="17">
        <v>94994</v>
      </c>
      <c r="D84" s="17">
        <v>94949</v>
      </c>
      <c r="E84" s="17">
        <v>94973</v>
      </c>
      <c r="F84" s="17">
        <f>AVERAGE(Table143690117171225188190[[#This Row],[Teste 1]:[Teste 3]])</f>
        <v>94972</v>
      </c>
      <c r="G84" s="16"/>
      <c r="H84" s="16" t="s">
        <v>17</v>
      </c>
      <c r="I84" s="16" t="s">
        <v>11</v>
      </c>
      <c r="J84" s="17">
        <v>94920</v>
      </c>
      <c r="K84" s="17">
        <v>95197</v>
      </c>
      <c r="L84" s="17">
        <v>94997</v>
      </c>
      <c r="M84" s="17">
        <f>AVERAGE(Table143690117171225188190202[[#This Row],[Teste 1]:[Teste 3]])</f>
        <v>95038</v>
      </c>
      <c r="N84" s="16"/>
      <c r="O84" s="16" t="s">
        <v>17</v>
      </c>
      <c r="P84" s="16" t="s">
        <v>11</v>
      </c>
      <c r="Q84" s="17">
        <v>94975</v>
      </c>
      <c r="R84" s="17">
        <v>94844</v>
      </c>
      <c r="S84" s="17">
        <v>95055</v>
      </c>
      <c r="T84" s="17">
        <f>AVERAGE(Table143690117171225188190214[[#This Row],[Teste 1]:[Teste 3]])</f>
        <v>94958</v>
      </c>
    </row>
    <row r="85" spans="1:20" x14ac:dyDescent="0.25">
      <c r="A85" s="16"/>
      <c r="B85" s="16"/>
      <c r="C85" s="17"/>
      <c r="D85" s="17"/>
      <c r="E85" s="17"/>
      <c r="F85" s="17"/>
      <c r="G85" s="16"/>
      <c r="H85" s="16"/>
      <c r="I85" s="16"/>
      <c r="J85" s="17"/>
      <c r="K85" s="17"/>
      <c r="L85" s="17"/>
      <c r="M85" s="17"/>
      <c r="N85" s="16"/>
      <c r="O85" s="16"/>
      <c r="P85" s="16"/>
      <c r="Q85" s="17"/>
      <c r="R85" s="17"/>
      <c r="S85" s="17"/>
      <c r="T85" s="17"/>
    </row>
    <row r="86" spans="1:20" x14ac:dyDescent="0.25">
      <c r="A86" s="16"/>
      <c r="B86" s="16"/>
      <c r="C86" s="17"/>
      <c r="D86" s="17"/>
      <c r="E86" s="17"/>
      <c r="F86" s="17"/>
      <c r="G86" s="16"/>
      <c r="H86" s="16"/>
      <c r="I86" s="16"/>
      <c r="J86" s="17"/>
      <c r="K86" s="17"/>
      <c r="L86" s="17"/>
      <c r="M86" s="17"/>
      <c r="N86" s="16"/>
      <c r="O86" s="16"/>
      <c r="P86" s="16"/>
      <c r="Q86" s="17"/>
      <c r="R86" s="17"/>
      <c r="S86" s="17"/>
      <c r="T86" s="17"/>
    </row>
    <row r="87" spans="1:20" x14ac:dyDescent="0.25">
      <c r="A87" s="16"/>
      <c r="B87" s="16"/>
      <c r="C87" s="17"/>
      <c r="D87" s="17"/>
      <c r="E87" s="17"/>
      <c r="F87" s="17"/>
      <c r="G87" s="16"/>
      <c r="H87" s="16"/>
      <c r="I87" s="16"/>
      <c r="J87" s="17"/>
      <c r="K87" s="17"/>
      <c r="L87" s="17"/>
      <c r="M87" s="17"/>
      <c r="N87" s="16"/>
      <c r="O87" s="16"/>
      <c r="P87" s="16"/>
      <c r="Q87" s="17"/>
      <c r="R87" s="17"/>
      <c r="S87" s="17"/>
      <c r="T87" s="17"/>
    </row>
    <row r="90" spans="1:20" ht="15.75" x14ac:dyDescent="0.25">
      <c r="A90" s="2" t="s">
        <v>66</v>
      </c>
      <c r="H90" s="2" t="s">
        <v>66</v>
      </c>
      <c r="O90" s="2" t="s">
        <v>66</v>
      </c>
    </row>
    <row r="91" spans="1:20" ht="15.75" x14ac:dyDescent="0.25">
      <c r="A91" s="2" t="s">
        <v>65</v>
      </c>
      <c r="H91" s="2" t="s">
        <v>65</v>
      </c>
      <c r="O91" s="2" t="s">
        <v>65</v>
      </c>
    </row>
    <row r="92" spans="1:20" ht="15.75" x14ac:dyDescent="0.25">
      <c r="A92" s="16" t="s">
        <v>59</v>
      </c>
      <c r="B92" s="21" t="s">
        <v>66</v>
      </c>
      <c r="C92" s="16" t="s">
        <v>82</v>
      </c>
      <c r="D92" s="16" t="s">
        <v>64</v>
      </c>
      <c r="E92" s="16" t="s">
        <v>63</v>
      </c>
      <c r="F92" s="16" t="s">
        <v>18</v>
      </c>
      <c r="G92" s="16"/>
      <c r="H92" s="16" t="s">
        <v>12</v>
      </c>
      <c r="I92" s="21" t="s">
        <v>66</v>
      </c>
      <c r="J92" s="16" t="s">
        <v>82</v>
      </c>
      <c r="K92" s="16" t="s">
        <v>64</v>
      </c>
      <c r="L92" s="16" t="s">
        <v>63</v>
      </c>
      <c r="M92" s="16" t="s">
        <v>18</v>
      </c>
      <c r="N92" s="16"/>
      <c r="O92" s="16" t="s">
        <v>13</v>
      </c>
      <c r="P92" s="21" t="s">
        <v>66</v>
      </c>
      <c r="Q92" s="16" t="s">
        <v>82</v>
      </c>
      <c r="R92" s="16" t="s">
        <v>64</v>
      </c>
      <c r="S92" s="16" t="s">
        <v>63</v>
      </c>
      <c r="T92" s="16" t="s">
        <v>18</v>
      </c>
    </row>
    <row r="93" spans="1:20" x14ac:dyDescent="0.25">
      <c r="A93" s="16" t="s">
        <v>0</v>
      </c>
      <c r="B93" s="16" t="s">
        <v>1</v>
      </c>
      <c r="C93" s="17">
        <v>1153686</v>
      </c>
      <c r="D93" s="17">
        <v>988874</v>
      </c>
      <c r="E93" s="17">
        <v>971267</v>
      </c>
      <c r="F93" s="17">
        <f>AVERAGE(Table143690117171225188191[[#This Row],[Teste 1]:[Teste 3]])</f>
        <v>1037942.3333333334</v>
      </c>
      <c r="G93" s="16"/>
      <c r="H93" s="16" t="s">
        <v>0</v>
      </c>
      <c r="I93" s="16" t="s">
        <v>1</v>
      </c>
      <c r="J93" s="17">
        <v>1452490</v>
      </c>
      <c r="K93" s="17">
        <v>1244993</v>
      </c>
      <c r="L93" s="17">
        <v>1222825</v>
      </c>
      <c r="M93" s="17">
        <f>AVERAGE(Table143690117171225188191203[[#This Row],[Teste 1]:[Teste 3]])</f>
        <v>1306769.3333333333</v>
      </c>
      <c r="N93" s="16"/>
      <c r="O93" s="16" t="s">
        <v>0</v>
      </c>
      <c r="P93" s="16" t="s">
        <v>1</v>
      </c>
      <c r="Q93" s="17">
        <v>676949</v>
      </c>
      <c r="R93" s="17">
        <v>641508</v>
      </c>
      <c r="S93" s="17">
        <v>674014</v>
      </c>
      <c r="T93" s="17">
        <f>AVERAGE(Table143690117171225188191215[[#This Row],[Teste 1]:[Teste 3]])</f>
        <v>664157</v>
      </c>
    </row>
    <row r="94" spans="1:20" x14ac:dyDescent="0.25">
      <c r="A94" s="16" t="s">
        <v>0</v>
      </c>
      <c r="B94" s="16" t="s">
        <v>2</v>
      </c>
      <c r="C94" s="17">
        <v>866.78697669903204</v>
      </c>
      <c r="D94" s="17">
        <v>1011.25118063575</v>
      </c>
      <c r="E94" s="17">
        <v>1029.5830085856901</v>
      </c>
      <c r="F94" s="17">
        <f>AVERAGE(Table143690117171225188191[[#This Row],[Teste 1]:[Teste 3]])</f>
        <v>969.20705530682392</v>
      </c>
      <c r="G94" s="16"/>
      <c r="H94" s="16" t="s">
        <v>0</v>
      </c>
      <c r="I94" s="16" t="s">
        <v>2</v>
      </c>
      <c r="J94" s="17">
        <v>688.47</v>
      </c>
      <c r="K94" s="17">
        <v>803.22</v>
      </c>
      <c r="L94" s="17">
        <v>817.78</v>
      </c>
      <c r="M94" s="17">
        <f>AVERAGE(Table143690117171225188191203[[#This Row],[Teste 1]:[Teste 3]])</f>
        <v>769.82333333333338</v>
      </c>
      <c r="N94" s="16"/>
      <c r="O94" s="16" t="s">
        <v>0</v>
      </c>
      <c r="P94" s="16" t="s">
        <v>2</v>
      </c>
      <c r="Q94" s="17">
        <v>1477.2161566085399</v>
      </c>
      <c r="R94" s="17">
        <v>1558.82701384861</v>
      </c>
      <c r="S94" s="17">
        <v>1483.64870759361</v>
      </c>
      <c r="T94" s="17">
        <f>AVERAGE(Table143690117171225188191215[[#This Row],[Teste 1]:[Teste 3]])</f>
        <v>1506.5639593502535</v>
      </c>
    </row>
    <row r="95" spans="1:20" x14ac:dyDescent="0.25">
      <c r="A95" s="16" t="s">
        <v>16</v>
      </c>
      <c r="B95" s="16" t="s">
        <v>4</v>
      </c>
      <c r="C95" s="17">
        <v>50335</v>
      </c>
      <c r="D95" s="17">
        <v>50091</v>
      </c>
      <c r="E95" s="17">
        <v>49993</v>
      </c>
      <c r="F95" s="17">
        <f>AVERAGE(Table143690117171225188191[[#This Row],[Teste 1]:[Teste 3]])</f>
        <v>50139.666666666664</v>
      </c>
      <c r="G95" s="16"/>
      <c r="H95" s="16" t="s">
        <v>16</v>
      </c>
      <c r="I95" s="16" t="s">
        <v>4</v>
      </c>
      <c r="J95" s="17">
        <v>49800</v>
      </c>
      <c r="K95" s="17">
        <v>50230</v>
      </c>
      <c r="L95" s="17">
        <v>49772</v>
      </c>
      <c r="M95" s="17">
        <f>AVERAGE(Table143690117171225188191203[[#This Row],[Teste 1]:[Teste 3]])</f>
        <v>49934</v>
      </c>
      <c r="N95" s="16"/>
      <c r="O95" s="16" t="s">
        <v>16</v>
      </c>
      <c r="P95" s="16" t="s">
        <v>4</v>
      </c>
      <c r="Q95" s="17">
        <v>49951</v>
      </c>
      <c r="R95" s="17">
        <v>50274</v>
      </c>
      <c r="S95" s="17">
        <v>49978</v>
      </c>
      <c r="T95" s="17">
        <f>AVERAGE(Table143690117171225188191215[[#This Row],[Teste 1]:[Teste 3]])</f>
        <v>50067.666666666664</v>
      </c>
    </row>
    <row r="96" spans="1:20" x14ac:dyDescent="0.25">
      <c r="A96" s="16" t="s">
        <v>16</v>
      </c>
      <c r="B96" s="16" t="s">
        <v>5</v>
      </c>
      <c r="C96" s="17">
        <v>15473.6548524883</v>
      </c>
      <c r="D96" s="17">
        <v>13016.3318360583</v>
      </c>
      <c r="E96" s="17">
        <v>13209.632988618399</v>
      </c>
      <c r="F96" s="17">
        <f>AVERAGE(Table143690117171225188191[[#This Row],[Teste 1]:[Teste 3]])</f>
        <v>13899.873225721667</v>
      </c>
      <c r="G96" s="16"/>
      <c r="H96" s="16" t="s">
        <v>16</v>
      </c>
      <c r="I96" s="16" t="s">
        <v>5</v>
      </c>
      <c r="J96" s="17">
        <v>19481.330000000002</v>
      </c>
      <c r="K96" s="17">
        <v>16387.560000000001</v>
      </c>
      <c r="L96" s="17">
        <v>16630.93</v>
      </c>
      <c r="M96" s="17">
        <f>AVERAGE(Table143690117171225188191203[[#This Row],[Teste 1]:[Teste 3]])</f>
        <v>17499.939999999999</v>
      </c>
      <c r="N96" s="16"/>
      <c r="O96" s="16" t="s">
        <v>16</v>
      </c>
      <c r="P96" s="16" t="s">
        <v>5</v>
      </c>
      <c r="Q96" s="17">
        <v>555.41400572561099</v>
      </c>
      <c r="R96" s="17">
        <v>625.51644985479504</v>
      </c>
      <c r="S96" s="17">
        <v>554.83312657569297</v>
      </c>
      <c r="T96" s="17">
        <f>AVERAGE(Table143690117171225188191215[[#This Row],[Teste 1]:[Teste 3]])</f>
        <v>578.58786071869963</v>
      </c>
    </row>
    <row r="97" spans="1:20" x14ac:dyDescent="0.25">
      <c r="A97" s="16" t="s">
        <v>16</v>
      </c>
      <c r="B97" s="16" t="s">
        <v>6</v>
      </c>
      <c r="C97" s="17">
        <v>96</v>
      </c>
      <c r="D97" s="17">
        <v>97</v>
      </c>
      <c r="E97" s="17">
        <v>105</v>
      </c>
      <c r="F97" s="17">
        <f>AVERAGE(Table143690117171225188191[[#This Row],[Teste 1]:[Teste 3]])</f>
        <v>99.333333333333329</v>
      </c>
      <c r="G97" s="16"/>
      <c r="H97" s="16" t="s">
        <v>16</v>
      </c>
      <c r="I97" s="16" t="s">
        <v>6</v>
      </c>
      <c r="J97" s="17">
        <v>121</v>
      </c>
      <c r="K97" s="17">
        <v>122</v>
      </c>
      <c r="L97" s="17">
        <v>132</v>
      </c>
      <c r="M97" s="17">
        <f>AVERAGE(Table143690117171225188191203[[#This Row],[Teste 1]:[Teste 3]])</f>
        <v>125</v>
      </c>
      <c r="N97" s="16"/>
      <c r="O97" s="16" t="s">
        <v>16</v>
      </c>
      <c r="P97" s="16" t="s">
        <v>6</v>
      </c>
      <c r="Q97" s="17">
        <v>123</v>
      </c>
      <c r="R97" s="17">
        <v>124</v>
      </c>
      <c r="S97" s="17">
        <v>135</v>
      </c>
      <c r="T97" s="17">
        <f>AVERAGE(Table143690117171225188191215[[#This Row],[Teste 1]:[Teste 3]])</f>
        <v>127.33333333333333</v>
      </c>
    </row>
    <row r="98" spans="1:20" x14ac:dyDescent="0.25">
      <c r="A98" s="16" t="s">
        <v>16</v>
      </c>
      <c r="B98" s="16" t="s">
        <v>7</v>
      </c>
      <c r="C98" s="17">
        <v>7376895</v>
      </c>
      <c r="D98" s="17">
        <v>6447103</v>
      </c>
      <c r="E98" s="17">
        <v>5996543</v>
      </c>
      <c r="F98" s="17">
        <f>AVERAGE(Table143690117171225188191[[#This Row],[Teste 1]:[Teste 3]])</f>
        <v>6606847</v>
      </c>
      <c r="G98" s="16"/>
      <c r="H98" s="16" t="s">
        <v>16</v>
      </c>
      <c r="I98" s="16" t="s">
        <v>7</v>
      </c>
      <c r="J98" s="17">
        <v>9287511</v>
      </c>
      <c r="K98" s="17">
        <v>8116903</v>
      </c>
      <c r="L98" s="17">
        <v>7549648</v>
      </c>
      <c r="M98" s="17">
        <f>AVERAGE(Table143690117171225188191203[[#This Row],[Teste 1]:[Teste 3]])</f>
        <v>8318020.666666667</v>
      </c>
      <c r="N98" s="16"/>
      <c r="O98" s="16" t="s">
        <v>16</v>
      </c>
      <c r="P98" s="16" t="s">
        <v>7</v>
      </c>
      <c r="Q98" s="17">
        <v>34527</v>
      </c>
      <c r="R98" s="17">
        <v>2254847</v>
      </c>
      <c r="S98" s="17">
        <v>36223</v>
      </c>
      <c r="T98" s="17">
        <f>AVERAGE(Table143690117171225188191215[[#This Row],[Teste 1]:[Teste 3]])</f>
        <v>775199</v>
      </c>
    </row>
    <row r="99" spans="1:20" x14ac:dyDescent="0.25">
      <c r="A99" s="16" t="s">
        <v>16</v>
      </c>
      <c r="B99" s="16" t="s">
        <v>8</v>
      </c>
      <c r="C99" s="17">
        <v>55903</v>
      </c>
      <c r="D99" s="17">
        <v>54015</v>
      </c>
      <c r="E99" s="17">
        <v>55455</v>
      </c>
      <c r="F99" s="17">
        <f>AVERAGE(Table143690117171225188191[[#This Row],[Teste 1]:[Teste 3]])</f>
        <v>55124.333333333336</v>
      </c>
      <c r="G99" s="16"/>
      <c r="H99" s="16" t="s">
        <v>16</v>
      </c>
      <c r="I99" s="16" t="s">
        <v>8</v>
      </c>
      <c r="J99" s="17">
        <v>70382</v>
      </c>
      <c r="K99" s="17">
        <v>68005</v>
      </c>
      <c r="L99" s="17">
        <v>69818</v>
      </c>
      <c r="M99" s="17">
        <f>AVERAGE(Table143690117171225188191203[[#This Row],[Teste 1]:[Teste 3]])</f>
        <v>69401.666666666672</v>
      </c>
      <c r="N99" s="16"/>
      <c r="O99" s="16" t="s">
        <v>16</v>
      </c>
      <c r="P99" s="16" t="s">
        <v>8</v>
      </c>
      <c r="Q99" s="17">
        <v>1187</v>
      </c>
      <c r="R99" s="17">
        <v>1254</v>
      </c>
      <c r="S99" s="17">
        <v>1204</v>
      </c>
      <c r="T99" s="17">
        <f>AVERAGE(Table143690117171225188191215[[#This Row],[Teste 1]:[Teste 3]])</f>
        <v>1215</v>
      </c>
    </row>
    <row r="100" spans="1:20" x14ac:dyDescent="0.25">
      <c r="A100" s="16" t="s">
        <v>16</v>
      </c>
      <c r="B100" s="16" t="s">
        <v>9</v>
      </c>
      <c r="C100" s="17">
        <v>68543</v>
      </c>
      <c r="D100" s="17">
        <v>63903</v>
      </c>
      <c r="E100" s="17">
        <v>69631</v>
      </c>
      <c r="F100" s="17">
        <f>AVERAGE(Table143690117171225188191[[#This Row],[Teste 1]:[Teste 3]])</f>
        <v>67359</v>
      </c>
      <c r="G100" s="16"/>
      <c r="H100" s="16" t="s">
        <v>16</v>
      </c>
      <c r="I100" s="16" t="s">
        <v>9</v>
      </c>
      <c r="J100" s="17">
        <v>86296</v>
      </c>
      <c r="K100" s="17">
        <v>80454</v>
      </c>
      <c r="L100" s="17">
        <v>87665</v>
      </c>
      <c r="M100" s="17">
        <f>AVERAGE(Table143690117171225188191203[[#This Row],[Teste 1]:[Teste 3]])</f>
        <v>84805</v>
      </c>
      <c r="N100" s="16"/>
      <c r="O100" s="16" t="s">
        <v>16</v>
      </c>
      <c r="P100" s="16" t="s">
        <v>9</v>
      </c>
      <c r="Q100" s="17">
        <v>6091</v>
      </c>
      <c r="R100" s="17">
        <v>5279</v>
      </c>
      <c r="S100" s="17">
        <v>5435</v>
      </c>
      <c r="T100" s="17">
        <f>AVERAGE(Table143690117171225188191215[[#This Row],[Teste 1]:[Teste 3]])</f>
        <v>5601.666666666667</v>
      </c>
    </row>
    <row r="101" spans="1:20" x14ac:dyDescent="0.25">
      <c r="A101" s="16" t="s">
        <v>16</v>
      </c>
      <c r="B101" s="16" t="s">
        <v>11</v>
      </c>
      <c r="C101" s="17">
        <v>50335</v>
      </c>
      <c r="D101" s="17">
        <v>50091</v>
      </c>
      <c r="E101" s="17">
        <v>49993</v>
      </c>
      <c r="F101" s="17">
        <f>AVERAGE(Table143690117171225188191[[#This Row],[Teste 1]:[Teste 3]])</f>
        <v>50139.666666666664</v>
      </c>
      <c r="G101" s="16"/>
      <c r="H101" s="16" t="s">
        <v>16</v>
      </c>
      <c r="I101" s="16" t="s">
        <v>11</v>
      </c>
      <c r="J101" s="17">
        <v>49800</v>
      </c>
      <c r="K101" s="17">
        <v>50230</v>
      </c>
      <c r="L101" s="17">
        <v>49772</v>
      </c>
      <c r="M101" s="17">
        <f>AVERAGE(Table143690117171225188191203[[#This Row],[Teste 1]:[Teste 3]])</f>
        <v>49934</v>
      </c>
      <c r="N101" s="16"/>
      <c r="O101" s="16" t="s">
        <v>16</v>
      </c>
      <c r="P101" s="16" t="s">
        <v>11</v>
      </c>
      <c r="Q101" s="17">
        <v>49951</v>
      </c>
      <c r="R101" s="17">
        <v>50274</v>
      </c>
      <c r="S101" s="17">
        <v>49978</v>
      </c>
      <c r="T101" s="17">
        <f>AVERAGE(Table143690117171225188191215[[#This Row],[Teste 1]:[Teste 3]])</f>
        <v>50067.666666666664</v>
      </c>
    </row>
    <row r="102" spans="1:20" x14ac:dyDescent="0.25">
      <c r="A102" s="16" t="s">
        <v>3</v>
      </c>
      <c r="B102" s="16" t="s">
        <v>4</v>
      </c>
      <c r="C102" s="17">
        <v>1</v>
      </c>
      <c r="D102" s="17">
        <v>1</v>
      </c>
      <c r="E102" s="17">
        <v>1</v>
      </c>
      <c r="F102" s="17">
        <f>AVERAGE(Table143690117171225188191[[#This Row],[Teste 1]:[Teste 3]])</f>
        <v>1</v>
      </c>
      <c r="G102" s="16"/>
      <c r="H102" s="16" t="s">
        <v>3</v>
      </c>
      <c r="I102" s="16" t="s">
        <v>4</v>
      </c>
      <c r="J102" s="17">
        <v>1</v>
      </c>
      <c r="K102" s="17">
        <v>1</v>
      </c>
      <c r="L102" s="17">
        <v>1</v>
      </c>
      <c r="M102" s="17">
        <f>AVERAGE(Table143690117171225188191203[[#This Row],[Teste 1]:[Teste 3]])</f>
        <v>1</v>
      </c>
      <c r="N102" s="16"/>
      <c r="O102" s="16" t="s">
        <v>3</v>
      </c>
      <c r="P102" s="16" t="s">
        <v>4</v>
      </c>
      <c r="Q102" s="17">
        <v>1</v>
      </c>
      <c r="R102" s="17">
        <v>1</v>
      </c>
      <c r="S102" s="17">
        <v>1</v>
      </c>
      <c r="T102" s="17">
        <f>AVERAGE(Table143690117171225188191215[[#This Row],[Teste 1]:[Teste 3]])</f>
        <v>1</v>
      </c>
    </row>
    <row r="103" spans="1:20" x14ac:dyDescent="0.25">
      <c r="A103" s="16" t="s">
        <v>3</v>
      </c>
      <c r="B103" s="16" t="s">
        <v>5</v>
      </c>
      <c r="C103" s="17">
        <v>2</v>
      </c>
      <c r="D103" s="17">
        <v>2</v>
      </c>
      <c r="E103" s="17">
        <v>2</v>
      </c>
      <c r="F103" s="17">
        <f>AVERAGE(Table143690117171225188191[[#This Row],[Teste 1]:[Teste 3]])</f>
        <v>2</v>
      </c>
      <c r="G103" s="16"/>
      <c r="H103" s="16" t="s">
        <v>3</v>
      </c>
      <c r="I103" s="16" t="s">
        <v>5</v>
      </c>
      <c r="J103" s="17">
        <v>11</v>
      </c>
      <c r="K103" s="17">
        <v>13</v>
      </c>
      <c r="L103" s="17">
        <v>11</v>
      </c>
      <c r="M103" s="17">
        <f>AVERAGE(Table143690117171225188191203[[#This Row],[Teste 1]:[Teste 3]])</f>
        <v>11.666666666666666</v>
      </c>
      <c r="N103" s="16"/>
      <c r="O103" s="16" t="s">
        <v>3</v>
      </c>
      <c r="P103" s="16" t="s">
        <v>5</v>
      </c>
      <c r="Q103" s="17">
        <v>1976</v>
      </c>
      <c r="R103" s="17">
        <v>28600</v>
      </c>
      <c r="S103" s="17">
        <v>2117</v>
      </c>
      <c r="T103" s="17">
        <f>AVERAGE(Table143690117171225188191215[[#This Row],[Teste 1]:[Teste 3]])</f>
        <v>10897.666666666666</v>
      </c>
    </row>
    <row r="104" spans="1:20" ht="16.5" customHeight="1" x14ac:dyDescent="0.25">
      <c r="A104" s="16" t="s">
        <v>3</v>
      </c>
      <c r="B104" s="16" t="s">
        <v>6</v>
      </c>
      <c r="C104" s="17">
        <v>2</v>
      </c>
      <c r="D104" s="17">
        <v>2</v>
      </c>
      <c r="E104" s="17">
        <v>2</v>
      </c>
      <c r="F104" s="17">
        <f>AVERAGE(Table143690117171225188191[[#This Row],[Teste 1]:[Teste 3]])</f>
        <v>2</v>
      </c>
      <c r="G104" s="16"/>
      <c r="H104" s="16" t="s">
        <v>3</v>
      </c>
      <c r="I104" s="16" t="s">
        <v>6</v>
      </c>
      <c r="J104" s="17">
        <v>11</v>
      </c>
      <c r="K104" s="17">
        <v>13</v>
      </c>
      <c r="L104" s="17">
        <v>11</v>
      </c>
      <c r="M104" s="17">
        <f>AVERAGE(Table143690117171225188191203[[#This Row],[Teste 1]:[Teste 3]])</f>
        <v>11.666666666666666</v>
      </c>
      <c r="N104" s="16"/>
      <c r="O104" s="16" t="s">
        <v>3</v>
      </c>
      <c r="P104" s="16" t="s">
        <v>6</v>
      </c>
      <c r="Q104" s="17">
        <v>1976</v>
      </c>
      <c r="R104" s="17">
        <v>28600</v>
      </c>
      <c r="S104" s="17">
        <v>2117</v>
      </c>
      <c r="T104" s="17">
        <f>AVERAGE(Table143690117171225188191215[[#This Row],[Teste 1]:[Teste 3]])</f>
        <v>10897.666666666666</v>
      </c>
    </row>
    <row r="105" spans="1:20" x14ac:dyDescent="0.25">
      <c r="A105" s="16" t="s">
        <v>3</v>
      </c>
      <c r="B105" s="16" t="s">
        <v>7</v>
      </c>
      <c r="C105" s="17">
        <v>2</v>
      </c>
      <c r="D105" s="17">
        <v>2</v>
      </c>
      <c r="E105" s="17">
        <v>2</v>
      </c>
      <c r="F105" s="17">
        <f>AVERAGE(Table143690117171225188191[[#This Row],[Teste 1]:[Teste 3]])</f>
        <v>2</v>
      </c>
      <c r="G105" s="16"/>
      <c r="H105" s="16" t="s">
        <v>3</v>
      </c>
      <c r="I105" s="16" t="s">
        <v>7</v>
      </c>
      <c r="J105" s="17">
        <v>11</v>
      </c>
      <c r="K105" s="17">
        <v>13</v>
      </c>
      <c r="L105" s="17">
        <v>11</v>
      </c>
      <c r="M105" s="17">
        <f>AVERAGE(Table143690117171225188191203[[#This Row],[Teste 1]:[Teste 3]])</f>
        <v>11.666666666666666</v>
      </c>
      <c r="N105" s="16"/>
      <c r="O105" s="16" t="s">
        <v>3</v>
      </c>
      <c r="P105" s="16" t="s">
        <v>7</v>
      </c>
      <c r="Q105" s="17">
        <v>1976</v>
      </c>
      <c r="R105" s="17">
        <v>28600</v>
      </c>
      <c r="S105" s="17">
        <v>2117</v>
      </c>
      <c r="T105" s="17">
        <f>AVERAGE(Table143690117171225188191215[[#This Row],[Teste 1]:[Teste 3]])</f>
        <v>10897.666666666666</v>
      </c>
    </row>
    <row r="106" spans="1:20" x14ac:dyDescent="0.25">
      <c r="A106" s="16" t="s">
        <v>3</v>
      </c>
      <c r="B106" s="16" t="s">
        <v>8</v>
      </c>
      <c r="C106" s="17">
        <v>2</v>
      </c>
      <c r="D106" s="17">
        <v>2</v>
      </c>
      <c r="E106" s="17">
        <v>2</v>
      </c>
      <c r="F106" s="17">
        <f>AVERAGE(Table143690117171225188191[[#This Row],[Teste 1]:[Teste 3]])</f>
        <v>2</v>
      </c>
      <c r="G106" s="16"/>
      <c r="H106" s="16" t="s">
        <v>3</v>
      </c>
      <c r="I106" s="16" t="s">
        <v>8</v>
      </c>
      <c r="J106" s="17">
        <v>11</v>
      </c>
      <c r="K106" s="17">
        <v>13</v>
      </c>
      <c r="L106" s="17">
        <v>11</v>
      </c>
      <c r="M106" s="17">
        <f>AVERAGE(Table143690117171225188191203[[#This Row],[Teste 1]:[Teste 3]])</f>
        <v>11.666666666666666</v>
      </c>
      <c r="N106" s="16"/>
      <c r="O106" s="16" t="s">
        <v>3</v>
      </c>
      <c r="P106" s="16" t="s">
        <v>8</v>
      </c>
      <c r="Q106" s="17">
        <v>1976</v>
      </c>
      <c r="R106" s="17">
        <v>28600</v>
      </c>
      <c r="S106" s="17">
        <v>2117</v>
      </c>
      <c r="T106" s="17">
        <f>AVERAGE(Table143690117171225188191215[[#This Row],[Teste 1]:[Teste 3]])</f>
        <v>10897.666666666666</v>
      </c>
    </row>
    <row r="107" spans="1:20" x14ac:dyDescent="0.25">
      <c r="A107" s="16" t="s">
        <v>3</v>
      </c>
      <c r="B107" s="16" t="s">
        <v>9</v>
      </c>
      <c r="C107" s="17">
        <v>2</v>
      </c>
      <c r="D107" s="17">
        <v>2</v>
      </c>
      <c r="E107" s="17">
        <v>2</v>
      </c>
      <c r="F107" s="17">
        <f>AVERAGE(Table143690117171225188191[[#This Row],[Teste 1]:[Teste 3]])</f>
        <v>2</v>
      </c>
      <c r="G107" s="16"/>
      <c r="H107" s="16" t="s">
        <v>3</v>
      </c>
      <c r="I107" s="16" t="s">
        <v>9</v>
      </c>
      <c r="J107" s="17">
        <v>11</v>
      </c>
      <c r="K107" s="17">
        <v>13</v>
      </c>
      <c r="L107" s="17">
        <v>11</v>
      </c>
      <c r="M107" s="17">
        <f>AVERAGE(Table143690117171225188191203[[#This Row],[Teste 1]:[Teste 3]])</f>
        <v>11.666666666666666</v>
      </c>
      <c r="N107" s="16"/>
      <c r="O107" s="16" t="s">
        <v>3</v>
      </c>
      <c r="P107" s="16" t="s">
        <v>9</v>
      </c>
      <c r="Q107" s="17">
        <v>1976</v>
      </c>
      <c r="R107" s="17">
        <v>28600</v>
      </c>
      <c r="S107" s="17">
        <v>2117</v>
      </c>
      <c r="T107" s="17">
        <f>AVERAGE(Table143690117171225188191215[[#This Row],[Teste 1]:[Teste 3]])</f>
        <v>10897.666666666666</v>
      </c>
    </row>
    <row r="108" spans="1:20" x14ac:dyDescent="0.25">
      <c r="A108" s="16" t="s">
        <v>17</v>
      </c>
      <c r="B108" s="16" t="s">
        <v>4</v>
      </c>
      <c r="C108" s="17">
        <v>949665</v>
      </c>
      <c r="D108" s="17">
        <v>949909</v>
      </c>
      <c r="E108" s="17">
        <v>950007</v>
      </c>
      <c r="F108" s="17">
        <f>AVERAGE(Table143690117171225188191[[#This Row],[Teste 1]:[Teste 3]])</f>
        <v>949860.33333333337</v>
      </c>
      <c r="G108" s="16"/>
      <c r="H108" s="16" t="s">
        <v>17</v>
      </c>
      <c r="I108" s="16" t="s">
        <v>4</v>
      </c>
      <c r="J108" s="17">
        <v>950200</v>
      </c>
      <c r="K108" s="17">
        <v>949770</v>
      </c>
      <c r="L108" s="17">
        <v>950228</v>
      </c>
      <c r="M108" s="17">
        <f>AVERAGE(Table143690117171225188191203[[#This Row],[Teste 1]:[Teste 3]])</f>
        <v>950066</v>
      </c>
      <c r="N108" s="16"/>
      <c r="O108" s="16" t="s">
        <v>17</v>
      </c>
      <c r="P108" s="16" t="s">
        <v>4</v>
      </c>
      <c r="Q108" s="17">
        <v>950049</v>
      </c>
      <c r="R108" s="17">
        <v>949726</v>
      </c>
      <c r="S108" s="17">
        <v>950022</v>
      </c>
      <c r="T108" s="17">
        <f>AVERAGE(Table143690117171225188191215[[#This Row],[Teste 1]:[Teste 3]])</f>
        <v>949932.33333333337</v>
      </c>
    </row>
    <row r="109" spans="1:20" x14ac:dyDescent="0.25">
      <c r="A109" s="16" t="s">
        <v>17</v>
      </c>
      <c r="B109" s="16" t="s">
        <v>5</v>
      </c>
      <c r="C109" s="17">
        <v>388.24071225116199</v>
      </c>
      <c r="D109" s="17">
        <v>348.02491922910502</v>
      </c>
      <c r="E109" s="17">
        <v>321.60068610020699</v>
      </c>
      <c r="F109" s="17">
        <f>AVERAGE(Table143690117171225188191[[#This Row],[Teste 1]:[Teste 3]])</f>
        <v>352.622105860158</v>
      </c>
      <c r="G109" s="16"/>
      <c r="H109" s="16" t="s">
        <v>17</v>
      </c>
      <c r="I109" s="16" t="s">
        <v>5</v>
      </c>
      <c r="J109" s="17">
        <v>488.79</v>
      </c>
      <c r="K109" s="17">
        <v>438.16</v>
      </c>
      <c r="L109" s="17">
        <v>404.89</v>
      </c>
      <c r="M109" s="17">
        <f>AVERAGE(Table143690117171225188191203[[#This Row],[Teste 1]:[Teste 3]])</f>
        <v>443.94666666666672</v>
      </c>
      <c r="N109" s="16"/>
      <c r="O109" s="16" t="s">
        <v>17</v>
      </c>
      <c r="P109" s="16" t="s">
        <v>5</v>
      </c>
      <c r="Q109" s="17">
        <v>677.85295495284902</v>
      </c>
      <c r="R109" s="17">
        <v>637.15988295571503</v>
      </c>
      <c r="S109" s="17">
        <v>675.10336918513406</v>
      </c>
      <c r="T109" s="17">
        <f>AVERAGE(Table143690117171225188191215[[#This Row],[Teste 1]:[Teste 3]])</f>
        <v>663.37206903123263</v>
      </c>
    </row>
    <row r="110" spans="1:20" x14ac:dyDescent="0.25">
      <c r="A110" s="16" t="s">
        <v>17</v>
      </c>
      <c r="B110" s="16" t="s">
        <v>6</v>
      </c>
      <c r="C110" s="17">
        <v>99</v>
      </c>
      <c r="D110" s="17">
        <v>99</v>
      </c>
      <c r="E110" s="17">
        <v>99</v>
      </c>
      <c r="F110" s="17">
        <f>AVERAGE(Table143690117171225188191[[#This Row],[Teste 1]:[Teste 3]])</f>
        <v>99</v>
      </c>
      <c r="G110" s="16"/>
      <c r="H110" s="16" t="s">
        <v>17</v>
      </c>
      <c r="I110" s="16" t="s">
        <v>6</v>
      </c>
      <c r="J110" s="17">
        <v>125</v>
      </c>
      <c r="K110" s="17">
        <v>125</v>
      </c>
      <c r="L110" s="17">
        <v>125</v>
      </c>
      <c r="M110" s="17">
        <f>AVERAGE(Table143690117171225188191203[[#This Row],[Teste 1]:[Teste 3]])</f>
        <v>125</v>
      </c>
      <c r="N110" s="16"/>
      <c r="O110" s="16" t="s">
        <v>17</v>
      </c>
      <c r="P110" s="16" t="s">
        <v>6</v>
      </c>
      <c r="Q110" s="17">
        <v>167</v>
      </c>
      <c r="R110" s="17">
        <v>161</v>
      </c>
      <c r="S110" s="17">
        <v>169</v>
      </c>
      <c r="T110" s="17">
        <f>AVERAGE(Table143690117171225188191215[[#This Row],[Teste 1]:[Teste 3]])</f>
        <v>165.66666666666666</v>
      </c>
    </row>
    <row r="111" spans="1:20" x14ac:dyDescent="0.25">
      <c r="A111" s="16" t="s">
        <v>17</v>
      </c>
      <c r="B111" s="16" t="s">
        <v>7</v>
      </c>
      <c r="C111" s="17">
        <v>7712767</v>
      </c>
      <c r="D111" s="17">
        <v>4603903</v>
      </c>
      <c r="E111" s="17">
        <v>5668863</v>
      </c>
      <c r="F111" s="17">
        <f>AVERAGE(Table143690117171225188191[[#This Row],[Teste 1]:[Teste 3]])</f>
        <v>5995177.666666667</v>
      </c>
      <c r="G111" s="16"/>
      <c r="H111" s="16" t="s">
        <v>17</v>
      </c>
      <c r="I111" s="16" t="s">
        <v>7</v>
      </c>
      <c r="J111" s="17">
        <v>9710374</v>
      </c>
      <c r="K111" s="17">
        <v>5796314</v>
      </c>
      <c r="L111" s="17">
        <v>7137099</v>
      </c>
      <c r="M111" s="17">
        <f>AVERAGE(Table143690117171225188191203[[#This Row],[Teste 1]:[Teste 3]])</f>
        <v>7547929</v>
      </c>
      <c r="N111" s="16"/>
      <c r="O111" s="16" t="s">
        <v>17</v>
      </c>
      <c r="P111" s="16" t="s">
        <v>7</v>
      </c>
      <c r="Q111" s="17">
        <v>3327999</v>
      </c>
      <c r="R111" s="17">
        <v>2328575</v>
      </c>
      <c r="S111" s="17">
        <v>2676735</v>
      </c>
      <c r="T111" s="17">
        <f>AVERAGE(Table143690117171225188191215[[#This Row],[Teste 1]:[Teste 3]])</f>
        <v>2777769.6666666665</v>
      </c>
    </row>
    <row r="112" spans="1:20" x14ac:dyDescent="0.25">
      <c r="A112" s="16" t="s">
        <v>17</v>
      </c>
      <c r="B112" s="16" t="s">
        <v>8</v>
      </c>
      <c r="C112" s="17">
        <v>563</v>
      </c>
      <c r="D112" s="17">
        <v>442</v>
      </c>
      <c r="E112" s="17">
        <v>470</v>
      </c>
      <c r="F112" s="17">
        <f>AVERAGE(Table143690117171225188191[[#This Row],[Teste 1]:[Teste 3]])</f>
        <v>491.66666666666669</v>
      </c>
      <c r="G112" s="16"/>
      <c r="H112" s="16" t="s">
        <v>17</v>
      </c>
      <c r="I112" s="16" t="s">
        <v>8</v>
      </c>
      <c r="J112" s="17">
        <v>709</v>
      </c>
      <c r="K112" s="17">
        <v>557</v>
      </c>
      <c r="L112" s="17">
        <v>592</v>
      </c>
      <c r="M112" s="17">
        <f>AVERAGE(Table143690117171225188191203[[#This Row],[Teste 1]:[Teste 3]])</f>
        <v>619.33333333333337</v>
      </c>
      <c r="N112" s="16"/>
      <c r="O112" s="16" t="s">
        <v>17</v>
      </c>
      <c r="P112" s="16" t="s">
        <v>8</v>
      </c>
      <c r="Q112" s="17">
        <v>1397</v>
      </c>
      <c r="R112" s="17">
        <v>1401</v>
      </c>
      <c r="S112" s="17">
        <v>1404</v>
      </c>
      <c r="T112" s="17">
        <f>AVERAGE(Table143690117171225188191215[[#This Row],[Teste 1]:[Teste 3]])</f>
        <v>1400.6666666666667</v>
      </c>
    </row>
    <row r="113" spans="1:20" x14ac:dyDescent="0.25">
      <c r="A113" s="16" t="s">
        <v>17</v>
      </c>
      <c r="B113" s="16" t="s">
        <v>9</v>
      </c>
      <c r="C113" s="17">
        <v>1991</v>
      </c>
      <c r="D113" s="17">
        <v>1502</v>
      </c>
      <c r="E113" s="17">
        <v>846</v>
      </c>
      <c r="F113" s="17">
        <f>AVERAGE(Table143690117171225188191[[#This Row],[Teste 1]:[Teste 3]])</f>
        <v>1446.3333333333333</v>
      </c>
      <c r="G113" s="16"/>
      <c r="H113" s="16" t="s">
        <v>17</v>
      </c>
      <c r="I113" s="16" t="s">
        <v>9</v>
      </c>
      <c r="J113" s="17">
        <v>2507</v>
      </c>
      <c r="K113" s="17">
        <v>1891</v>
      </c>
      <c r="L113" s="17">
        <v>1065</v>
      </c>
      <c r="M113" s="17">
        <f>AVERAGE(Table143690117171225188191203[[#This Row],[Teste 1]:[Teste 3]])</f>
        <v>1821</v>
      </c>
      <c r="N113" s="16"/>
      <c r="O113" s="16" t="s">
        <v>17</v>
      </c>
      <c r="P113" s="16" t="s">
        <v>9</v>
      </c>
      <c r="Q113" s="17">
        <v>6291</v>
      </c>
      <c r="R113" s="17">
        <v>5167</v>
      </c>
      <c r="S113" s="17">
        <v>5407</v>
      </c>
      <c r="T113" s="17">
        <f>AVERAGE(Table143690117171225188191215[[#This Row],[Teste 1]:[Teste 3]])</f>
        <v>5621.666666666667</v>
      </c>
    </row>
    <row r="114" spans="1:20" x14ac:dyDescent="0.25">
      <c r="A114" s="16" t="s">
        <v>17</v>
      </c>
      <c r="B114" s="16" t="s">
        <v>11</v>
      </c>
      <c r="C114" s="17">
        <v>949665</v>
      </c>
      <c r="D114" s="17">
        <v>949909</v>
      </c>
      <c r="E114" s="17">
        <v>950007</v>
      </c>
      <c r="F114" s="17">
        <f>AVERAGE(Table143690117171225188191[[#This Row],[Teste 1]:[Teste 3]])</f>
        <v>949860.33333333337</v>
      </c>
      <c r="G114" s="16"/>
      <c r="H114" s="16" t="s">
        <v>17</v>
      </c>
      <c r="I114" s="16" t="s">
        <v>11</v>
      </c>
      <c r="J114" s="17">
        <v>950200</v>
      </c>
      <c r="K114" s="17">
        <v>949770</v>
      </c>
      <c r="L114" s="17">
        <v>950228</v>
      </c>
      <c r="M114" s="17">
        <f>AVERAGE(Table143690117171225188191203[[#This Row],[Teste 1]:[Teste 3]])</f>
        <v>950066</v>
      </c>
      <c r="N114" s="16"/>
      <c r="O114" s="16" t="s">
        <v>17</v>
      </c>
      <c r="P114" s="16" t="s">
        <v>11</v>
      </c>
      <c r="Q114" s="17">
        <v>950049</v>
      </c>
      <c r="R114" s="17">
        <v>949726</v>
      </c>
      <c r="S114" s="17">
        <v>950022</v>
      </c>
      <c r="T114" s="17">
        <f>AVERAGE(Table143690117171225188191215[[#This Row],[Teste 1]:[Teste 3]])</f>
        <v>949932.33333333337</v>
      </c>
    </row>
    <row r="115" spans="1:20" x14ac:dyDescent="0.25">
      <c r="A115" s="16"/>
      <c r="B115" s="16"/>
      <c r="C115" s="17"/>
      <c r="D115" s="17"/>
      <c r="E115" s="17"/>
      <c r="F115" s="17"/>
      <c r="G115" s="16"/>
      <c r="H115" s="16"/>
      <c r="I115" s="16"/>
      <c r="J115" s="17"/>
      <c r="K115" s="17"/>
      <c r="L115" s="17"/>
      <c r="M115" s="17"/>
      <c r="N115" s="16"/>
      <c r="O115" s="16"/>
      <c r="P115" s="16"/>
      <c r="Q115" s="17"/>
      <c r="R115" s="17"/>
      <c r="S115" s="17"/>
      <c r="T115" s="17"/>
    </row>
    <row r="116" spans="1:20" x14ac:dyDescent="0.25">
      <c r="A116" s="16"/>
      <c r="B116" s="16"/>
      <c r="C116" s="17"/>
      <c r="D116" s="17"/>
      <c r="E116" s="17"/>
      <c r="F116" s="17"/>
      <c r="G116" s="16"/>
      <c r="H116" s="16"/>
      <c r="I116" s="16"/>
      <c r="J116" s="17"/>
      <c r="K116" s="17"/>
      <c r="L116" s="17"/>
      <c r="M116" s="17"/>
      <c r="N116" s="16"/>
      <c r="O116" s="16"/>
      <c r="P116" s="16"/>
      <c r="Q116" s="17"/>
      <c r="R116" s="17"/>
      <c r="S116" s="17"/>
      <c r="T116" s="17"/>
    </row>
    <row r="117" spans="1:20" x14ac:dyDescent="0.25">
      <c r="A117" s="16"/>
      <c r="B117" s="16"/>
      <c r="C117" s="17"/>
      <c r="D117" s="17"/>
      <c r="E117" s="17"/>
      <c r="F117" s="17"/>
      <c r="G117" s="16"/>
      <c r="H117" s="16"/>
      <c r="I117" s="16"/>
      <c r="J117" s="17"/>
      <c r="K117" s="17"/>
      <c r="L117" s="17"/>
      <c r="M117" s="17"/>
      <c r="N117" s="16"/>
      <c r="O117" s="16"/>
      <c r="P117" s="16"/>
      <c r="Q117" s="17"/>
      <c r="R117" s="17"/>
      <c r="S117" s="17"/>
      <c r="T117" s="17"/>
    </row>
    <row r="119" spans="1:20" ht="15.75" x14ac:dyDescent="0.25">
      <c r="A119" s="2" t="s">
        <v>74</v>
      </c>
      <c r="H119" s="2" t="s">
        <v>74</v>
      </c>
      <c r="O119" s="2" t="s">
        <v>74</v>
      </c>
    </row>
    <row r="120" spans="1:20" ht="15.75" x14ac:dyDescent="0.25">
      <c r="A120" s="16" t="s">
        <v>59</v>
      </c>
      <c r="B120" s="21" t="s">
        <v>66</v>
      </c>
      <c r="C120" s="16" t="s">
        <v>82</v>
      </c>
      <c r="D120" s="16" t="s">
        <v>64</v>
      </c>
      <c r="E120" s="16" t="s">
        <v>63</v>
      </c>
      <c r="F120" s="16" t="s">
        <v>18</v>
      </c>
      <c r="G120" s="16"/>
      <c r="H120" s="16" t="s">
        <v>12</v>
      </c>
      <c r="I120" s="21" t="s">
        <v>66</v>
      </c>
      <c r="J120" s="16" t="s">
        <v>82</v>
      </c>
      <c r="K120" s="16" t="s">
        <v>64</v>
      </c>
      <c r="L120" s="16" t="s">
        <v>63</v>
      </c>
      <c r="M120" s="16" t="s">
        <v>18</v>
      </c>
      <c r="N120" s="16"/>
      <c r="O120" s="16" t="s">
        <v>13</v>
      </c>
      <c r="P120" s="21" t="s">
        <v>66</v>
      </c>
      <c r="Q120" s="16" t="s">
        <v>82</v>
      </c>
      <c r="R120" s="16" t="s">
        <v>64</v>
      </c>
      <c r="S120" s="16" t="s">
        <v>63</v>
      </c>
      <c r="T120" s="16" t="s">
        <v>18</v>
      </c>
    </row>
    <row r="121" spans="1:20" x14ac:dyDescent="0.25">
      <c r="A121" s="16" t="s">
        <v>0</v>
      </c>
      <c r="B121" s="16" t="s">
        <v>1</v>
      </c>
      <c r="C121" s="17">
        <v>508224</v>
      </c>
      <c r="D121" s="17">
        <v>529598</v>
      </c>
      <c r="E121" s="17">
        <v>532680</v>
      </c>
      <c r="F121" s="17">
        <f>AVERAGE(Table143690117171225188189192[[#This Row],[Teste 1]:[Teste 3]])</f>
        <v>523500.66666666669</v>
      </c>
      <c r="G121" s="16"/>
      <c r="H121" s="16" t="s">
        <v>0</v>
      </c>
      <c r="I121" s="16" t="s">
        <v>1</v>
      </c>
      <c r="J121" s="17">
        <v>810845</v>
      </c>
      <c r="K121" s="17">
        <v>788692</v>
      </c>
      <c r="L121" s="17">
        <v>769235</v>
      </c>
      <c r="M121" s="17">
        <f>AVERAGE(Table143690117171225188189192204[[#This Row],[Teste 1]:[Teste 3]])</f>
        <v>789590.66666666663</v>
      </c>
      <c r="N121" s="16"/>
      <c r="O121" s="16" t="s">
        <v>0</v>
      </c>
      <c r="P121" s="16" t="s">
        <v>1</v>
      </c>
      <c r="Q121" s="17">
        <v>463340</v>
      </c>
      <c r="R121" s="17">
        <v>450681</v>
      </c>
      <c r="S121" s="17">
        <v>439563</v>
      </c>
      <c r="T121" s="17">
        <f>AVERAGE(Table143690117171225188189192216[[#This Row],[Teste 1]:[Teste 3]])</f>
        <v>451194.66666666669</v>
      </c>
    </row>
    <row r="122" spans="1:20" x14ac:dyDescent="0.25">
      <c r="A122" s="16" t="s">
        <v>0</v>
      </c>
      <c r="B122" s="16" t="s">
        <v>2</v>
      </c>
      <c r="C122" s="17">
        <v>1967.6363178440999</v>
      </c>
      <c r="D122" s="17">
        <v>1888.2246534163601</v>
      </c>
      <c r="E122" s="17">
        <v>1537.5689825951599</v>
      </c>
      <c r="F122" s="17">
        <f>AVERAGE(Table143690117171225188189192[[#This Row],[Teste 1]:[Teste 3]])</f>
        <v>1797.8099846185403</v>
      </c>
      <c r="G122" s="16"/>
      <c r="H122" s="16" t="s">
        <v>0</v>
      </c>
      <c r="I122" s="16" t="s">
        <v>2</v>
      </c>
      <c r="J122" s="17">
        <v>1233.28</v>
      </c>
      <c r="K122" s="17">
        <v>1267.92</v>
      </c>
      <c r="L122" s="17">
        <v>1299.99</v>
      </c>
      <c r="M122" s="17">
        <f>AVERAGE(Table143690117171225188189192204[[#This Row],[Teste 1]:[Teste 3]])</f>
        <v>1267.0633333333333</v>
      </c>
      <c r="N122" s="16"/>
      <c r="O122" s="16" t="s">
        <v>0</v>
      </c>
      <c r="P122" s="16" t="s">
        <v>2</v>
      </c>
      <c r="Q122" s="17">
        <v>2158.24232744852</v>
      </c>
      <c r="R122" s="17">
        <v>2218.8643408530602</v>
      </c>
      <c r="S122" s="17">
        <v>2274.98674820219</v>
      </c>
      <c r="T122" s="17">
        <f>AVERAGE(Table143690117171225188189192216[[#This Row],[Teste 1]:[Teste 3]])</f>
        <v>2217.3644721679234</v>
      </c>
    </row>
    <row r="123" spans="1:20" x14ac:dyDescent="0.25">
      <c r="A123" s="16" t="s">
        <v>16</v>
      </c>
      <c r="B123" s="16" t="s">
        <v>4</v>
      </c>
      <c r="C123" s="17">
        <v>49800</v>
      </c>
      <c r="D123" s="17">
        <v>49837</v>
      </c>
      <c r="E123" s="17">
        <v>49772</v>
      </c>
      <c r="F123" s="17">
        <f>AVERAGE(Table143690117171225188189192[[#This Row],[Teste 1]:[Teste 3]])</f>
        <v>49803</v>
      </c>
      <c r="G123" s="16"/>
      <c r="H123" s="16" t="s">
        <v>16</v>
      </c>
      <c r="I123" s="16" t="s">
        <v>4</v>
      </c>
      <c r="J123" s="17">
        <v>49951</v>
      </c>
      <c r="K123" s="17">
        <v>50091</v>
      </c>
      <c r="L123" s="17">
        <v>49869</v>
      </c>
      <c r="M123" s="17">
        <f>AVERAGE(Table143690117171225188189192204[[#This Row],[Teste 1]:[Teste 3]])</f>
        <v>49970.333333333336</v>
      </c>
      <c r="N123" s="16"/>
      <c r="O123" s="16" t="s">
        <v>16</v>
      </c>
      <c r="P123" s="16" t="s">
        <v>4</v>
      </c>
      <c r="Q123" s="17">
        <v>50138</v>
      </c>
      <c r="R123" s="17">
        <v>50230</v>
      </c>
      <c r="S123" s="17">
        <v>49807</v>
      </c>
      <c r="T123" s="17">
        <f>AVERAGE(Table143690117171225188189192216[[#This Row],[Teste 1]:[Teste 3]])</f>
        <v>50058.333333333336</v>
      </c>
    </row>
    <row r="124" spans="1:20" x14ac:dyDescent="0.25">
      <c r="A124" s="16" t="s">
        <v>16</v>
      </c>
      <c r="B124" s="16" t="s">
        <v>5</v>
      </c>
      <c r="C124" s="17">
        <v>23862.937590361402</v>
      </c>
      <c r="D124" s="17">
        <v>25687.082288259699</v>
      </c>
      <c r="E124" s="17">
        <v>10474.03080045</v>
      </c>
      <c r="F124" s="17">
        <f>AVERAGE(Table143690117171225188189192[[#This Row],[Teste 1]:[Teste 3]])</f>
        <v>20008.016893023698</v>
      </c>
      <c r="G124" s="16"/>
      <c r="H124" s="16" t="s">
        <v>16</v>
      </c>
      <c r="I124" s="16" t="s">
        <v>5</v>
      </c>
      <c r="J124" s="17">
        <v>2291.71</v>
      </c>
      <c r="K124" s="17">
        <v>2191.85</v>
      </c>
      <c r="L124" s="17">
        <v>2163.66</v>
      </c>
      <c r="M124" s="17">
        <f>AVERAGE(Table143690117171225188189192204[[#This Row],[Teste 1]:[Teste 3]])</f>
        <v>2215.7399999999998</v>
      </c>
      <c r="N124" s="16"/>
      <c r="O124" s="16" t="s">
        <v>16</v>
      </c>
      <c r="P124" s="16" t="s">
        <v>5</v>
      </c>
      <c r="Q124" s="17">
        <v>1309.5467310223701</v>
      </c>
      <c r="R124" s="17">
        <v>1252.4856659366901</v>
      </c>
      <c r="S124" s="17">
        <v>1236.3754291565399</v>
      </c>
      <c r="T124" s="17">
        <f>AVERAGE(Table143690117171225188189192216[[#This Row],[Teste 1]:[Teste 3]])</f>
        <v>1266.1359420385334</v>
      </c>
    </row>
    <row r="125" spans="1:20" x14ac:dyDescent="0.25">
      <c r="A125" s="16" t="s">
        <v>16</v>
      </c>
      <c r="B125" s="16" t="s">
        <v>6</v>
      </c>
      <c r="C125" s="17">
        <v>110</v>
      </c>
      <c r="D125" s="17">
        <v>107</v>
      </c>
      <c r="E125" s="17">
        <v>102</v>
      </c>
      <c r="F125" s="17">
        <f>AVERAGE(Table143690117171225188189192[[#This Row],[Teste 1]:[Teste 3]])</f>
        <v>106.33333333333333</v>
      </c>
      <c r="G125" s="16"/>
      <c r="H125" s="16" t="s">
        <v>16</v>
      </c>
      <c r="I125" s="16" t="s">
        <v>6</v>
      </c>
      <c r="J125" s="17">
        <v>240</v>
      </c>
      <c r="K125" s="17">
        <v>242</v>
      </c>
      <c r="L125" s="17">
        <v>236</v>
      </c>
      <c r="M125" s="17">
        <f>AVERAGE(Table143690117171225188189192204[[#This Row],[Teste 1]:[Teste 3]])</f>
        <v>239.33333333333334</v>
      </c>
      <c r="N125" s="16"/>
      <c r="O125" s="16" t="s">
        <v>16</v>
      </c>
      <c r="P125" s="16" t="s">
        <v>6</v>
      </c>
      <c r="Q125" s="17">
        <v>137</v>
      </c>
      <c r="R125" s="17">
        <v>138</v>
      </c>
      <c r="S125" s="17">
        <v>135</v>
      </c>
      <c r="T125" s="17">
        <f>AVERAGE(Table143690117171225188189192216[[#This Row],[Teste 1]:[Teste 3]])</f>
        <v>136.66666666666666</v>
      </c>
    </row>
    <row r="126" spans="1:20" x14ac:dyDescent="0.25">
      <c r="A126" s="16" t="s">
        <v>16</v>
      </c>
      <c r="B126" s="16" t="s">
        <v>7</v>
      </c>
      <c r="C126" s="17">
        <v>6803455</v>
      </c>
      <c r="D126" s="17">
        <v>7696383</v>
      </c>
      <c r="E126" s="17">
        <v>4939775</v>
      </c>
      <c r="F126" s="17">
        <f>AVERAGE(Table143690117171225188189192[[#This Row],[Teste 1]:[Teste 3]])</f>
        <v>6479871</v>
      </c>
      <c r="G126" s="16"/>
      <c r="H126" s="16" t="s">
        <v>16</v>
      </c>
      <c r="I126" s="16" t="s">
        <v>7</v>
      </c>
      <c r="J126" s="17">
        <v>2799102</v>
      </c>
      <c r="K126" s="17">
        <v>1723006</v>
      </c>
      <c r="L126" s="17">
        <v>1153150</v>
      </c>
      <c r="M126" s="17">
        <f>AVERAGE(Table143690117171225188189192204[[#This Row],[Teste 1]:[Teste 3]])</f>
        <v>1891752.6666666667</v>
      </c>
      <c r="N126" s="16"/>
      <c r="O126" s="16" t="s">
        <v>16</v>
      </c>
      <c r="P126" s="16" t="s">
        <v>7</v>
      </c>
      <c r="Q126" s="17">
        <v>1599487</v>
      </c>
      <c r="R126" s="17">
        <v>984575</v>
      </c>
      <c r="S126" s="17">
        <v>658943</v>
      </c>
      <c r="T126" s="17">
        <f>AVERAGE(Table143690117171225188189192216[[#This Row],[Teste 1]:[Teste 3]])</f>
        <v>1081001.6666666667</v>
      </c>
    </row>
    <row r="127" spans="1:20" x14ac:dyDescent="0.25">
      <c r="A127" s="16" t="s">
        <v>16</v>
      </c>
      <c r="B127" s="16" t="s">
        <v>8</v>
      </c>
      <c r="C127" s="17">
        <v>57695</v>
      </c>
      <c r="D127" s="17">
        <v>65727</v>
      </c>
      <c r="E127" s="17">
        <v>9719</v>
      </c>
      <c r="F127" s="17">
        <f>AVERAGE(Table143690117171225188189192[[#This Row],[Teste 1]:[Teste 3]])</f>
        <v>44380.333333333336</v>
      </c>
      <c r="G127" s="16"/>
      <c r="H127" s="16" t="s">
        <v>16</v>
      </c>
      <c r="I127" s="16" t="s">
        <v>8</v>
      </c>
      <c r="J127" s="17">
        <v>9784</v>
      </c>
      <c r="K127" s="17">
        <v>9651</v>
      </c>
      <c r="L127" s="17">
        <v>10029</v>
      </c>
      <c r="M127" s="17">
        <f>AVERAGE(Table143690117171225188189192204[[#This Row],[Teste 1]:[Teste 3]])</f>
        <v>9821.3333333333339</v>
      </c>
      <c r="N127" s="16"/>
      <c r="O127" s="16" t="s">
        <v>16</v>
      </c>
      <c r="P127" s="16" t="s">
        <v>8</v>
      </c>
      <c r="Q127" s="17">
        <v>5591</v>
      </c>
      <c r="R127" s="17">
        <v>5515</v>
      </c>
      <c r="S127" s="17">
        <v>5731</v>
      </c>
      <c r="T127" s="17">
        <f>AVERAGE(Table143690117171225188189192216[[#This Row],[Teste 1]:[Teste 3]])</f>
        <v>5612.333333333333</v>
      </c>
    </row>
    <row r="128" spans="1:20" x14ac:dyDescent="0.25">
      <c r="A128" s="16" t="s">
        <v>16</v>
      </c>
      <c r="B128" s="16" t="s">
        <v>9</v>
      </c>
      <c r="C128" s="17">
        <v>168447</v>
      </c>
      <c r="D128" s="17">
        <v>161663</v>
      </c>
      <c r="E128" s="17">
        <v>60831</v>
      </c>
      <c r="F128" s="17">
        <f>AVERAGE(Table143690117171225188189192[[#This Row],[Teste 1]:[Teste 3]])</f>
        <v>130313.66666666667</v>
      </c>
      <c r="G128" s="16"/>
      <c r="H128" s="16" t="s">
        <v>16</v>
      </c>
      <c r="I128" s="16" t="s">
        <v>9</v>
      </c>
      <c r="J128" s="17">
        <v>30630</v>
      </c>
      <c r="K128" s="17">
        <v>28656</v>
      </c>
      <c r="L128" s="17">
        <v>26878</v>
      </c>
      <c r="M128" s="17">
        <f>AVERAGE(Table143690117171225188189192204[[#This Row],[Teste 1]:[Teste 3]])</f>
        <v>28721.333333333332</v>
      </c>
      <c r="N128" s="16"/>
      <c r="O128" s="16" t="s">
        <v>16</v>
      </c>
      <c r="P128" s="16" t="s">
        <v>9</v>
      </c>
      <c r="Q128" s="17">
        <v>17503</v>
      </c>
      <c r="R128" s="17">
        <v>16375</v>
      </c>
      <c r="S128" s="17">
        <v>15359</v>
      </c>
      <c r="T128" s="17">
        <f>AVERAGE(Table143690117171225188189192216[[#This Row],[Teste 1]:[Teste 3]])</f>
        <v>16412.333333333332</v>
      </c>
    </row>
    <row r="129" spans="1:20" x14ac:dyDescent="0.25">
      <c r="A129" s="16" t="s">
        <v>16</v>
      </c>
      <c r="B129" s="16" t="s">
        <v>11</v>
      </c>
      <c r="C129" s="17">
        <v>49800</v>
      </c>
      <c r="D129" s="17">
        <v>49837</v>
      </c>
      <c r="E129" s="17">
        <v>49772</v>
      </c>
      <c r="F129" s="17">
        <f>AVERAGE(Table143690117171225188189192[[#This Row],[Teste 1]:[Teste 3]])</f>
        <v>49803</v>
      </c>
      <c r="G129" s="16"/>
      <c r="H129" s="16" t="s">
        <v>16</v>
      </c>
      <c r="I129" s="16" t="s">
        <v>11</v>
      </c>
      <c r="J129" s="17">
        <v>49951</v>
      </c>
      <c r="K129" s="17">
        <v>50091</v>
      </c>
      <c r="L129" s="17">
        <v>49869</v>
      </c>
      <c r="M129" s="17">
        <f>AVERAGE(Table143690117171225188189192204[[#This Row],[Teste 1]:[Teste 3]])</f>
        <v>49970.333333333336</v>
      </c>
      <c r="N129" s="16"/>
      <c r="O129" s="16" t="s">
        <v>16</v>
      </c>
      <c r="P129" s="16" t="s">
        <v>11</v>
      </c>
      <c r="Q129" s="17">
        <v>50138</v>
      </c>
      <c r="R129" s="17">
        <v>50230</v>
      </c>
      <c r="S129" s="17">
        <v>49807</v>
      </c>
      <c r="T129" s="17">
        <f>AVERAGE(Table143690117171225188189192216[[#This Row],[Teste 1]:[Teste 3]])</f>
        <v>50058.333333333336</v>
      </c>
    </row>
    <row r="130" spans="1:20" x14ac:dyDescent="0.25">
      <c r="A130" s="16" t="s">
        <v>3</v>
      </c>
      <c r="B130" s="16" t="s">
        <v>4</v>
      </c>
      <c r="C130" s="17">
        <v>3</v>
      </c>
      <c r="D130" s="17">
        <v>3</v>
      </c>
      <c r="E130" s="17">
        <v>3</v>
      </c>
      <c r="F130" s="17">
        <f>AVERAGE(Table143690117171225188189192[[#This Row],[Teste 1]:[Teste 3]])</f>
        <v>3</v>
      </c>
      <c r="G130" s="16"/>
      <c r="H130" s="16" t="s">
        <v>3</v>
      </c>
      <c r="I130" s="16" t="s">
        <v>4</v>
      </c>
      <c r="J130" s="17">
        <v>3</v>
      </c>
      <c r="K130" s="17">
        <v>3</v>
      </c>
      <c r="L130" s="17">
        <v>3</v>
      </c>
      <c r="M130" s="17">
        <f>AVERAGE(Table143690117171225188189192204[[#This Row],[Teste 1]:[Teste 3]])</f>
        <v>3</v>
      </c>
      <c r="N130" s="16"/>
      <c r="O130" s="16" t="s">
        <v>3</v>
      </c>
      <c r="P130" s="16" t="s">
        <v>4</v>
      </c>
      <c r="Q130" s="17">
        <v>3</v>
      </c>
      <c r="R130" s="17">
        <v>3</v>
      </c>
      <c r="S130" s="17">
        <v>3</v>
      </c>
      <c r="T130" s="17">
        <f>AVERAGE(Table143690117171225188189192216[[#This Row],[Teste 1]:[Teste 3]])</f>
        <v>3</v>
      </c>
    </row>
    <row r="131" spans="1:20" x14ac:dyDescent="0.25">
      <c r="A131" s="16" t="s">
        <v>3</v>
      </c>
      <c r="B131" s="16" t="s">
        <v>5</v>
      </c>
      <c r="C131" s="17">
        <v>1.3333333333333299</v>
      </c>
      <c r="D131" s="17">
        <v>2.3333333333333299</v>
      </c>
      <c r="E131" s="17">
        <v>1.6666666666666601</v>
      </c>
      <c r="F131" s="17">
        <f>AVERAGE(Table143690117171225188189192[[#This Row],[Teste 1]:[Teste 3]])</f>
        <v>1.7777777777777732</v>
      </c>
      <c r="G131" s="16"/>
      <c r="H131" s="16" t="s">
        <v>3</v>
      </c>
      <c r="I131" s="16" t="s">
        <v>5</v>
      </c>
      <c r="J131" s="17">
        <v>0.67776999999999998</v>
      </c>
      <c r="K131" s="17">
        <v>0.33333000000000002</v>
      </c>
      <c r="L131" s="17">
        <v>1.3332999999999999</v>
      </c>
      <c r="M131" s="17">
        <f>AVERAGE(Table143690117171225188189192204[[#This Row],[Teste 1]:[Teste 3]])</f>
        <v>0.78146666666666664</v>
      </c>
      <c r="N131" s="16"/>
      <c r="O131" s="16" t="s">
        <v>3</v>
      </c>
      <c r="P131" s="16" t="s">
        <v>5</v>
      </c>
      <c r="Q131" s="17">
        <v>750</v>
      </c>
      <c r="R131" s="17">
        <v>2014</v>
      </c>
      <c r="S131" s="17">
        <v>1731.6666666666599</v>
      </c>
      <c r="T131" s="17">
        <f>AVERAGE(Table143690117171225188189192216[[#This Row],[Teste 1]:[Teste 3]])</f>
        <v>1498.5555555555532</v>
      </c>
    </row>
    <row r="132" spans="1:20" x14ac:dyDescent="0.25">
      <c r="A132" s="16" t="s">
        <v>3</v>
      </c>
      <c r="B132" s="16" t="s">
        <v>6</v>
      </c>
      <c r="C132" s="17">
        <v>1</v>
      </c>
      <c r="D132" s="17">
        <v>0</v>
      </c>
      <c r="E132" s="17">
        <v>1</v>
      </c>
      <c r="F132" s="17">
        <f>AVERAGE(Table143690117171225188189192[[#This Row],[Teste 1]:[Teste 3]])</f>
        <v>0.66666666666666663</v>
      </c>
      <c r="G132" s="16"/>
      <c r="H132" s="16" t="s">
        <v>3</v>
      </c>
      <c r="I132" s="16" t="s">
        <v>6</v>
      </c>
      <c r="J132" s="17">
        <v>0</v>
      </c>
      <c r="K132" s="17">
        <v>0</v>
      </c>
      <c r="L132" s="17">
        <v>0</v>
      </c>
      <c r="M132" s="17">
        <f>AVERAGE(Table143690117171225188189192204[[#This Row],[Teste 1]:[Teste 3]])</f>
        <v>0</v>
      </c>
      <c r="N132" s="16"/>
      <c r="O132" s="16" t="s">
        <v>3</v>
      </c>
      <c r="P132" s="16" t="s">
        <v>6</v>
      </c>
      <c r="Q132" s="17">
        <v>1</v>
      </c>
      <c r="R132" s="17">
        <v>2</v>
      </c>
      <c r="S132" s="17">
        <v>2</v>
      </c>
      <c r="T132" s="17">
        <f>AVERAGE(Table143690117171225188189192216[[#This Row],[Teste 1]:[Teste 3]])</f>
        <v>1.6666666666666667</v>
      </c>
    </row>
    <row r="133" spans="1:20" x14ac:dyDescent="0.25">
      <c r="A133" s="16" t="s">
        <v>3</v>
      </c>
      <c r="B133" s="16" t="s">
        <v>7</v>
      </c>
      <c r="C133" s="17">
        <v>2</v>
      </c>
      <c r="D133" s="17">
        <v>7</v>
      </c>
      <c r="E133" s="17">
        <v>3</v>
      </c>
      <c r="F133" s="17">
        <f>AVERAGE(Table143690117171225188189192[[#This Row],[Teste 1]:[Teste 3]])</f>
        <v>4</v>
      </c>
      <c r="G133" s="16"/>
      <c r="H133" s="16" t="s">
        <v>3</v>
      </c>
      <c r="I133" s="16" t="s">
        <v>7</v>
      </c>
      <c r="J133" s="17">
        <v>2</v>
      </c>
      <c r="K133" s="17">
        <v>3</v>
      </c>
      <c r="L133" s="17">
        <v>2</v>
      </c>
      <c r="M133" s="17">
        <f>AVERAGE(Table143690117171225188189192204[[#This Row],[Teste 1]:[Teste 3]])</f>
        <v>2.3333333333333335</v>
      </c>
      <c r="N133" s="16"/>
      <c r="O133" s="16" t="s">
        <v>3</v>
      </c>
      <c r="P133" s="16" t="s">
        <v>7</v>
      </c>
      <c r="Q133" s="17">
        <v>2237</v>
      </c>
      <c r="R133" s="17">
        <v>6035</v>
      </c>
      <c r="S133" s="17">
        <v>5187</v>
      </c>
      <c r="T133" s="17">
        <f>AVERAGE(Table143690117171225188189192216[[#This Row],[Teste 1]:[Teste 3]])</f>
        <v>4486.333333333333</v>
      </c>
    </row>
    <row r="134" spans="1:20" x14ac:dyDescent="0.25">
      <c r="A134" s="16" t="s">
        <v>3</v>
      </c>
      <c r="B134" s="16" t="s">
        <v>8</v>
      </c>
      <c r="C134" s="17">
        <v>2</v>
      </c>
      <c r="D134" s="17">
        <v>7</v>
      </c>
      <c r="E134" s="17">
        <v>3</v>
      </c>
      <c r="F134" s="17">
        <f>AVERAGE(Table143690117171225188189192[[#This Row],[Teste 1]:[Teste 3]])</f>
        <v>4</v>
      </c>
      <c r="G134" s="16"/>
      <c r="H134" s="16" t="s">
        <v>3</v>
      </c>
      <c r="I134" s="16" t="s">
        <v>8</v>
      </c>
      <c r="J134" s="17">
        <v>2</v>
      </c>
      <c r="K134" s="17">
        <v>3</v>
      </c>
      <c r="L134" s="17">
        <v>2</v>
      </c>
      <c r="M134" s="17">
        <f>AVERAGE(Table143690117171225188189192204[[#This Row],[Teste 1]:[Teste 3]])</f>
        <v>2.3333333333333335</v>
      </c>
      <c r="N134" s="16"/>
      <c r="O134" s="16" t="s">
        <v>3</v>
      </c>
      <c r="P134" s="16" t="s">
        <v>8</v>
      </c>
      <c r="Q134" s="17">
        <v>2237</v>
      </c>
      <c r="R134" s="17">
        <v>6035</v>
      </c>
      <c r="S134" s="17">
        <v>5187</v>
      </c>
      <c r="T134" s="17">
        <f>AVERAGE(Table143690117171225188189192216[[#This Row],[Teste 1]:[Teste 3]])</f>
        <v>4486.333333333333</v>
      </c>
    </row>
    <row r="135" spans="1:20" x14ac:dyDescent="0.25">
      <c r="A135" s="16" t="s">
        <v>3</v>
      </c>
      <c r="B135" s="16" t="s">
        <v>9</v>
      </c>
      <c r="C135" s="17">
        <v>2</v>
      </c>
      <c r="D135" s="17">
        <v>7</v>
      </c>
      <c r="E135" s="17">
        <v>3</v>
      </c>
      <c r="F135" s="17">
        <f>AVERAGE(Table143690117171225188189192[[#This Row],[Teste 1]:[Teste 3]])</f>
        <v>4</v>
      </c>
      <c r="G135" s="16"/>
      <c r="H135" s="16" t="s">
        <v>3</v>
      </c>
      <c r="I135" s="16" t="s">
        <v>9</v>
      </c>
      <c r="J135" s="17">
        <v>2</v>
      </c>
      <c r="K135" s="17">
        <v>3</v>
      </c>
      <c r="L135" s="17">
        <v>2</v>
      </c>
      <c r="M135" s="17">
        <f>AVERAGE(Table143690117171225188189192204[[#This Row],[Teste 1]:[Teste 3]])</f>
        <v>2.3333333333333335</v>
      </c>
      <c r="N135" s="16"/>
      <c r="O135" s="16" t="s">
        <v>3</v>
      </c>
      <c r="P135" s="16" t="s">
        <v>9</v>
      </c>
      <c r="Q135" s="17">
        <v>2237</v>
      </c>
      <c r="R135" s="17">
        <v>6035</v>
      </c>
      <c r="S135" s="17">
        <v>5187</v>
      </c>
      <c r="T135" s="17">
        <f>AVERAGE(Table143690117171225188189192216[[#This Row],[Teste 1]:[Teste 3]])</f>
        <v>4486.333333333333</v>
      </c>
    </row>
    <row r="136" spans="1:20" x14ac:dyDescent="0.25">
      <c r="A136" s="16" t="s">
        <v>17</v>
      </c>
      <c r="B136" s="16" t="s">
        <v>4</v>
      </c>
      <c r="C136" s="17">
        <v>950200</v>
      </c>
      <c r="D136" s="17">
        <v>950163</v>
      </c>
      <c r="E136" s="17">
        <v>950228</v>
      </c>
      <c r="F136" s="17">
        <f>AVERAGE(Table143690117171225188189192[[#This Row],[Teste 1]:[Teste 3]])</f>
        <v>950197</v>
      </c>
      <c r="G136" s="16"/>
      <c r="H136" s="16" t="s">
        <v>17</v>
      </c>
      <c r="I136" s="16" t="s">
        <v>4</v>
      </c>
      <c r="J136" s="17">
        <v>950049</v>
      </c>
      <c r="K136" s="17">
        <v>949909</v>
      </c>
      <c r="L136" s="17">
        <v>950131</v>
      </c>
      <c r="M136" s="17">
        <f>AVERAGE(Table143690117171225188189192204[[#This Row],[Teste 1]:[Teste 3]])</f>
        <v>950029.66666666663</v>
      </c>
      <c r="N136" s="16"/>
      <c r="O136" s="16" t="s">
        <v>17</v>
      </c>
      <c r="P136" s="16" t="s">
        <v>4</v>
      </c>
      <c r="Q136" s="17">
        <v>949862</v>
      </c>
      <c r="R136" s="17">
        <v>949770</v>
      </c>
      <c r="S136" s="17">
        <v>950193</v>
      </c>
      <c r="T136" s="17">
        <f>AVERAGE(Table143690117171225188189192216[[#This Row],[Teste 1]:[Teste 3]])</f>
        <v>949941.66666666663</v>
      </c>
    </row>
    <row r="137" spans="1:20" x14ac:dyDescent="0.25">
      <c r="A137" s="16" t="s">
        <v>17</v>
      </c>
      <c r="B137" s="16" t="s">
        <v>5</v>
      </c>
      <c r="C137" s="17">
        <v>327.66778151967998</v>
      </c>
      <c r="D137" s="17">
        <v>309.27410770572999</v>
      </c>
      <c r="E137" s="17">
        <v>334.73675686256303</v>
      </c>
      <c r="F137" s="17">
        <f>AVERAGE(Table143690117171225188189192[[#This Row],[Teste 1]:[Teste 3]])</f>
        <v>323.89288202932431</v>
      </c>
      <c r="G137" s="16"/>
      <c r="H137" s="16" t="s">
        <v>17</v>
      </c>
      <c r="I137" s="16" t="s">
        <v>5</v>
      </c>
      <c r="J137" s="17">
        <v>2420.31</v>
      </c>
      <c r="K137" s="17">
        <v>2357.2600000000002</v>
      </c>
      <c r="L137" s="17">
        <v>2298.19</v>
      </c>
      <c r="M137" s="17">
        <f>AVERAGE(Table143690117171225188189192204[[#This Row],[Teste 1]:[Teste 3]])</f>
        <v>2358.5866666666666</v>
      </c>
      <c r="N137" s="16"/>
      <c r="O137" s="16" t="s">
        <v>17</v>
      </c>
      <c r="P137" s="16" t="s">
        <v>5</v>
      </c>
      <c r="Q137" s="17">
        <v>1383.03398914789</v>
      </c>
      <c r="R137" s="17">
        <v>1347.0092527664499</v>
      </c>
      <c r="S137" s="17">
        <v>1313.2555459785499</v>
      </c>
      <c r="T137" s="17">
        <f>AVERAGE(Table143690117171225188189192216[[#This Row],[Teste 1]:[Teste 3]])</f>
        <v>1347.7662626309632</v>
      </c>
    </row>
    <row r="138" spans="1:20" x14ac:dyDescent="0.25">
      <c r="A138" s="16" t="s">
        <v>17</v>
      </c>
      <c r="B138" s="16" t="s">
        <v>6</v>
      </c>
      <c r="C138" s="17">
        <v>96</v>
      </c>
      <c r="D138" s="17">
        <v>93</v>
      </c>
      <c r="E138" s="17">
        <v>92</v>
      </c>
      <c r="F138" s="17">
        <f>AVERAGE(Table143690117171225188189192[[#This Row],[Teste 1]:[Teste 3]])</f>
        <v>93.666666666666671</v>
      </c>
      <c r="G138" s="16"/>
      <c r="H138" s="16" t="s">
        <v>17</v>
      </c>
      <c r="I138" s="16" t="s">
        <v>6</v>
      </c>
      <c r="J138" s="17">
        <v>305</v>
      </c>
      <c r="K138" s="17">
        <v>298</v>
      </c>
      <c r="L138" s="17">
        <v>289</v>
      </c>
      <c r="M138" s="17">
        <f>AVERAGE(Table143690117171225188189192204[[#This Row],[Teste 1]:[Teste 3]])</f>
        <v>297.33333333333331</v>
      </c>
      <c r="N138" s="16"/>
      <c r="O138" s="16" t="s">
        <v>17</v>
      </c>
      <c r="P138" s="16" t="s">
        <v>6</v>
      </c>
      <c r="Q138" s="17">
        <v>174</v>
      </c>
      <c r="R138" s="17">
        <v>170</v>
      </c>
      <c r="S138" s="17">
        <v>165</v>
      </c>
      <c r="T138" s="17">
        <f>AVERAGE(Table143690117171225188189192216[[#This Row],[Teste 1]:[Teste 3]])</f>
        <v>169.66666666666666</v>
      </c>
    </row>
    <row r="139" spans="1:20" x14ac:dyDescent="0.25">
      <c r="A139" s="16" t="s">
        <v>17</v>
      </c>
      <c r="B139" s="16" t="s">
        <v>7</v>
      </c>
      <c r="C139" s="17">
        <v>3620863</v>
      </c>
      <c r="D139" s="17">
        <v>3928063</v>
      </c>
      <c r="E139" s="17">
        <v>1274879</v>
      </c>
      <c r="F139" s="17">
        <f>AVERAGE(Table143690117171225188189192[[#This Row],[Teste 1]:[Teste 3]])</f>
        <v>2941268.3333333335</v>
      </c>
      <c r="G139" s="16"/>
      <c r="H139" s="16" t="s">
        <v>17</v>
      </c>
      <c r="I139" s="16" t="s">
        <v>7</v>
      </c>
      <c r="J139" s="17">
        <v>3614462</v>
      </c>
      <c r="K139" s="17">
        <v>2573310</v>
      </c>
      <c r="L139" s="17">
        <v>1634302</v>
      </c>
      <c r="M139" s="17">
        <f>AVERAGE(Table143690117171225188189192204[[#This Row],[Teste 1]:[Teste 3]])</f>
        <v>2607358</v>
      </c>
      <c r="N139" s="16"/>
      <c r="O139" s="16" t="s">
        <v>17</v>
      </c>
      <c r="P139" s="16" t="s">
        <v>7</v>
      </c>
      <c r="Q139" s="17">
        <v>2065407</v>
      </c>
      <c r="R139" s="17">
        <v>1470463</v>
      </c>
      <c r="S139" s="17">
        <v>933887</v>
      </c>
      <c r="T139" s="17">
        <f>AVERAGE(Table143690117171225188189192216[[#This Row],[Teste 1]:[Teste 3]])</f>
        <v>1489919</v>
      </c>
    </row>
    <row r="140" spans="1:20" x14ac:dyDescent="0.25">
      <c r="A140" s="16" t="s">
        <v>17</v>
      </c>
      <c r="B140" s="16" t="s">
        <v>8</v>
      </c>
      <c r="C140" s="17">
        <v>569</v>
      </c>
      <c r="D140" s="17">
        <v>539</v>
      </c>
      <c r="E140" s="17">
        <v>760</v>
      </c>
      <c r="F140" s="17">
        <f>AVERAGE(Table143690117171225188189192[[#This Row],[Teste 1]:[Teste 3]])</f>
        <v>622.66666666666663</v>
      </c>
      <c r="G140" s="16"/>
      <c r="H140" s="16" t="s">
        <v>17</v>
      </c>
      <c r="I140" s="16" t="s">
        <v>8</v>
      </c>
      <c r="J140" s="17">
        <v>9952</v>
      </c>
      <c r="K140" s="17">
        <v>9959</v>
      </c>
      <c r="L140" s="17">
        <v>10351</v>
      </c>
      <c r="M140" s="17">
        <f>AVERAGE(Table143690117171225188189192204[[#This Row],[Teste 1]:[Teste 3]])</f>
        <v>10087.333333333334</v>
      </c>
      <c r="N140" s="16"/>
      <c r="O140" s="16" t="s">
        <v>17</v>
      </c>
      <c r="P140" s="16" t="s">
        <v>8</v>
      </c>
      <c r="Q140" s="17">
        <v>5687</v>
      </c>
      <c r="R140" s="17">
        <v>5691</v>
      </c>
      <c r="S140" s="17">
        <v>5915</v>
      </c>
      <c r="T140" s="17">
        <f>AVERAGE(Table143690117171225188189192216[[#This Row],[Teste 1]:[Teste 3]])</f>
        <v>5764.333333333333</v>
      </c>
    </row>
    <row r="141" spans="1:20" x14ac:dyDescent="0.25">
      <c r="A141" s="16" t="s">
        <v>17</v>
      </c>
      <c r="B141" s="16" t="s">
        <v>9</v>
      </c>
      <c r="C141" s="17">
        <v>1211</v>
      </c>
      <c r="D141" s="17">
        <v>1196</v>
      </c>
      <c r="E141" s="17">
        <v>2033</v>
      </c>
      <c r="F141" s="17">
        <f>AVERAGE(Table143690117171225188189192[[#This Row],[Teste 1]:[Teste 3]])</f>
        <v>1480</v>
      </c>
      <c r="G141" s="16"/>
      <c r="H141" s="16" t="s">
        <v>17</v>
      </c>
      <c r="I141" s="16" t="s">
        <v>9</v>
      </c>
      <c r="J141" s="17">
        <v>30546</v>
      </c>
      <c r="K141" s="17">
        <v>29342</v>
      </c>
      <c r="L141" s="17">
        <v>27508</v>
      </c>
      <c r="M141" s="17">
        <f>AVERAGE(Table143690117171225188189192204[[#This Row],[Teste 1]:[Teste 3]])</f>
        <v>29132</v>
      </c>
      <c r="N141" s="16"/>
      <c r="O141" s="16" t="s">
        <v>17</v>
      </c>
      <c r="P141" s="16" t="s">
        <v>9</v>
      </c>
      <c r="Q141" s="17">
        <v>17455</v>
      </c>
      <c r="R141" s="17">
        <v>16767</v>
      </c>
      <c r="S141" s="17">
        <v>15719</v>
      </c>
      <c r="T141" s="17">
        <f>AVERAGE(Table143690117171225188189192216[[#This Row],[Teste 1]:[Teste 3]])</f>
        <v>16647</v>
      </c>
    </row>
    <row r="142" spans="1:20" x14ac:dyDescent="0.25">
      <c r="A142" s="16" t="s">
        <v>17</v>
      </c>
      <c r="B142" s="16" t="s">
        <v>11</v>
      </c>
      <c r="C142" s="17">
        <v>950200</v>
      </c>
      <c r="D142" s="17">
        <v>950163</v>
      </c>
      <c r="E142" s="17">
        <v>950228</v>
      </c>
      <c r="F142" s="17">
        <f>AVERAGE(Table143690117171225188189192[[#This Row],[Teste 1]:[Teste 3]])</f>
        <v>950197</v>
      </c>
      <c r="G142" s="16"/>
      <c r="H142" s="16" t="s">
        <v>17</v>
      </c>
      <c r="I142" s="16" t="s">
        <v>11</v>
      </c>
      <c r="J142" s="17">
        <v>950049</v>
      </c>
      <c r="K142" s="17">
        <v>949909</v>
      </c>
      <c r="L142" s="17">
        <v>950131</v>
      </c>
      <c r="M142" s="17">
        <f>AVERAGE(Table143690117171225188189192204[[#This Row],[Teste 1]:[Teste 3]])</f>
        <v>950029.66666666663</v>
      </c>
      <c r="N142" s="16"/>
      <c r="O142" s="16" t="s">
        <v>17</v>
      </c>
      <c r="P142" s="16" t="s">
        <v>11</v>
      </c>
      <c r="Q142" s="17">
        <v>949862</v>
      </c>
      <c r="R142" s="17">
        <v>949770</v>
      </c>
      <c r="S142" s="17">
        <v>950193</v>
      </c>
      <c r="T142" s="17">
        <f>AVERAGE(Table143690117171225188189192216[[#This Row],[Teste 1]:[Teste 3]])</f>
        <v>949941.66666666663</v>
      </c>
    </row>
    <row r="143" spans="1:20" x14ac:dyDescent="0.25">
      <c r="A143" s="16"/>
      <c r="B143" s="16"/>
      <c r="C143" s="17"/>
      <c r="D143" s="17"/>
      <c r="E143" s="17"/>
      <c r="F143" s="17"/>
      <c r="G143" s="16"/>
      <c r="H143" s="16"/>
      <c r="I143" s="16"/>
      <c r="J143" s="17"/>
      <c r="K143" s="17"/>
      <c r="L143" s="17"/>
      <c r="M143" s="17"/>
      <c r="N143" s="16"/>
      <c r="O143" s="16"/>
      <c r="P143" s="16"/>
      <c r="Q143" s="17"/>
      <c r="R143" s="17"/>
      <c r="S143" s="17"/>
      <c r="T143" s="17"/>
    </row>
    <row r="144" spans="1:20" x14ac:dyDescent="0.25">
      <c r="A144" s="16"/>
      <c r="B144" s="16"/>
      <c r="C144" s="17"/>
      <c r="D144" s="17"/>
      <c r="E144" s="17"/>
      <c r="F144" s="17"/>
      <c r="G144" s="16"/>
      <c r="H144" s="16"/>
      <c r="I144" s="16"/>
      <c r="J144" s="17"/>
      <c r="K144" s="17"/>
      <c r="L144" s="17"/>
      <c r="M144" s="17"/>
      <c r="N144" s="16"/>
      <c r="O144" s="16"/>
      <c r="P144" s="16"/>
      <c r="Q144" s="17"/>
      <c r="R144" s="17"/>
      <c r="S144" s="17"/>
      <c r="T144" s="17"/>
    </row>
    <row r="145" spans="1:20" x14ac:dyDescent="0.25">
      <c r="A145" s="16"/>
      <c r="B145" s="16"/>
      <c r="C145" s="17"/>
      <c r="D145" s="17"/>
      <c r="E145" s="17"/>
      <c r="F145" s="17"/>
      <c r="G145" s="16"/>
      <c r="H145" s="16"/>
      <c r="I145" s="16"/>
      <c r="J145" s="17"/>
      <c r="K145" s="17"/>
      <c r="L145" s="17"/>
      <c r="M145" s="17"/>
      <c r="N145" s="16"/>
      <c r="O145" s="16"/>
      <c r="P145" s="16"/>
      <c r="Q145" s="17"/>
      <c r="R145" s="17"/>
      <c r="S145" s="17"/>
      <c r="T145" s="17"/>
    </row>
    <row r="147" spans="1:20" ht="15.75" x14ac:dyDescent="0.25">
      <c r="A147" s="2" t="s">
        <v>73</v>
      </c>
      <c r="H147" s="2" t="s">
        <v>73</v>
      </c>
      <c r="O147" s="2" t="s">
        <v>73</v>
      </c>
    </row>
    <row r="148" spans="1:20" ht="15.75" x14ac:dyDescent="0.25">
      <c r="A148" s="16" t="s">
        <v>59</v>
      </c>
      <c r="B148" s="21" t="s">
        <v>66</v>
      </c>
      <c r="C148" s="16" t="s">
        <v>82</v>
      </c>
      <c r="D148" s="16" t="s">
        <v>64</v>
      </c>
      <c r="E148" s="16" t="s">
        <v>63</v>
      </c>
      <c r="F148" s="16" t="s">
        <v>18</v>
      </c>
      <c r="G148" s="16"/>
      <c r="H148" s="16" t="s">
        <v>12</v>
      </c>
      <c r="I148" s="21" t="s">
        <v>66</v>
      </c>
      <c r="J148" s="16" t="s">
        <v>82</v>
      </c>
      <c r="K148" s="16" t="s">
        <v>64</v>
      </c>
      <c r="L148" s="16" t="s">
        <v>63</v>
      </c>
      <c r="M148" s="16" t="s">
        <v>18</v>
      </c>
      <c r="N148" s="16"/>
      <c r="O148" s="16" t="s">
        <v>13</v>
      </c>
      <c r="P148" s="21" t="s">
        <v>66</v>
      </c>
      <c r="Q148" s="16" t="s">
        <v>82</v>
      </c>
      <c r="R148" s="16" t="s">
        <v>64</v>
      </c>
      <c r="S148" s="16" t="s">
        <v>63</v>
      </c>
      <c r="T148" s="16" t="s">
        <v>18</v>
      </c>
    </row>
    <row r="149" spans="1:20" x14ac:dyDescent="0.25">
      <c r="A149" s="16" t="s">
        <v>0</v>
      </c>
      <c r="B149" s="16" t="s">
        <v>1</v>
      </c>
      <c r="C149" s="17">
        <v>236555</v>
      </c>
      <c r="D149" s="17">
        <v>236108</v>
      </c>
      <c r="E149" s="17">
        <v>244140</v>
      </c>
      <c r="F149" s="17">
        <f>AVERAGE(Table143690117171225188190193[[#This Row],[Teste 1]:[Teste 3]])</f>
        <v>238934.33333333334</v>
      </c>
      <c r="G149" s="16"/>
      <c r="H149" s="16" t="s">
        <v>0</v>
      </c>
      <c r="I149" s="16" t="s">
        <v>1</v>
      </c>
      <c r="J149" s="17">
        <v>443033</v>
      </c>
      <c r="K149" s="17">
        <v>440365</v>
      </c>
      <c r="L149" s="17">
        <v>451129</v>
      </c>
      <c r="M149" s="17">
        <f>AVERAGE(Table143690117171225188190193205[[#This Row],[Teste 1]:[Teste 3]])</f>
        <v>444842.33333333331</v>
      </c>
      <c r="N149" s="16"/>
      <c r="O149" s="16" t="s">
        <v>0</v>
      </c>
      <c r="P149" s="16" t="s">
        <v>1</v>
      </c>
      <c r="Q149" s="17">
        <v>395566</v>
      </c>
      <c r="R149" s="17">
        <v>393183</v>
      </c>
      <c r="S149" s="17">
        <v>402794</v>
      </c>
      <c r="T149" s="17">
        <f>AVERAGE(Table143690117171225188190193217[[#This Row],[Teste 1]:[Teste 3]])</f>
        <v>397181</v>
      </c>
    </row>
    <row r="150" spans="1:20" x14ac:dyDescent="0.25">
      <c r="A150" s="16" t="s">
        <v>0</v>
      </c>
      <c r="B150" s="16" t="s">
        <v>2</v>
      </c>
      <c r="C150" s="17">
        <v>4579.6405130624998</v>
      </c>
      <c r="D150" s="17">
        <v>4235.3499246107704</v>
      </c>
      <c r="E150" s="17">
        <v>315.79415354216002</v>
      </c>
      <c r="F150" s="17">
        <f>AVERAGE(Table143690117171225188190193[[#This Row],[Teste 1]:[Teste 3]])</f>
        <v>3043.5948637384768</v>
      </c>
      <c r="G150" s="16"/>
      <c r="H150" s="16" t="s">
        <v>0</v>
      </c>
      <c r="I150" s="16" t="s">
        <v>2</v>
      </c>
      <c r="J150" s="17">
        <v>2072.15</v>
      </c>
      <c r="K150" s="17">
        <v>2084.71</v>
      </c>
      <c r="L150" s="17">
        <v>2034.97</v>
      </c>
      <c r="M150" s="17">
        <f>AVERAGE(Table143690117171225188190193205[[#This Row],[Teste 1]:[Teste 3]])</f>
        <v>2063.9433333333336</v>
      </c>
      <c r="N150" s="16"/>
      <c r="O150" s="16" t="s">
        <v>0</v>
      </c>
      <c r="P150" s="16" t="s">
        <v>2</v>
      </c>
      <c r="Q150" s="17">
        <v>2528.0231364677402</v>
      </c>
      <c r="R150" s="17">
        <v>2543.3449564197799</v>
      </c>
      <c r="S150" s="17">
        <v>2482.6586294731301</v>
      </c>
      <c r="T150" s="17">
        <f>AVERAGE(Table143690117171225188190193217[[#This Row],[Teste 1]:[Teste 3]])</f>
        <v>2518.0089074535499</v>
      </c>
    </row>
    <row r="151" spans="1:20" x14ac:dyDescent="0.25">
      <c r="A151" s="16" t="s">
        <v>16</v>
      </c>
      <c r="B151" s="16" t="s">
        <v>4</v>
      </c>
      <c r="C151" s="17">
        <v>49839</v>
      </c>
      <c r="D151" s="17">
        <v>49644</v>
      </c>
      <c r="E151" s="17">
        <v>49925</v>
      </c>
      <c r="F151" s="17">
        <f>AVERAGE(Table143690117171225188190193[[#This Row],[Teste 1]:[Teste 3]])</f>
        <v>49802.666666666664</v>
      </c>
      <c r="G151" s="16"/>
      <c r="H151" s="16" t="s">
        <v>16</v>
      </c>
      <c r="I151" s="16" t="s">
        <v>4</v>
      </c>
      <c r="J151" s="17">
        <v>49800</v>
      </c>
      <c r="K151" s="17">
        <v>49951</v>
      </c>
      <c r="L151" s="17">
        <v>50335</v>
      </c>
      <c r="M151" s="17">
        <f>AVERAGE(Table143690117171225188190193205[[#This Row],[Teste 1]:[Teste 3]])</f>
        <v>50028.666666666664</v>
      </c>
      <c r="N151" s="16"/>
      <c r="O151" s="16" t="s">
        <v>16</v>
      </c>
      <c r="P151" s="16" t="s">
        <v>4</v>
      </c>
      <c r="Q151" s="17">
        <v>50023</v>
      </c>
      <c r="R151" s="17">
        <v>49879</v>
      </c>
      <c r="S151" s="17">
        <v>49869</v>
      </c>
      <c r="T151" s="17">
        <f>AVERAGE(Table143690117171225188190193217[[#This Row],[Teste 1]:[Teste 3]])</f>
        <v>49923.666666666664</v>
      </c>
    </row>
    <row r="152" spans="1:20" x14ac:dyDescent="0.25">
      <c r="A152" s="16" t="s">
        <v>16</v>
      </c>
      <c r="B152" s="16" t="s">
        <v>5</v>
      </c>
      <c r="C152" s="17">
        <v>4861.6387367322704</v>
      </c>
      <c r="D152" s="17">
        <v>18998.807489323899</v>
      </c>
      <c r="E152" s="17">
        <v>34014.416204306399</v>
      </c>
      <c r="F152" s="17">
        <f>AVERAGE(Table143690117171225188190193[[#This Row],[Teste 1]:[Teste 3]])</f>
        <v>19291.620810120858</v>
      </c>
      <c r="G152" s="16"/>
      <c r="H152" s="16" t="s">
        <v>16</v>
      </c>
      <c r="I152" s="16" t="s">
        <v>5</v>
      </c>
      <c r="J152" s="17">
        <v>2427.94</v>
      </c>
      <c r="K152" s="17">
        <v>2414.12</v>
      </c>
      <c r="L152" s="17">
        <v>2447.7199999999998</v>
      </c>
      <c r="M152" s="17">
        <f>AVERAGE(Table143690117171225188190193205[[#This Row],[Teste 1]:[Teste 3]])</f>
        <v>2429.9266666666663</v>
      </c>
      <c r="N152" s="16"/>
      <c r="O152" s="16" t="s">
        <v>16</v>
      </c>
      <c r="P152" s="16" t="s">
        <v>5</v>
      </c>
      <c r="Q152" s="17">
        <v>1990.1141474921501</v>
      </c>
      <c r="R152" s="17">
        <v>1978.78554100924</v>
      </c>
      <c r="S152" s="17">
        <v>2006.3268764162101</v>
      </c>
      <c r="T152" s="17">
        <f>AVERAGE(Table143690117171225188190193217[[#This Row],[Teste 1]:[Teste 3]])</f>
        <v>1991.7421883058669</v>
      </c>
    </row>
    <row r="153" spans="1:20" x14ac:dyDescent="0.25">
      <c r="A153" s="16" t="s">
        <v>16</v>
      </c>
      <c r="B153" s="16" t="s">
        <v>6</v>
      </c>
      <c r="C153" s="17">
        <v>107</v>
      </c>
      <c r="D153" s="17">
        <v>104</v>
      </c>
      <c r="E153" s="17">
        <v>110</v>
      </c>
      <c r="F153" s="17">
        <f>AVERAGE(Table143690117171225188190193[[#This Row],[Teste 1]:[Teste 3]])</f>
        <v>107</v>
      </c>
      <c r="G153" s="16"/>
      <c r="H153" s="16" t="s">
        <v>16</v>
      </c>
      <c r="I153" s="16" t="s">
        <v>6</v>
      </c>
      <c r="J153" s="17">
        <v>170</v>
      </c>
      <c r="K153" s="17">
        <v>168</v>
      </c>
      <c r="L153" s="17">
        <v>168</v>
      </c>
      <c r="M153" s="17">
        <f>AVERAGE(Table143690117171225188190193205[[#This Row],[Teste 1]:[Teste 3]])</f>
        <v>168.66666666666666</v>
      </c>
      <c r="N153" s="16"/>
      <c r="O153" s="16" t="s">
        <v>16</v>
      </c>
      <c r="P153" s="16" t="s">
        <v>6</v>
      </c>
      <c r="Q153" s="17">
        <v>140</v>
      </c>
      <c r="R153" s="17">
        <v>138</v>
      </c>
      <c r="S153" s="17">
        <v>138</v>
      </c>
      <c r="T153" s="17">
        <f>AVERAGE(Table143690117171225188190193217[[#This Row],[Teste 1]:[Teste 3]])</f>
        <v>138.66666666666666</v>
      </c>
    </row>
    <row r="154" spans="1:20" x14ac:dyDescent="0.25">
      <c r="A154" s="16" t="s">
        <v>16</v>
      </c>
      <c r="B154" s="16" t="s">
        <v>7</v>
      </c>
      <c r="C154" s="17">
        <v>4325375</v>
      </c>
      <c r="D154" s="17">
        <v>6500351</v>
      </c>
      <c r="E154" s="17">
        <v>7520255</v>
      </c>
      <c r="F154" s="17">
        <f>AVERAGE(Table143690117171225188190193[[#This Row],[Teste 1]:[Teste 3]])</f>
        <v>6115327</v>
      </c>
      <c r="G154" s="16"/>
      <c r="H154" s="16" t="s">
        <v>16</v>
      </c>
      <c r="I154" s="16" t="s">
        <v>7</v>
      </c>
      <c r="J154" s="17">
        <v>39600</v>
      </c>
      <c r="K154" s="17">
        <v>32926</v>
      </c>
      <c r="L154" s="17">
        <v>32430</v>
      </c>
      <c r="M154" s="17">
        <f>AVERAGE(Table143690117171225188190193205[[#This Row],[Teste 1]:[Teste 3]])</f>
        <v>34985.333333333336</v>
      </c>
      <c r="N154" s="16"/>
      <c r="O154" s="16" t="s">
        <v>16</v>
      </c>
      <c r="P154" s="16" t="s">
        <v>7</v>
      </c>
      <c r="Q154" s="17">
        <v>324607</v>
      </c>
      <c r="R154" s="17">
        <v>59775</v>
      </c>
      <c r="S154" s="17">
        <v>1164287</v>
      </c>
      <c r="T154" s="17">
        <f>AVERAGE(Table143690117171225188190193217[[#This Row],[Teste 1]:[Teste 3]])</f>
        <v>516223</v>
      </c>
    </row>
    <row r="155" spans="1:20" x14ac:dyDescent="0.25">
      <c r="A155" s="16" t="s">
        <v>16</v>
      </c>
      <c r="B155" s="16" t="s">
        <v>8</v>
      </c>
      <c r="C155" s="17">
        <v>10311</v>
      </c>
      <c r="D155" s="17">
        <v>952</v>
      </c>
      <c r="E155" s="17">
        <v>67135</v>
      </c>
      <c r="F155" s="17">
        <f>AVERAGE(Table143690117171225188190193[[#This Row],[Teste 1]:[Teste 3]])</f>
        <v>26132.666666666668</v>
      </c>
      <c r="G155" s="16"/>
      <c r="H155" s="16" t="s">
        <v>16</v>
      </c>
      <c r="I155" s="16" t="s">
        <v>8</v>
      </c>
      <c r="J155" s="17">
        <v>10637</v>
      </c>
      <c r="K155" s="17">
        <v>10568</v>
      </c>
      <c r="L155" s="17">
        <v>10354</v>
      </c>
      <c r="M155" s="17">
        <f>AVERAGE(Table143690117171225188190193205[[#This Row],[Teste 1]:[Teste 3]])</f>
        <v>10519.666666666666</v>
      </c>
      <c r="N155" s="16"/>
      <c r="O155" s="16" t="s">
        <v>16</v>
      </c>
      <c r="P155" s="16" t="s">
        <v>8</v>
      </c>
      <c r="Q155" s="17">
        <v>8719</v>
      </c>
      <c r="R155" s="17">
        <v>8663</v>
      </c>
      <c r="S155" s="17">
        <v>8487</v>
      </c>
      <c r="T155" s="17">
        <f>AVERAGE(Table143690117171225188190193217[[#This Row],[Teste 1]:[Teste 3]])</f>
        <v>8623</v>
      </c>
    </row>
    <row r="156" spans="1:20" x14ac:dyDescent="0.25">
      <c r="A156" s="16" t="s">
        <v>16</v>
      </c>
      <c r="B156" s="16" t="s">
        <v>9</v>
      </c>
      <c r="C156" s="17">
        <v>31359</v>
      </c>
      <c r="D156" s="17">
        <v>148223</v>
      </c>
      <c r="E156" s="17">
        <v>469759</v>
      </c>
      <c r="F156" s="17">
        <f>AVERAGE(Table143690117171225188190193[[#This Row],[Teste 1]:[Teste 3]])</f>
        <v>216447</v>
      </c>
      <c r="G156" s="16"/>
      <c r="H156" s="16" t="s">
        <v>16</v>
      </c>
      <c r="I156" s="16" t="s">
        <v>9</v>
      </c>
      <c r="J156" s="17">
        <v>23696</v>
      </c>
      <c r="K156" s="17">
        <v>24926</v>
      </c>
      <c r="L156" s="17">
        <v>23286</v>
      </c>
      <c r="M156" s="17">
        <f>AVERAGE(Table143690117171225188190193205[[#This Row],[Teste 1]:[Teste 3]])</f>
        <v>23969.333333333332</v>
      </c>
      <c r="N156" s="16"/>
      <c r="O156" s="16" t="s">
        <v>16</v>
      </c>
      <c r="P156" s="16" t="s">
        <v>9</v>
      </c>
      <c r="Q156" s="17">
        <v>19423</v>
      </c>
      <c r="R156" s="17">
        <v>20431</v>
      </c>
      <c r="S156" s="17">
        <v>19087</v>
      </c>
      <c r="T156" s="17">
        <f>AVERAGE(Table143690117171225188190193217[[#This Row],[Teste 1]:[Teste 3]])</f>
        <v>19647</v>
      </c>
    </row>
    <row r="157" spans="1:20" x14ac:dyDescent="0.25">
      <c r="A157" s="16" t="s">
        <v>16</v>
      </c>
      <c r="B157" s="16" t="s">
        <v>11</v>
      </c>
      <c r="C157" s="17">
        <v>49839</v>
      </c>
      <c r="D157" s="17">
        <v>49644</v>
      </c>
      <c r="E157" s="17">
        <v>49925</v>
      </c>
      <c r="F157" s="17">
        <f>AVERAGE(Table143690117171225188190193[[#This Row],[Teste 1]:[Teste 3]])</f>
        <v>49802.666666666664</v>
      </c>
      <c r="G157" s="16"/>
      <c r="H157" s="16" t="s">
        <v>16</v>
      </c>
      <c r="I157" s="16" t="s">
        <v>11</v>
      </c>
      <c r="J157" s="17">
        <v>49800</v>
      </c>
      <c r="K157" s="17">
        <v>49951</v>
      </c>
      <c r="L157" s="17">
        <v>50335</v>
      </c>
      <c r="M157" s="17">
        <f>AVERAGE(Table143690117171225188190193205[[#This Row],[Teste 1]:[Teste 3]])</f>
        <v>50028.666666666664</v>
      </c>
      <c r="N157" s="16"/>
      <c r="O157" s="16" t="s">
        <v>16</v>
      </c>
      <c r="P157" s="16" t="s">
        <v>11</v>
      </c>
      <c r="Q157" s="17">
        <v>50023</v>
      </c>
      <c r="R157" s="17">
        <v>49879</v>
      </c>
      <c r="S157" s="17">
        <v>49869</v>
      </c>
      <c r="T157" s="17">
        <f>AVERAGE(Table143690117171225188190193217[[#This Row],[Teste 1]:[Teste 3]])</f>
        <v>49923.666666666664</v>
      </c>
    </row>
    <row r="158" spans="1:20" x14ac:dyDescent="0.25">
      <c r="A158" s="16" t="s">
        <v>3</v>
      </c>
      <c r="B158" s="16" t="s">
        <v>4</v>
      </c>
      <c r="C158" s="17">
        <v>6</v>
      </c>
      <c r="D158" s="17">
        <v>6</v>
      </c>
      <c r="E158" s="17">
        <v>6</v>
      </c>
      <c r="F158" s="17">
        <f>AVERAGE(Table143690117171225188190193[[#This Row],[Teste 1]:[Teste 3]])</f>
        <v>6</v>
      </c>
      <c r="G158" s="16"/>
      <c r="H158" s="16" t="s">
        <v>3</v>
      </c>
      <c r="I158" s="16" t="s">
        <v>4</v>
      </c>
      <c r="J158" s="17">
        <v>6</v>
      </c>
      <c r="K158" s="17">
        <v>6</v>
      </c>
      <c r="L158" s="17">
        <v>6</v>
      </c>
      <c r="M158" s="17">
        <f>AVERAGE(Table143690117171225188190193205[[#This Row],[Teste 1]:[Teste 3]])</f>
        <v>6</v>
      </c>
      <c r="N158" s="16"/>
      <c r="O158" s="16" t="s">
        <v>3</v>
      </c>
      <c r="P158" s="16" t="s">
        <v>4</v>
      </c>
      <c r="Q158" s="17">
        <v>6</v>
      </c>
      <c r="R158" s="17">
        <v>6</v>
      </c>
      <c r="S158" s="17">
        <v>6</v>
      </c>
      <c r="T158" s="17">
        <f>AVERAGE(Table143690117171225188190193217[[#This Row],[Teste 1]:[Teste 3]])</f>
        <v>6</v>
      </c>
    </row>
    <row r="159" spans="1:20" x14ac:dyDescent="0.25">
      <c r="A159" s="16" t="s">
        <v>3</v>
      </c>
      <c r="B159" s="16" t="s">
        <v>5</v>
      </c>
      <c r="C159" s="17">
        <v>0.83333333333333304</v>
      </c>
      <c r="D159" s="17">
        <v>0.5</v>
      </c>
      <c r="E159" s="17">
        <v>0.5</v>
      </c>
      <c r="F159" s="17">
        <f>AVERAGE(Table143690117171225188190193[[#This Row],[Teste 1]:[Teste 3]])</f>
        <v>0.61111111111111105</v>
      </c>
      <c r="G159" s="16"/>
      <c r="H159" s="16" t="s">
        <v>3</v>
      </c>
      <c r="I159" s="16" t="s">
        <v>5</v>
      </c>
      <c r="J159" s="17">
        <v>1.3332999999999999</v>
      </c>
      <c r="K159" s="17">
        <v>1.333</v>
      </c>
      <c r="L159" s="17">
        <v>1.333</v>
      </c>
      <c r="M159" s="17">
        <f>AVERAGE(Table143690117171225188190193205[[#This Row],[Teste 1]:[Teste 3]])</f>
        <v>1.3331</v>
      </c>
      <c r="N159" s="16"/>
      <c r="O159" s="16" t="s">
        <v>3</v>
      </c>
      <c r="P159" s="16" t="s">
        <v>5</v>
      </c>
      <c r="Q159" s="17">
        <v>1041.8333333333301</v>
      </c>
      <c r="R159" s="17">
        <v>3987</v>
      </c>
      <c r="S159" s="17">
        <v>1109.5</v>
      </c>
      <c r="T159" s="17">
        <f>AVERAGE(Table143690117171225188190193217[[#This Row],[Teste 1]:[Teste 3]])</f>
        <v>2046.1111111111102</v>
      </c>
    </row>
    <row r="160" spans="1:20" x14ac:dyDescent="0.25">
      <c r="A160" s="16" t="s">
        <v>3</v>
      </c>
      <c r="B160" s="16" t="s">
        <v>6</v>
      </c>
      <c r="C160" s="17">
        <v>0</v>
      </c>
      <c r="D160" s="17">
        <v>0</v>
      </c>
      <c r="E160" s="17">
        <v>0</v>
      </c>
      <c r="F160" s="17">
        <f>AVERAGE(Table143690117171225188190193[[#This Row],[Teste 1]:[Teste 3]])</f>
        <v>0</v>
      </c>
      <c r="G160" s="16"/>
      <c r="H160" s="16" t="s">
        <v>3</v>
      </c>
      <c r="I160" s="16" t="s">
        <v>6</v>
      </c>
      <c r="J160" s="17">
        <v>1</v>
      </c>
      <c r="K160" s="17">
        <v>1</v>
      </c>
      <c r="L160" s="17">
        <v>0</v>
      </c>
      <c r="M160" s="17">
        <f>AVERAGE(Table143690117171225188190193205[[#This Row],[Teste 1]:[Teste 3]])</f>
        <v>0.66666666666666663</v>
      </c>
      <c r="N160" s="16"/>
      <c r="O160" s="16" t="s">
        <v>3</v>
      </c>
      <c r="P160" s="16" t="s">
        <v>6</v>
      </c>
      <c r="Q160" s="17">
        <v>1</v>
      </c>
      <c r="R160" s="17">
        <v>1</v>
      </c>
      <c r="S160" s="17">
        <v>1</v>
      </c>
      <c r="T160" s="17">
        <f>AVERAGE(Table143690117171225188190193217[[#This Row],[Teste 1]:[Teste 3]])</f>
        <v>1</v>
      </c>
    </row>
    <row r="161" spans="1:20" x14ac:dyDescent="0.25">
      <c r="A161" s="16" t="s">
        <v>3</v>
      </c>
      <c r="B161" s="16" t="s">
        <v>7</v>
      </c>
      <c r="C161" s="17">
        <v>2</v>
      </c>
      <c r="D161" s="17">
        <v>2</v>
      </c>
      <c r="E161" s="17">
        <v>2</v>
      </c>
      <c r="F161" s="17">
        <f>AVERAGE(Table143690117171225188190193[[#This Row],[Teste 1]:[Teste 3]])</f>
        <v>2</v>
      </c>
      <c r="G161" s="16"/>
      <c r="H161" s="16" t="s">
        <v>3</v>
      </c>
      <c r="I161" s="16" t="s">
        <v>7</v>
      </c>
      <c r="J161" s="17">
        <v>3</v>
      </c>
      <c r="K161" s="17">
        <v>2</v>
      </c>
      <c r="L161" s="17">
        <v>3</v>
      </c>
      <c r="M161" s="17">
        <f>AVERAGE(Table143690117171225188190193205[[#This Row],[Teste 1]:[Teste 3]])</f>
        <v>2.6666666666666665</v>
      </c>
      <c r="N161" s="16"/>
      <c r="O161" s="16" t="s">
        <v>3</v>
      </c>
      <c r="P161" s="16" t="s">
        <v>7</v>
      </c>
      <c r="Q161" s="17">
        <v>6239</v>
      </c>
      <c r="R161" s="17">
        <v>23919</v>
      </c>
      <c r="S161" s="17">
        <v>6643</v>
      </c>
      <c r="T161" s="17">
        <f>AVERAGE(Table143690117171225188190193217[[#This Row],[Teste 1]:[Teste 3]])</f>
        <v>12267</v>
      </c>
    </row>
    <row r="162" spans="1:20" x14ac:dyDescent="0.25">
      <c r="A162" s="16" t="s">
        <v>3</v>
      </c>
      <c r="B162" s="16" t="s">
        <v>8</v>
      </c>
      <c r="C162" s="17">
        <v>2</v>
      </c>
      <c r="D162" s="17">
        <v>2</v>
      </c>
      <c r="E162" s="17">
        <v>2</v>
      </c>
      <c r="F162" s="17">
        <f>AVERAGE(Table143690117171225188190193[[#This Row],[Teste 1]:[Teste 3]])</f>
        <v>2</v>
      </c>
      <c r="G162" s="16"/>
      <c r="H162" s="16" t="s">
        <v>3</v>
      </c>
      <c r="I162" s="16" t="s">
        <v>8</v>
      </c>
      <c r="J162" s="17">
        <v>3</v>
      </c>
      <c r="K162" s="17">
        <v>2</v>
      </c>
      <c r="L162" s="17">
        <v>3</v>
      </c>
      <c r="M162" s="17">
        <f>AVERAGE(Table143690117171225188190193205[[#This Row],[Teste 1]:[Teste 3]])</f>
        <v>2.6666666666666665</v>
      </c>
      <c r="N162" s="16"/>
      <c r="O162" s="16" t="s">
        <v>3</v>
      </c>
      <c r="P162" s="16" t="s">
        <v>8</v>
      </c>
      <c r="Q162" s="17">
        <v>6239</v>
      </c>
      <c r="R162" s="17">
        <v>23919</v>
      </c>
      <c r="S162" s="17">
        <v>6643</v>
      </c>
      <c r="T162" s="17">
        <f>AVERAGE(Table143690117171225188190193217[[#This Row],[Teste 1]:[Teste 3]])</f>
        <v>12267</v>
      </c>
    </row>
    <row r="163" spans="1:20" x14ac:dyDescent="0.25">
      <c r="A163" s="16" t="s">
        <v>3</v>
      </c>
      <c r="B163" s="16" t="s">
        <v>9</v>
      </c>
      <c r="C163" s="17">
        <v>2</v>
      </c>
      <c r="D163" s="17">
        <v>2</v>
      </c>
      <c r="E163" s="17">
        <v>2</v>
      </c>
      <c r="F163" s="17">
        <f>AVERAGE(Table143690117171225188190193[[#This Row],[Teste 1]:[Teste 3]])</f>
        <v>2</v>
      </c>
      <c r="G163" s="16"/>
      <c r="H163" s="16" t="s">
        <v>3</v>
      </c>
      <c r="I163" s="16" t="s">
        <v>9</v>
      </c>
      <c r="J163" s="17">
        <v>3</v>
      </c>
      <c r="K163" s="17">
        <v>2</v>
      </c>
      <c r="L163" s="17">
        <v>3</v>
      </c>
      <c r="M163" s="17">
        <f>AVERAGE(Table143690117171225188190193205[[#This Row],[Teste 1]:[Teste 3]])</f>
        <v>2.6666666666666665</v>
      </c>
      <c r="N163" s="16"/>
      <c r="O163" s="16" t="s">
        <v>3</v>
      </c>
      <c r="P163" s="16" t="s">
        <v>9</v>
      </c>
      <c r="Q163" s="17">
        <v>6239</v>
      </c>
      <c r="R163" s="17">
        <v>23919</v>
      </c>
      <c r="S163" s="17">
        <v>6643</v>
      </c>
      <c r="T163" s="17">
        <f>AVERAGE(Table143690117171225188190193217[[#This Row],[Teste 1]:[Teste 3]])</f>
        <v>12267</v>
      </c>
    </row>
    <row r="164" spans="1:20" x14ac:dyDescent="0.25">
      <c r="A164" s="16" t="s">
        <v>17</v>
      </c>
      <c r="B164" s="16" t="s">
        <v>4</v>
      </c>
      <c r="C164" s="17">
        <v>950161</v>
      </c>
      <c r="D164" s="17">
        <v>950356</v>
      </c>
      <c r="E164" s="17">
        <v>950075</v>
      </c>
      <c r="F164" s="17">
        <f>AVERAGE(Table143690117171225188190193[[#This Row],[Teste 1]:[Teste 3]])</f>
        <v>950197.33333333337</v>
      </c>
      <c r="G164" s="16"/>
      <c r="H164" s="16" t="s">
        <v>17</v>
      </c>
      <c r="I164" s="16" t="s">
        <v>4</v>
      </c>
      <c r="J164" s="17">
        <v>950200</v>
      </c>
      <c r="K164" s="17">
        <v>950049</v>
      </c>
      <c r="L164" s="17">
        <v>949665</v>
      </c>
      <c r="M164" s="17">
        <f>AVERAGE(Table143690117171225188190193205[[#This Row],[Teste 1]:[Teste 3]])</f>
        <v>949971.33333333337</v>
      </c>
      <c r="N164" s="16"/>
      <c r="O164" s="16" t="s">
        <v>17</v>
      </c>
      <c r="P164" s="16" t="s">
        <v>4</v>
      </c>
      <c r="Q164" s="17">
        <v>949977</v>
      </c>
      <c r="R164" s="17">
        <v>950121</v>
      </c>
      <c r="S164" s="17">
        <v>950131</v>
      </c>
      <c r="T164" s="17">
        <f>AVERAGE(Table143690117171225188190193217[[#This Row],[Teste 1]:[Teste 3]])</f>
        <v>950076.33333333337</v>
      </c>
    </row>
    <row r="165" spans="1:20" x14ac:dyDescent="0.25">
      <c r="A165" s="16" t="s">
        <v>17</v>
      </c>
      <c r="B165" s="16" t="s">
        <v>5</v>
      </c>
      <c r="C165" s="17">
        <v>434.37848743528701</v>
      </c>
      <c r="D165" s="17">
        <v>339.41293788853801</v>
      </c>
      <c r="E165" s="17">
        <v>255.49211799068399</v>
      </c>
      <c r="F165" s="17">
        <f>AVERAGE(Table143690117171225188190193[[#This Row],[Teste 1]:[Teste 3]])</f>
        <v>343.09451443816965</v>
      </c>
      <c r="G165" s="16"/>
      <c r="H165" s="16" t="s">
        <v>17</v>
      </c>
      <c r="I165" s="16" t="s">
        <v>5</v>
      </c>
      <c r="J165" s="17">
        <v>2902.57</v>
      </c>
      <c r="K165" s="17">
        <v>2882.95</v>
      </c>
      <c r="L165" s="17">
        <v>2950.09</v>
      </c>
      <c r="M165" s="17">
        <f>AVERAGE(Table143690117171225188190193205[[#This Row],[Teste 1]:[Teste 3]])</f>
        <v>2911.8700000000003</v>
      </c>
      <c r="N165" s="16"/>
      <c r="O165" s="16" t="s">
        <v>17</v>
      </c>
      <c r="P165" s="16" t="s">
        <v>5</v>
      </c>
      <c r="Q165" s="17">
        <v>2379.1586796311899</v>
      </c>
      <c r="R165" s="17">
        <v>2363.07737330297</v>
      </c>
      <c r="S165" s="17">
        <v>2418.11012481436</v>
      </c>
      <c r="T165" s="17">
        <f>AVERAGE(Table143690117171225188190193217[[#This Row],[Teste 1]:[Teste 3]])</f>
        <v>2386.7820592495068</v>
      </c>
    </row>
    <row r="166" spans="1:20" x14ac:dyDescent="0.25">
      <c r="A166" s="16" t="s">
        <v>17</v>
      </c>
      <c r="B166" s="16" t="s">
        <v>6</v>
      </c>
      <c r="C166" s="17">
        <v>92</v>
      </c>
      <c r="D166" s="17">
        <v>87</v>
      </c>
      <c r="E166" s="17">
        <v>89</v>
      </c>
      <c r="F166" s="17">
        <f>AVERAGE(Table143690117171225188190193[[#This Row],[Teste 1]:[Teste 3]])</f>
        <v>89.333333333333329</v>
      </c>
      <c r="G166" s="16"/>
      <c r="H166" s="16" t="s">
        <v>17</v>
      </c>
      <c r="I166" s="16" t="s">
        <v>6</v>
      </c>
      <c r="J166" s="17">
        <v>209</v>
      </c>
      <c r="K166" s="17">
        <v>214</v>
      </c>
      <c r="L166" s="17">
        <v>215</v>
      </c>
      <c r="M166" s="17">
        <f>AVERAGE(Table143690117171225188190193205[[#This Row],[Teste 1]:[Teste 3]])</f>
        <v>212.66666666666666</v>
      </c>
      <c r="N166" s="16"/>
      <c r="O166" s="16" t="s">
        <v>17</v>
      </c>
      <c r="P166" s="16" t="s">
        <v>6</v>
      </c>
      <c r="Q166" s="17">
        <v>171</v>
      </c>
      <c r="R166" s="17">
        <v>175</v>
      </c>
      <c r="S166" s="17">
        <v>176</v>
      </c>
      <c r="T166" s="17">
        <f>AVERAGE(Table143690117171225188190193217[[#This Row],[Teste 1]:[Teste 3]])</f>
        <v>174</v>
      </c>
    </row>
    <row r="167" spans="1:20" x14ac:dyDescent="0.25">
      <c r="A167" s="16" t="s">
        <v>17</v>
      </c>
      <c r="B167" s="16" t="s">
        <v>7</v>
      </c>
      <c r="C167" s="17">
        <v>141439</v>
      </c>
      <c r="D167" s="17">
        <v>4161535</v>
      </c>
      <c r="E167" s="17">
        <v>3284991</v>
      </c>
      <c r="F167" s="17">
        <f>AVERAGE(Table143690117171225188190193[[#This Row],[Teste 1]:[Teste 3]])</f>
        <v>2529321.6666666665</v>
      </c>
      <c r="G167" s="16"/>
      <c r="H167" s="16" t="s">
        <v>17</v>
      </c>
      <c r="I167" s="16" t="s">
        <v>7</v>
      </c>
      <c r="J167" s="17">
        <v>1486642</v>
      </c>
      <c r="K167" s="17">
        <v>1798962</v>
      </c>
      <c r="L167" s="17">
        <v>1427926</v>
      </c>
      <c r="M167" s="17">
        <f>AVERAGE(Table143690117171225188190193205[[#This Row],[Teste 1]:[Teste 3]])</f>
        <v>1571176.6666666667</v>
      </c>
      <c r="N167" s="16"/>
      <c r="O167" s="16" t="s">
        <v>17</v>
      </c>
      <c r="P167" s="16" t="s">
        <v>7</v>
      </c>
      <c r="Q167" s="17">
        <v>1218559</v>
      </c>
      <c r="R167" s="17">
        <v>1474559</v>
      </c>
      <c r="S167" s="17">
        <v>1170431</v>
      </c>
      <c r="T167" s="17">
        <f>AVERAGE(Table143690117171225188190193217[[#This Row],[Teste 1]:[Teste 3]])</f>
        <v>1287849.6666666667</v>
      </c>
    </row>
    <row r="168" spans="1:20" x14ac:dyDescent="0.25">
      <c r="A168" s="16" t="s">
        <v>17</v>
      </c>
      <c r="B168" s="16" t="s">
        <v>8</v>
      </c>
      <c r="C168" s="17">
        <v>899</v>
      </c>
      <c r="D168" s="17">
        <v>478</v>
      </c>
      <c r="E168" s="17">
        <v>446</v>
      </c>
      <c r="F168" s="17">
        <f>AVERAGE(Table143690117171225188190193[[#This Row],[Teste 1]:[Teste 3]])</f>
        <v>607.66666666666663</v>
      </c>
      <c r="G168" s="16"/>
      <c r="H168" s="16" t="s">
        <v>17</v>
      </c>
      <c r="I168" s="16" t="s">
        <v>8</v>
      </c>
      <c r="J168" s="17">
        <v>12482</v>
      </c>
      <c r="K168" s="17">
        <v>12462</v>
      </c>
      <c r="L168" s="17">
        <v>12628</v>
      </c>
      <c r="M168" s="17">
        <f>AVERAGE(Table143690117171225188190193205[[#This Row],[Teste 1]:[Teste 3]])</f>
        <v>12524</v>
      </c>
      <c r="N168" s="16"/>
      <c r="O168" s="16" t="s">
        <v>17</v>
      </c>
      <c r="P168" s="16" t="s">
        <v>8</v>
      </c>
      <c r="Q168" s="17">
        <v>10231</v>
      </c>
      <c r="R168" s="17">
        <v>10215</v>
      </c>
      <c r="S168" s="17">
        <v>10351</v>
      </c>
      <c r="T168" s="17">
        <f>AVERAGE(Table143690117171225188190193217[[#This Row],[Teste 1]:[Teste 3]])</f>
        <v>10265.666666666666</v>
      </c>
    </row>
    <row r="169" spans="1:20" x14ac:dyDescent="0.25">
      <c r="A169" s="16" t="s">
        <v>17</v>
      </c>
      <c r="B169" s="16" t="s">
        <v>9</v>
      </c>
      <c r="C169" s="17">
        <v>1786</v>
      </c>
      <c r="D169" s="17">
        <v>943</v>
      </c>
      <c r="E169" s="17">
        <v>928</v>
      </c>
      <c r="F169" s="17">
        <f>AVERAGE(Table143690117171225188190193[[#This Row],[Teste 1]:[Teste 3]])</f>
        <v>1219</v>
      </c>
      <c r="G169" s="16"/>
      <c r="H169" s="16" t="s">
        <v>17</v>
      </c>
      <c r="I169" s="16" t="s">
        <v>9</v>
      </c>
      <c r="J169" s="17">
        <v>26428</v>
      </c>
      <c r="K169" s="17">
        <v>26819</v>
      </c>
      <c r="L169" s="17">
        <v>26058</v>
      </c>
      <c r="M169" s="17">
        <f>AVERAGE(Table143690117171225188190193205[[#This Row],[Teste 1]:[Teste 3]])</f>
        <v>26435</v>
      </c>
      <c r="N169" s="16"/>
      <c r="O169" s="16" t="s">
        <v>17</v>
      </c>
      <c r="P169" s="16" t="s">
        <v>9</v>
      </c>
      <c r="Q169" s="17">
        <v>21663</v>
      </c>
      <c r="R169" s="17">
        <v>21983</v>
      </c>
      <c r="S169" s="17">
        <v>21359</v>
      </c>
      <c r="T169" s="17">
        <f>AVERAGE(Table143690117171225188190193217[[#This Row],[Teste 1]:[Teste 3]])</f>
        <v>21668.333333333332</v>
      </c>
    </row>
    <row r="170" spans="1:20" x14ac:dyDescent="0.25">
      <c r="A170" s="16" t="s">
        <v>17</v>
      </c>
      <c r="B170" s="16" t="s">
        <v>11</v>
      </c>
      <c r="C170" s="17">
        <v>950161</v>
      </c>
      <c r="D170" s="17">
        <v>950356</v>
      </c>
      <c r="E170" s="17">
        <v>950075</v>
      </c>
      <c r="F170" s="17">
        <f>AVERAGE(Table143690117171225188190193[[#This Row],[Teste 1]:[Teste 3]])</f>
        <v>950197.33333333337</v>
      </c>
      <c r="G170" s="16"/>
      <c r="H170" s="16" t="s">
        <v>17</v>
      </c>
      <c r="I170" s="16" t="s">
        <v>11</v>
      </c>
      <c r="J170" s="17">
        <v>950200</v>
      </c>
      <c r="K170" s="17">
        <v>950049</v>
      </c>
      <c r="L170" s="17">
        <v>949665</v>
      </c>
      <c r="M170" s="17">
        <f>AVERAGE(Table143690117171225188190193205[[#This Row],[Teste 1]:[Teste 3]])</f>
        <v>949971.33333333337</v>
      </c>
      <c r="N170" s="16"/>
      <c r="O170" s="16" t="s">
        <v>17</v>
      </c>
      <c r="P170" s="16" t="s">
        <v>11</v>
      </c>
      <c r="Q170" s="17">
        <v>949977</v>
      </c>
      <c r="R170" s="17">
        <v>950121</v>
      </c>
      <c r="S170" s="17">
        <v>950131</v>
      </c>
      <c r="T170" s="17">
        <f>AVERAGE(Table143690117171225188190193217[[#This Row],[Teste 1]:[Teste 3]])</f>
        <v>950076.33333333337</v>
      </c>
    </row>
    <row r="171" spans="1:20" x14ac:dyDescent="0.25">
      <c r="A171" s="16"/>
      <c r="B171" s="16"/>
      <c r="C171" s="17"/>
      <c r="D171" s="17"/>
      <c r="E171" s="17"/>
      <c r="F171" s="17"/>
      <c r="G171" s="16"/>
      <c r="H171" s="16"/>
      <c r="I171" s="16"/>
      <c r="J171" s="17"/>
      <c r="K171" s="17"/>
      <c r="L171" s="17"/>
      <c r="M171" s="17"/>
      <c r="N171" s="16"/>
      <c r="O171" s="16"/>
      <c r="P171" s="16"/>
      <c r="Q171" s="17"/>
      <c r="R171" s="17"/>
      <c r="S171" s="17"/>
      <c r="T171" s="17"/>
    </row>
    <row r="172" spans="1:20" x14ac:dyDescent="0.25">
      <c r="A172" s="16"/>
      <c r="B172" s="16"/>
      <c r="C172" s="17"/>
      <c r="D172" s="17"/>
      <c r="E172" s="17"/>
      <c r="F172" s="17"/>
      <c r="G172" s="16"/>
      <c r="H172" s="16"/>
      <c r="I172" s="16"/>
      <c r="J172" s="17"/>
      <c r="K172" s="17"/>
      <c r="L172" s="17"/>
      <c r="M172" s="17"/>
      <c r="N172" s="16"/>
      <c r="O172" s="16"/>
      <c r="P172" s="16"/>
      <c r="Q172" s="17"/>
      <c r="R172" s="17"/>
      <c r="S172" s="17"/>
      <c r="T172" s="17"/>
    </row>
    <row r="173" spans="1:20" x14ac:dyDescent="0.25">
      <c r="A173" s="16"/>
      <c r="B173" s="16"/>
      <c r="C173" s="17"/>
      <c r="D173" s="17"/>
      <c r="E173" s="17"/>
      <c r="F173" s="17"/>
      <c r="G173" s="16"/>
      <c r="H173" s="16"/>
      <c r="I173" s="16"/>
      <c r="J173" s="17"/>
      <c r="K173" s="17"/>
      <c r="L173" s="17"/>
      <c r="M173" s="17"/>
      <c r="N173" s="16"/>
      <c r="O173" s="16"/>
      <c r="P173" s="16"/>
      <c r="Q173" s="17"/>
      <c r="R173" s="17"/>
      <c r="S173" s="17"/>
      <c r="T173" s="17"/>
    </row>
    <row r="176" spans="1:20" ht="15.75" x14ac:dyDescent="0.25">
      <c r="A176" s="2" t="s">
        <v>81</v>
      </c>
      <c r="H176" s="2" t="s">
        <v>81</v>
      </c>
      <c r="O176" s="2" t="s">
        <v>81</v>
      </c>
    </row>
    <row r="177" spans="1:20" ht="15.75" x14ac:dyDescent="0.25">
      <c r="A177" s="2" t="s">
        <v>65</v>
      </c>
      <c r="H177" s="2" t="s">
        <v>65</v>
      </c>
      <c r="O177" s="2" t="s">
        <v>65</v>
      </c>
    </row>
    <row r="178" spans="1:20" ht="15.75" x14ac:dyDescent="0.25">
      <c r="A178" s="16" t="s">
        <v>59</v>
      </c>
      <c r="B178" s="21" t="s">
        <v>81</v>
      </c>
      <c r="C178" s="16" t="s">
        <v>82</v>
      </c>
      <c r="D178" s="16" t="s">
        <v>64</v>
      </c>
      <c r="E178" s="16" t="s">
        <v>63</v>
      </c>
      <c r="F178" s="16" t="s">
        <v>18</v>
      </c>
      <c r="G178" s="16"/>
      <c r="H178" s="16" t="s">
        <v>12</v>
      </c>
      <c r="I178" s="21" t="s">
        <v>81</v>
      </c>
      <c r="J178" s="16" t="s">
        <v>82</v>
      </c>
      <c r="K178" s="16" t="s">
        <v>64</v>
      </c>
      <c r="L178" s="16" t="s">
        <v>63</v>
      </c>
      <c r="M178" s="16" t="s">
        <v>18</v>
      </c>
      <c r="N178" s="16"/>
      <c r="O178" s="16" t="s">
        <v>13</v>
      </c>
      <c r="P178" s="21" t="s">
        <v>81</v>
      </c>
      <c r="Q178" s="16" t="s">
        <v>82</v>
      </c>
      <c r="R178" s="16" t="s">
        <v>64</v>
      </c>
      <c r="S178" s="16" t="s">
        <v>63</v>
      </c>
      <c r="T178" s="16" t="s">
        <v>18</v>
      </c>
    </row>
    <row r="179" spans="1:20" x14ac:dyDescent="0.25">
      <c r="A179" s="16" t="s">
        <v>0</v>
      </c>
      <c r="B179" s="16" t="s">
        <v>1</v>
      </c>
      <c r="C179" s="17">
        <v>20135931</v>
      </c>
      <c r="D179" s="17">
        <v>19421613</v>
      </c>
      <c r="E179" s="17">
        <v>19896548</v>
      </c>
      <c r="F179" s="17">
        <f>AVERAGE(Table143690117171225188194[[#This Row],[Teste 1]:[Teste 3]])</f>
        <v>19818030.666666668</v>
      </c>
      <c r="G179" s="16"/>
      <c r="H179" s="16" t="s">
        <v>0</v>
      </c>
      <c r="I179" s="16" t="s">
        <v>1</v>
      </c>
      <c r="J179" s="17">
        <v>23674697</v>
      </c>
      <c r="K179" s="17">
        <v>23682347</v>
      </c>
      <c r="L179" s="17">
        <v>23893495</v>
      </c>
      <c r="M179" s="17">
        <f>AVERAGE(Table143690117171225188194206[[#This Row],[Teste 1]:[Teste 3]])</f>
        <v>23750179.666666668</v>
      </c>
      <c r="N179" s="16"/>
      <c r="O179" s="16" t="s">
        <v>0</v>
      </c>
      <c r="P179" s="16" t="s">
        <v>1</v>
      </c>
      <c r="Q179" s="17">
        <v>10188372</v>
      </c>
      <c r="R179" s="17">
        <v>9397757</v>
      </c>
      <c r="S179" s="17">
        <v>9481546</v>
      </c>
      <c r="T179" s="17">
        <f>AVERAGE(Table143690117171225188194218[[#This Row],[Teste 1]:[Teste 3]])</f>
        <v>9689225</v>
      </c>
    </row>
    <row r="180" spans="1:20" x14ac:dyDescent="0.25">
      <c r="A180" s="16" t="s">
        <v>0</v>
      </c>
      <c r="B180" s="16" t="s">
        <v>2</v>
      </c>
      <c r="C180" s="17">
        <v>496.62466562882003</v>
      </c>
      <c r="D180" s="17">
        <v>608.95357843349495</v>
      </c>
      <c r="E180" s="17">
        <v>589.84563257834895</v>
      </c>
      <c r="F180" s="17">
        <f>AVERAGE(Table143690117171225188194[[#This Row],[Teste 1]:[Teste 3]])</f>
        <v>565.14129221355461</v>
      </c>
      <c r="G180" s="16"/>
      <c r="H180" s="16" t="s">
        <v>0</v>
      </c>
      <c r="I180" s="16" t="s">
        <v>2</v>
      </c>
      <c r="J180" s="17">
        <v>418.53</v>
      </c>
      <c r="K180" s="17">
        <v>422.26</v>
      </c>
      <c r="L180" s="17">
        <v>389.49</v>
      </c>
      <c r="M180" s="17">
        <f>AVERAGE(Table143690117171225188194206[[#This Row],[Teste 1]:[Teste 3]])</f>
        <v>410.09333333333331</v>
      </c>
      <c r="N180" s="16"/>
      <c r="O180" s="16" t="s">
        <v>0</v>
      </c>
      <c r="P180" s="16" t="s">
        <v>2</v>
      </c>
      <c r="Q180" s="17">
        <v>981.51107949336699</v>
      </c>
      <c r="R180" s="17">
        <v>1064.0836957158999</v>
      </c>
      <c r="S180" s="17">
        <v>1054.6803232299801</v>
      </c>
      <c r="T180" s="17">
        <f>AVERAGE(Table143690117171225188194218[[#This Row],[Teste 1]:[Teste 3]])</f>
        <v>1033.4250328130822</v>
      </c>
    </row>
    <row r="181" spans="1:20" x14ac:dyDescent="0.25">
      <c r="A181" s="16" t="s">
        <v>16</v>
      </c>
      <c r="B181" s="16" t="s">
        <v>4</v>
      </c>
      <c r="C181" s="17">
        <v>500145</v>
      </c>
      <c r="D181" s="17">
        <v>499941</v>
      </c>
      <c r="E181" s="17">
        <v>500000</v>
      </c>
      <c r="F181" s="17">
        <f>AVERAGE(Table143690117171225188194[[#This Row],[Teste 1]:[Teste 3]])</f>
        <v>500028.66666666669</v>
      </c>
      <c r="G181" s="16"/>
      <c r="H181" s="16" t="s">
        <v>16</v>
      </c>
      <c r="I181" s="16" t="s">
        <v>4</v>
      </c>
      <c r="J181" s="17">
        <v>501507</v>
      </c>
      <c r="K181" s="17">
        <v>499506</v>
      </c>
      <c r="L181" s="17">
        <v>498831</v>
      </c>
      <c r="M181" s="17">
        <f>AVERAGE(Table143690117171225188194206[[#This Row],[Teste 1]:[Teste 3]])</f>
        <v>499948</v>
      </c>
      <c r="N181" s="16"/>
      <c r="O181" s="16" t="s">
        <v>16</v>
      </c>
      <c r="P181" s="16" t="s">
        <v>4</v>
      </c>
      <c r="Q181" s="17">
        <v>500204</v>
      </c>
      <c r="R181" s="17">
        <v>499892</v>
      </c>
      <c r="S181" s="17">
        <v>499740</v>
      </c>
      <c r="T181" s="17">
        <f>AVERAGE(Table143690117171225188194218[[#This Row],[Teste 1]:[Teste 3]])</f>
        <v>499945.33333333331</v>
      </c>
    </row>
    <row r="182" spans="1:20" x14ac:dyDescent="0.25">
      <c r="A182" s="16" t="s">
        <v>16</v>
      </c>
      <c r="B182" s="16" t="s">
        <v>5</v>
      </c>
      <c r="C182" s="17">
        <v>34910.017440942102</v>
      </c>
      <c r="D182" s="17">
        <v>27354.309164481401</v>
      </c>
      <c r="E182" s="17">
        <v>29889.9567852814</v>
      </c>
      <c r="F182" s="17">
        <f>AVERAGE(Table143690117171225188194[[#This Row],[Teste 1]:[Teste 3]])</f>
        <v>30718.094463568297</v>
      </c>
      <c r="G182" s="16"/>
      <c r="H182" s="16" t="s">
        <v>16</v>
      </c>
      <c r="I182" s="16" t="s">
        <v>5</v>
      </c>
      <c r="J182" s="17">
        <v>2310.86</v>
      </c>
      <c r="K182" s="17">
        <v>2058.34</v>
      </c>
      <c r="L182" s="17">
        <v>2107.39</v>
      </c>
      <c r="M182" s="17">
        <f>AVERAGE(Table143690117171225188194206[[#This Row],[Teste 1]:[Teste 3]])</f>
        <v>2158.8633333333332</v>
      </c>
      <c r="N182" s="16"/>
      <c r="O182" s="16" t="s">
        <v>16</v>
      </c>
      <c r="P182" s="16" t="s">
        <v>5</v>
      </c>
      <c r="Q182" s="17">
        <v>917.00913427321598</v>
      </c>
      <c r="R182" s="17">
        <v>816.80130908276101</v>
      </c>
      <c r="S182" s="17">
        <v>836.26956817545101</v>
      </c>
      <c r="T182" s="17">
        <f>AVERAGE(Table143690117171225188194218[[#This Row],[Teste 1]:[Teste 3]])</f>
        <v>856.69333717714255</v>
      </c>
    </row>
    <row r="183" spans="1:20" x14ac:dyDescent="0.25">
      <c r="A183" s="16" t="s">
        <v>16</v>
      </c>
      <c r="B183" s="16" t="s">
        <v>6</v>
      </c>
      <c r="C183" s="17">
        <v>105</v>
      </c>
      <c r="D183" s="17">
        <v>101</v>
      </c>
      <c r="E183" s="17">
        <v>103</v>
      </c>
      <c r="F183" s="17">
        <f>AVERAGE(Table143690117171225188194[[#This Row],[Teste 1]:[Teste 3]])</f>
        <v>103</v>
      </c>
      <c r="G183" s="16"/>
      <c r="H183" s="16" t="s">
        <v>16</v>
      </c>
      <c r="I183" s="16" t="s">
        <v>6</v>
      </c>
      <c r="J183" s="17">
        <v>315</v>
      </c>
      <c r="K183" s="17">
        <v>294</v>
      </c>
      <c r="L183" s="17">
        <v>304</v>
      </c>
      <c r="M183" s="17">
        <f>AVERAGE(Table143690117171225188194206[[#This Row],[Teste 1]:[Teste 3]])</f>
        <v>304.33333333333331</v>
      </c>
      <c r="N183" s="16"/>
      <c r="O183" s="16" t="s">
        <v>16</v>
      </c>
      <c r="P183" s="16" t="s">
        <v>6</v>
      </c>
      <c r="Q183" s="17">
        <v>125</v>
      </c>
      <c r="R183" s="17">
        <v>117</v>
      </c>
      <c r="S183" s="17">
        <v>121</v>
      </c>
      <c r="T183" s="17">
        <f>AVERAGE(Table143690117171225188194218[[#This Row],[Teste 1]:[Teste 3]])</f>
        <v>121</v>
      </c>
    </row>
    <row r="184" spans="1:20" x14ac:dyDescent="0.25">
      <c r="A184" s="16" t="s">
        <v>16</v>
      </c>
      <c r="B184" s="16" t="s">
        <v>7</v>
      </c>
      <c r="C184" s="17">
        <v>7364607</v>
      </c>
      <c r="D184" s="17">
        <v>8114175</v>
      </c>
      <c r="E184" s="17">
        <v>7985648</v>
      </c>
      <c r="F184" s="17">
        <f>AVERAGE(Table143690117171225188194[[#This Row],[Teste 1]:[Teste 3]])</f>
        <v>7821476.666666667</v>
      </c>
      <c r="G184" s="16"/>
      <c r="H184" s="16" t="s">
        <v>16</v>
      </c>
      <c r="I184" s="16" t="s">
        <v>7</v>
      </c>
      <c r="J184" s="17">
        <v>3255081</v>
      </c>
      <c r="K184" s="17">
        <v>3377718</v>
      </c>
      <c r="L184" s="17">
        <v>3664279</v>
      </c>
      <c r="M184" s="17">
        <f>AVERAGE(Table143690117171225188194206[[#This Row],[Teste 1]:[Teste 3]])</f>
        <v>3432359.3333333335</v>
      </c>
      <c r="N184" s="16"/>
      <c r="O184" s="16" t="s">
        <v>16</v>
      </c>
      <c r="P184" s="16" t="s">
        <v>7</v>
      </c>
      <c r="Q184" s="17">
        <v>2482175</v>
      </c>
      <c r="R184" s="17">
        <v>2134015</v>
      </c>
      <c r="S184" s="17">
        <v>1454079</v>
      </c>
      <c r="T184" s="17">
        <f>AVERAGE(Table143690117171225188194218[[#This Row],[Teste 1]:[Teste 3]])</f>
        <v>2023423</v>
      </c>
    </row>
    <row r="185" spans="1:20" x14ac:dyDescent="0.25">
      <c r="A185" s="16" t="s">
        <v>16</v>
      </c>
      <c r="B185" s="16" t="s">
        <v>8</v>
      </c>
      <c r="C185" s="17">
        <v>70399</v>
      </c>
      <c r="D185" s="17">
        <v>71679</v>
      </c>
      <c r="E185" s="17">
        <v>70598</v>
      </c>
      <c r="F185" s="17">
        <f>AVERAGE(Table143690117171225188194[[#This Row],[Teste 1]:[Teste 3]])</f>
        <v>70892</v>
      </c>
      <c r="G185" s="16"/>
      <c r="H185" s="16" t="s">
        <v>16</v>
      </c>
      <c r="I185" s="16" t="s">
        <v>8</v>
      </c>
      <c r="J185" s="17">
        <v>5833</v>
      </c>
      <c r="K185" s="17">
        <v>5526</v>
      </c>
      <c r="L185" s="17">
        <v>5768</v>
      </c>
      <c r="M185" s="17">
        <f>AVERAGE(Table143690117171225188194206[[#This Row],[Teste 1]:[Teste 3]])</f>
        <v>5709</v>
      </c>
      <c r="N185" s="16"/>
      <c r="O185" s="16" t="s">
        <v>16</v>
      </c>
      <c r="P185" s="16" t="s">
        <v>8</v>
      </c>
      <c r="Q185" s="17">
        <v>2315</v>
      </c>
      <c r="R185" s="17">
        <v>2193</v>
      </c>
      <c r="S185" s="17">
        <v>2289</v>
      </c>
      <c r="T185" s="17">
        <f>AVERAGE(Table143690117171225188194218[[#This Row],[Teste 1]:[Teste 3]])</f>
        <v>2265.6666666666665</v>
      </c>
    </row>
    <row r="186" spans="1:20" x14ac:dyDescent="0.25">
      <c r="A186" s="16" t="s">
        <v>16</v>
      </c>
      <c r="B186" s="16" t="s">
        <v>9</v>
      </c>
      <c r="C186" s="17">
        <v>90367</v>
      </c>
      <c r="D186" s="17">
        <v>129279</v>
      </c>
      <c r="E186" s="17">
        <v>115624</v>
      </c>
      <c r="F186" s="17">
        <f>AVERAGE(Table143690117171225188194[[#This Row],[Teste 1]:[Teste 3]])</f>
        <v>111756.66666666667</v>
      </c>
      <c r="G186" s="16"/>
      <c r="H186" s="16" t="s">
        <v>16</v>
      </c>
      <c r="I186" s="16" t="s">
        <v>9</v>
      </c>
      <c r="J186" s="17">
        <v>21609</v>
      </c>
      <c r="K186" s="17">
        <v>20187</v>
      </c>
      <c r="L186" s="17">
        <v>20904</v>
      </c>
      <c r="M186" s="17">
        <f>AVERAGE(Table143690117171225188194206[[#This Row],[Teste 1]:[Teste 3]])</f>
        <v>20900</v>
      </c>
      <c r="N186" s="16"/>
      <c r="O186" s="16" t="s">
        <v>16</v>
      </c>
      <c r="P186" s="16" t="s">
        <v>9</v>
      </c>
      <c r="Q186" s="17">
        <v>8575</v>
      </c>
      <c r="R186" s="17">
        <v>8011</v>
      </c>
      <c r="S186" s="17">
        <v>8295</v>
      </c>
      <c r="T186" s="17">
        <f>AVERAGE(Table143690117171225188194218[[#This Row],[Teste 1]:[Teste 3]])</f>
        <v>8293.6666666666661</v>
      </c>
    </row>
    <row r="187" spans="1:20" x14ac:dyDescent="0.25">
      <c r="A187" s="16" t="s">
        <v>16</v>
      </c>
      <c r="B187" s="16" t="s">
        <v>11</v>
      </c>
      <c r="C187" s="17">
        <v>500145</v>
      </c>
      <c r="D187" s="17">
        <v>499941</v>
      </c>
      <c r="E187" s="17">
        <v>500000</v>
      </c>
      <c r="F187" s="17">
        <f>AVERAGE(Table143690117171225188194[[#This Row],[Teste 1]:[Teste 3]])</f>
        <v>500028.66666666669</v>
      </c>
      <c r="G187" s="16"/>
      <c r="H187" s="16" t="s">
        <v>16</v>
      </c>
      <c r="I187" s="16" t="s">
        <v>11</v>
      </c>
      <c r="J187" s="17">
        <v>501507</v>
      </c>
      <c r="K187" s="17">
        <v>499506</v>
      </c>
      <c r="L187" s="17">
        <v>498831</v>
      </c>
      <c r="M187" s="17">
        <f>AVERAGE(Table143690117171225188194206[[#This Row],[Teste 1]:[Teste 3]])</f>
        <v>499948</v>
      </c>
      <c r="N187" s="16"/>
      <c r="O187" s="16" t="s">
        <v>16</v>
      </c>
      <c r="P187" s="16" t="s">
        <v>11</v>
      </c>
      <c r="Q187" s="17">
        <v>500204</v>
      </c>
      <c r="R187" s="17">
        <v>499892</v>
      </c>
      <c r="S187" s="17">
        <v>499740</v>
      </c>
      <c r="T187" s="17">
        <f>AVERAGE(Table143690117171225188194218[[#This Row],[Teste 1]:[Teste 3]])</f>
        <v>499945.33333333331</v>
      </c>
    </row>
    <row r="188" spans="1:20" x14ac:dyDescent="0.25">
      <c r="A188" s="16" t="s">
        <v>3</v>
      </c>
      <c r="B188" s="16" t="s">
        <v>4</v>
      </c>
      <c r="C188" s="17">
        <v>1</v>
      </c>
      <c r="D188" s="17">
        <v>1</v>
      </c>
      <c r="E188" s="17">
        <v>1</v>
      </c>
      <c r="F188" s="17">
        <f>AVERAGE(Table143690117171225188194[[#This Row],[Teste 1]:[Teste 3]])</f>
        <v>1</v>
      </c>
      <c r="G188" s="16"/>
      <c r="H188" s="16" t="s">
        <v>3</v>
      </c>
      <c r="I188" s="16" t="s">
        <v>4</v>
      </c>
      <c r="J188" s="17">
        <v>1</v>
      </c>
      <c r="K188" s="17">
        <v>1</v>
      </c>
      <c r="L188" s="17">
        <v>1</v>
      </c>
      <c r="M188" s="17">
        <f>AVERAGE(Table143690117171225188194206[[#This Row],[Teste 1]:[Teste 3]])</f>
        <v>1</v>
      </c>
      <c r="N188" s="16"/>
      <c r="O188" s="16" t="s">
        <v>3</v>
      </c>
      <c r="P188" s="16" t="s">
        <v>4</v>
      </c>
      <c r="Q188" s="17">
        <v>1</v>
      </c>
      <c r="R188" s="17">
        <v>1</v>
      </c>
      <c r="S188" s="17">
        <v>1</v>
      </c>
      <c r="T188" s="17">
        <f>AVERAGE(Table143690117171225188194218[[#This Row],[Teste 1]:[Teste 3]])</f>
        <v>1</v>
      </c>
    </row>
    <row r="189" spans="1:20" x14ac:dyDescent="0.25">
      <c r="A189" s="16" t="s">
        <v>3</v>
      </c>
      <c r="B189" s="16" t="s">
        <v>5</v>
      </c>
      <c r="C189" s="17">
        <v>2</v>
      </c>
      <c r="D189" s="17">
        <v>16</v>
      </c>
      <c r="E189" s="17">
        <v>9</v>
      </c>
      <c r="F189" s="17">
        <f>AVERAGE(Table143690117171225188194[[#This Row],[Teste 1]:[Teste 3]])</f>
        <v>9</v>
      </c>
      <c r="G189" s="16"/>
      <c r="H189" s="16" t="s">
        <v>3</v>
      </c>
      <c r="I189" s="16" t="s">
        <v>5</v>
      </c>
      <c r="J189" s="17">
        <v>9</v>
      </c>
      <c r="K189" s="17">
        <v>9</v>
      </c>
      <c r="L189" s="17">
        <v>7</v>
      </c>
      <c r="M189" s="17">
        <f>AVERAGE(Table143690117171225188194206[[#This Row],[Teste 1]:[Teste 3]])</f>
        <v>8.3333333333333339</v>
      </c>
      <c r="N189" s="16"/>
      <c r="O189" s="16" t="s">
        <v>3</v>
      </c>
      <c r="P189" s="16" t="s">
        <v>5</v>
      </c>
      <c r="Q189" s="17">
        <v>4446</v>
      </c>
      <c r="R189" s="17">
        <v>3829</v>
      </c>
      <c r="S189" s="17">
        <v>36592</v>
      </c>
      <c r="T189" s="17">
        <f>AVERAGE(Table143690117171225188194218[[#This Row],[Teste 1]:[Teste 3]])</f>
        <v>14955.666666666666</v>
      </c>
    </row>
    <row r="190" spans="1:20" x14ac:dyDescent="0.25">
      <c r="A190" s="16" t="s">
        <v>3</v>
      </c>
      <c r="B190" s="16" t="s">
        <v>6</v>
      </c>
      <c r="C190" s="17">
        <v>2</v>
      </c>
      <c r="D190" s="17">
        <v>16</v>
      </c>
      <c r="E190" s="17">
        <v>9</v>
      </c>
      <c r="F190" s="17">
        <f>AVERAGE(Table143690117171225188194[[#This Row],[Teste 1]:[Teste 3]])</f>
        <v>9</v>
      </c>
      <c r="G190" s="16"/>
      <c r="H190" s="16" t="s">
        <v>3</v>
      </c>
      <c r="I190" s="16" t="s">
        <v>6</v>
      </c>
      <c r="J190" s="17">
        <v>9</v>
      </c>
      <c r="K190" s="17">
        <v>9</v>
      </c>
      <c r="L190" s="17">
        <v>7</v>
      </c>
      <c r="M190" s="17">
        <f>AVERAGE(Table143690117171225188194206[[#This Row],[Teste 1]:[Teste 3]])</f>
        <v>8.3333333333333339</v>
      </c>
      <c r="N190" s="16"/>
      <c r="O190" s="16" t="s">
        <v>3</v>
      </c>
      <c r="P190" s="16" t="s">
        <v>6</v>
      </c>
      <c r="Q190" s="17">
        <v>4446</v>
      </c>
      <c r="R190" s="17">
        <v>3829</v>
      </c>
      <c r="S190" s="17">
        <v>36576</v>
      </c>
      <c r="T190" s="17">
        <f>AVERAGE(Table143690117171225188194218[[#This Row],[Teste 1]:[Teste 3]])</f>
        <v>14950.333333333334</v>
      </c>
    </row>
    <row r="191" spans="1:20" x14ac:dyDescent="0.25">
      <c r="A191" s="16" t="s">
        <v>3</v>
      </c>
      <c r="B191" s="16" t="s">
        <v>7</v>
      </c>
      <c r="C191" s="17">
        <v>2</v>
      </c>
      <c r="D191" s="17">
        <v>16</v>
      </c>
      <c r="E191" s="17">
        <v>9</v>
      </c>
      <c r="F191" s="17">
        <f>AVERAGE(Table143690117171225188194[[#This Row],[Teste 1]:[Teste 3]])</f>
        <v>9</v>
      </c>
      <c r="G191" s="16"/>
      <c r="H191" s="16" t="s">
        <v>3</v>
      </c>
      <c r="I191" s="16" t="s">
        <v>7</v>
      </c>
      <c r="J191" s="17">
        <v>9</v>
      </c>
      <c r="K191" s="17">
        <v>9</v>
      </c>
      <c r="L191" s="17">
        <v>7</v>
      </c>
      <c r="M191" s="17">
        <f>AVERAGE(Table143690117171225188194206[[#This Row],[Teste 1]:[Teste 3]])</f>
        <v>8.3333333333333339</v>
      </c>
      <c r="N191" s="16"/>
      <c r="O191" s="16" t="s">
        <v>3</v>
      </c>
      <c r="P191" s="16" t="s">
        <v>7</v>
      </c>
      <c r="Q191" s="17">
        <v>4446</v>
      </c>
      <c r="R191" s="17">
        <v>3829</v>
      </c>
      <c r="S191" s="17">
        <v>36607</v>
      </c>
      <c r="T191" s="17">
        <f>AVERAGE(Table143690117171225188194218[[#This Row],[Teste 1]:[Teste 3]])</f>
        <v>14960.666666666666</v>
      </c>
    </row>
    <row r="192" spans="1:20" x14ac:dyDescent="0.25">
      <c r="A192" s="16" t="s">
        <v>3</v>
      </c>
      <c r="B192" s="16" t="s">
        <v>8</v>
      </c>
      <c r="C192" s="17">
        <v>2</v>
      </c>
      <c r="D192" s="17">
        <v>16</v>
      </c>
      <c r="E192" s="17">
        <v>9</v>
      </c>
      <c r="F192" s="17">
        <f>AVERAGE(Table143690117171225188194[[#This Row],[Teste 1]:[Teste 3]])</f>
        <v>9</v>
      </c>
      <c r="G192" s="16"/>
      <c r="H192" s="16" t="s">
        <v>3</v>
      </c>
      <c r="I192" s="16" t="s">
        <v>8</v>
      </c>
      <c r="J192" s="17">
        <v>9</v>
      </c>
      <c r="K192" s="17">
        <v>9</v>
      </c>
      <c r="L192" s="17">
        <v>7</v>
      </c>
      <c r="M192" s="17">
        <f>AVERAGE(Table143690117171225188194206[[#This Row],[Teste 1]:[Teste 3]])</f>
        <v>8.3333333333333339</v>
      </c>
      <c r="N192" s="16"/>
      <c r="O192" s="16" t="s">
        <v>3</v>
      </c>
      <c r="P192" s="16" t="s">
        <v>8</v>
      </c>
      <c r="Q192" s="17">
        <v>4446</v>
      </c>
      <c r="R192" s="17">
        <v>3829</v>
      </c>
      <c r="S192" s="17">
        <v>36607</v>
      </c>
      <c r="T192" s="17">
        <f>AVERAGE(Table143690117171225188194218[[#This Row],[Teste 1]:[Teste 3]])</f>
        <v>14960.666666666666</v>
      </c>
    </row>
    <row r="193" spans="1:20" x14ac:dyDescent="0.25">
      <c r="A193" s="16" t="s">
        <v>3</v>
      </c>
      <c r="B193" s="16" t="s">
        <v>9</v>
      </c>
      <c r="C193" s="17">
        <v>2</v>
      </c>
      <c r="D193" s="17">
        <v>16</v>
      </c>
      <c r="E193" s="17">
        <v>9</v>
      </c>
      <c r="F193" s="17">
        <f>AVERAGE(Table143690117171225188194[[#This Row],[Teste 1]:[Teste 3]])</f>
        <v>9</v>
      </c>
      <c r="G193" s="16"/>
      <c r="H193" s="16" t="s">
        <v>3</v>
      </c>
      <c r="I193" s="16" t="s">
        <v>9</v>
      </c>
      <c r="J193" s="17">
        <v>9</v>
      </c>
      <c r="K193" s="17">
        <v>9</v>
      </c>
      <c r="L193" s="17">
        <v>7</v>
      </c>
      <c r="M193" s="17">
        <f>AVERAGE(Table143690117171225188194206[[#This Row],[Teste 1]:[Teste 3]])</f>
        <v>8.3333333333333339</v>
      </c>
      <c r="N193" s="16"/>
      <c r="O193" s="16" t="s">
        <v>3</v>
      </c>
      <c r="P193" s="16" t="s">
        <v>9</v>
      </c>
      <c r="Q193" s="17">
        <v>4446</v>
      </c>
      <c r="R193" s="17">
        <v>3829</v>
      </c>
      <c r="S193" s="17">
        <v>36607</v>
      </c>
      <c r="T193" s="17">
        <f>AVERAGE(Table143690117171225188194218[[#This Row],[Teste 1]:[Teste 3]])</f>
        <v>14960.666666666666</v>
      </c>
    </row>
    <row r="194" spans="1:20" x14ac:dyDescent="0.25">
      <c r="A194" s="16" t="s">
        <v>17</v>
      </c>
      <c r="B194" s="16" t="s">
        <v>4</v>
      </c>
      <c r="C194" s="17">
        <v>9499855</v>
      </c>
      <c r="D194" s="17">
        <v>9500057</v>
      </c>
      <c r="E194" s="17">
        <v>9500000</v>
      </c>
      <c r="F194" s="17">
        <f>AVERAGE(Table143690117171225188194[[#This Row],[Teste 1]:[Teste 3]])</f>
        <v>9499970.666666666</v>
      </c>
      <c r="G194" s="16"/>
      <c r="H194" s="16" t="s">
        <v>17</v>
      </c>
      <c r="I194" s="16" t="s">
        <v>4</v>
      </c>
      <c r="J194" s="17">
        <v>9498493</v>
      </c>
      <c r="K194" s="17">
        <v>9500494</v>
      </c>
      <c r="L194" s="17">
        <v>9501169</v>
      </c>
      <c r="M194" s="17">
        <f>AVERAGE(Table143690117171225188194206[[#This Row],[Teste 1]:[Teste 3]])</f>
        <v>9500052</v>
      </c>
      <c r="N194" s="16"/>
      <c r="O194" s="16" t="s">
        <v>17</v>
      </c>
      <c r="P194" s="16" t="s">
        <v>4</v>
      </c>
      <c r="Q194" s="17">
        <v>9499796</v>
      </c>
      <c r="R194" s="17">
        <v>9500108</v>
      </c>
      <c r="S194" s="17">
        <v>9500260</v>
      </c>
      <c r="T194" s="17">
        <f>AVERAGE(Table143690117171225188194218[[#This Row],[Teste 1]:[Teste 3]])</f>
        <v>9500054.666666666</v>
      </c>
    </row>
    <row r="195" spans="1:20" x14ac:dyDescent="0.25">
      <c r="A195" s="16" t="s">
        <v>17</v>
      </c>
      <c r="B195" s="16" t="s">
        <v>5</v>
      </c>
      <c r="C195" s="17">
        <v>276.46368202462003</v>
      </c>
      <c r="D195" s="17">
        <v>281.49015000646801</v>
      </c>
      <c r="E195" s="17">
        <v>279.95687420246202</v>
      </c>
      <c r="F195" s="17">
        <f>AVERAGE(Table143690117171225188194[[#This Row],[Teste 1]:[Teste 3]])</f>
        <v>279.30356874451667</v>
      </c>
      <c r="G195" s="16"/>
      <c r="H195" s="16" t="s">
        <v>17</v>
      </c>
      <c r="I195" s="16" t="s">
        <v>5</v>
      </c>
      <c r="J195" s="17">
        <v>2570.34</v>
      </c>
      <c r="K195" s="17">
        <v>2372.94</v>
      </c>
      <c r="L195" s="17">
        <v>2391.6799999999998</v>
      </c>
      <c r="M195" s="17">
        <f>AVERAGE(Table143690117171225188194206[[#This Row],[Teste 1]:[Teste 3]])</f>
        <v>2444.9866666666671</v>
      </c>
      <c r="N195" s="16"/>
      <c r="O195" s="16" t="s">
        <v>17</v>
      </c>
      <c r="P195" s="16" t="s">
        <v>5</v>
      </c>
      <c r="Q195" s="17">
        <v>1019.9755146321</v>
      </c>
      <c r="R195" s="17">
        <v>941.64349236871794</v>
      </c>
      <c r="S195" s="17">
        <v>949.08047506068203</v>
      </c>
      <c r="T195" s="17">
        <f>AVERAGE(Table143690117171225188194218[[#This Row],[Teste 1]:[Teste 3]])</f>
        <v>970.23316068716667</v>
      </c>
    </row>
    <row r="196" spans="1:20" x14ac:dyDescent="0.25">
      <c r="A196" s="16" t="s">
        <v>17</v>
      </c>
      <c r="B196" s="16" t="s">
        <v>6</v>
      </c>
      <c r="C196" s="17">
        <v>96</v>
      </c>
      <c r="D196" s="17">
        <v>85</v>
      </c>
      <c r="E196" s="17">
        <v>92</v>
      </c>
      <c r="F196" s="17">
        <f>AVERAGE(Table143690117171225188194[[#This Row],[Teste 1]:[Teste 3]])</f>
        <v>91</v>
      </c>
      <c r="G196" s="16"/>
      <c r="H196" s="16" t="s">
        <v>17</v>
      </c>
      <c r="I196" s="16" t="s">
        <v>6</v>
      </c>
      <c r="J196" s="17">
        <v>400</v>
      </c>
      <c r="K196" s="17">
        <v>423</v>
      </c>
      <c r="L196" s="17">
        <v>420</v>
      </c>
      <c r="M196" s="17">
        <f>AVERAGE(Table143690117171225188194206[[#This Row],[Teste 1]:[Teste 3]])</f>
        <v>414.33333333333331</v>
      </c>
      <c r="N196" s="16"/>
      <c r="O196" s="16" t="s">
        <v>17</v>
      </c>
      <c r="P196" s="16" t="s">
        <v>6</v>
      </c>
      <c r="Q196" s="17">
        <v>159</v>
      </c>
      <c r="R196" s="17">
        <v>168</v>
      </c>
      <c r="S196" s="17">
        <v>167</v>
      </c>
      <c r="T196" s="17">
        <f>AVERAGE(Table143690117171225188194218[[#This Row],[Teste 1]:[Teste 3]])</f>
        <v>164.66666666666666</v>
      </c>
    </row>
    <row r="197" spans="1:20" x14ac:dyDescent="0.25">
      <c r="A197" s="16" t="s">
        <v>17</v>
      </c>
      <c r="B197" s="16" t="s">
        <v>7</v>
      </c>
      <c r="C197" s="17">
        <v>3735551</v>
      </c>
      <c r="D197" s="17">
        <v>3762175</v>
      </c>
      <c r="E197" s="17">
        <v>3745621</v>
      </c>
      <c r="F197" s="17">
        <f>AVERAGE(Table143690117171225188194[[#This Row],[Teste 1]:[Teste 3]])</f>
        <v>3747782.3333333335</v>
      </c>
      <c r="G197" s="16"/>
      <c r="H197" s="16" t="s">
        <v>17</v>
      </c>
      <c r="I197" s="16" t="s">
        <v>7</v>
      </c>
      <c r="J197" s="17">
        <v>7333721</v>
      </c>
      <c r="K197" s="17">
        <v>7785177</v>
      </c>
      <c r="L197" s="17">
        <v>7971228</v>
      </c>
      <c r="M197" s="17">
        <f>AVERAGE(Table143690117171225188194206[[#This Row],[Teste 1]:[Teste 3]])</f>
        <v>7696708.666666667</v>
      </c>
      <c r="N197" s="16"/>
      <c r="O197" s="16" t="s">
        <v>17</v>
      </c>
      <c r="P197" s="16" t="s">
        <v>7</v>
      </c>
      <c r="Q197" s="17">
        <v>2910207</v>
      </c>
      <c r="R197" s="17">
        <v>3883007</v>
      </c>
      <c r="S197" s="17">
        <v>2369535</v>
      </c>
      <c r="T197" s="17">
        <f>AVERAGE(Table143690117171225188194218[[#This Row],[Teste 1]:[Teste 3]])</f>
        <v>3054249.6666666665</v>
      </c>
    </row>
    <row r="198" spans="1:20" x14ac:dyDescent="0.25">
      <c r="A198" s="16" t="s">
        <v>17</v>
      </c>
      <c r="B198" s="16" t="s">
        <v>8</v>
      </c>
      <c r="C198" s="17">
        <v>401</v>
      </c>
      <c r="D198" s="17">
        <v>486</v>
      </c>
      <c r="E198" s="17">
        <v>468</v>
      </c>
      <c r="F198" s="17">
        <f>AVERAGE(Table143690117171225188194[[#This Row],[Teste 1]:[Teste 3]])</f>
        <v>451.66666666666669</v>
      </c>
      <c r="G198" s="16"/>
      <c r="H198" s="16" t="s">
        <v>17</v>
      </c>
      <c r="I198" s="16" t="s">
        <v>8</v>
      </c>
      <c r="J198" s="17">
        <v>6277</v>
      </c>
      <c r="K198" s="17">
        <v>5995</v>
      </c>
      <c r="L198" s="17">
        <v>6231</v>
      </c>
      <c r="M198" s="17">
        <f>AVERAGE(Table143690117171225188194206[[#This Row],[Teste 1]:[Teste 3]])</f>
        <v>6167.666666666667</v>
      </c>
      <c r="N198" s="16"/>
      <c r="O198" s="16" t="s">
        <v>17</v>
      </c>
      <c r="P198" s="16" t="s">
        <v>8</v>
      </c>
      <c r="Q198" s="17">
        <v>2491</v>
      </c>
      <c r="R198" s="17">
        <v>2379</v>
      </c>
      <c r="S198" s="17">
        <v>2473</v>
      </c>
      <c r="T198" s="17">
        <f>AVERAGE(Table143690117171225188194218[[#This Row],[Teste 1]:[Teste 3]])</f>
        <v>2447.6666666666665</v>
      </c>
    </row>
    <row r="199" spans="1:20" x14ac:dyDescent="0.25">
      <c r="A199" s="16" t="s">
        <v>17</v>
      </c>
      <c r="B199" s="16" t="s">
        <v>9</v>
      </c>
      <c r="C199" s="17">
        <v>748</v>
      </c>
      <c r="D199" s="17">
        <v>803</v>
      </c>
      <c r="E199" s="17">
        <v>789</v>
      </c>
      <c r="F199" s="17">
        <f>AVERAGE(Table143690117171225188194[[#This Row],[Teste 1]:[Teste 3]])</f>
        <v>780</v>
      </c>
      <c r="G199" s="16"/>
      <c r="H199" s="16" t="s">
        <v>17</v>
      </c>
      <c r="I199" s="16" t="s">
        <v>9</v>
      </c>
      <c r="J199" s="17">
        <v>22174</v>
      </c>
      <c r="K199" s="17">
        <v>20943</v>
      </c>
      <c r="L199" s="17">
        <v>21569</v>
      </c>
      <c r="M199" s="17">
        <f>AVERAGE(Table143690117171225188194206[[#This Row],[Teste 1]:[Teste 3]])</f>
        <v>21562</v>
      </c>
      <c r="N199" s="16"/>
      <c r="O199" s="16" t="s">
        <v>17</v>
      </c>
      <c r="P199" s="16" t="s">
        <v>9</v>
      </c>
      <c r="Q199" s="17">
        <v>8799</v>
      </c>
      <c r="R199" s="17">
        <v>8311</v>
      </c>
      <c r="S199" s="17">
        <v>8559</v>
      </c>
      <c r="T199" s="17">
        <f>AVERAGE(Table143690117171225188194218[[#This Row],[Teste 1]:[Teste 3]])</f>
        <v>8556.3333333333339</v>
      </c>
    </row>
    <row r="200" spans="1:20" x14ac:dyDescent="0.25">
      <c r="A200" s="16" t="s">
        <v>17</v>
      </c>
      <c r="B200" s="16" t="s">
        <v>11</v>
      </c>
      <c r="C200" s="17">
        <v>9499855</v>
      </c>
      <c r="D200" s="17">
        <v>9500057</v>
      </c>
      <c r="E200" s="17">
        <v>9500000</v>
      </c>
      <c r="F200" s="17">
        <f>AVERAGE(Table143690117171225188194[[#This Row],[Teste 1]:[Teste 3]])</f>
        <v>9499970.666666666</v>
      </c>
      <c r="G200" s="16"/>
      <c r="H200" s="16" t="s">
        <v>17</v>
      </c>
      <c r="I200" s="16" t="s">
        <v>11</v>
      </c>
      <c r="J200" s="17">
        <v>9498493</v>
      </c>
      <c r="K200" s="17">
        <v>9500494</v>
      </c>
      <c r="L200" s="17">
        <v>9501169</v>
      </c>
      <c r="M200" s="17">
        <f>AVERAGE(Table143690117171225188194206[[#This Row],[Teste 1]:[Teste 3]])</f>
        <v>9500052</v>
      </c>
      <c r="N200" s="16"/>
      <c r="O200" s="16" t="s">
        <v>17</v>
      </c>
      <c r="P200" s="16" t="s">
        <v>11</v>
      </c>
      <c r="Q200" s="17">
        <v>9499796</v>
      </c>
      <c r="R200" s="17">
        <v>9500108</v>
      </c>
      <c r="S200" s="17">
        <v>9500260</v>
      </c>
      <c r="T200" s="17">
        <f>AVERAGE(Table143690117171225188194218[[#This Row],[Teste 1]:[Teste 3]])</f>
        <v>9500054.666666666</v>
      </c>
    </row>
    <row r="201" spans="1:20" x14ac:dyDescent="0.25">
      <c r="A201" s="16"/>
      <c r="B201" s="16"/>
      <c r="C201" s="17"/>
      <c r="D201" s="17"/>
      <c r="E201" s="17"/>
      <c r="F201" s="17"/>
      <c r="G201" s="16"/>
      <c r="H201" s="16"/>
      <c r="I201" s="16"/>
      <c r="J201" s="17"/>
      <c r="K201" s="17"/>
      <c r="L201" s="17"/>
      <c r="M201" s="17"/>
      <c r="N201" s="16"/>
      <c r="O201" s="16"/>
      <c r="P201" s="16"/>
      <c r="Q201" s="17"/>
      <c r="R201" s="17"/>
      <c r="S201" s="17"/>
      <c r="T201" s="17"/>
    </row>
    <row r="202" spans="1:20" x14ac:dyDescent="0.25">
      <c r="A202" s="16"/>
      <c r="B202" s="16"/>
      <c r="C202" s="17"/>
      <c r="D202" s="17"/>
      <c r="E202" s="17"/>
      <c r="F202" s="17"/>
      <c r="G202" s="16"/>
      <c r="H202" s="16"/>
      <c r="I202" s="16"/>
      <c r="J202" s="17"/>
      <c r="K202" s="17"/>
      <c r="L202" s="17"/>
      <c r="M202" s="17"/>
      <c r="N202" s="16"/>
      <c r="O202" s="16"/>
      <c r="P202" s="16"/>
      <c r="Q202" s="17"/>
      <c r="R202" s="17"/>
      <c r="S202" s="17"/>
      <c r="T202" s="17"/>
    </row>
    <row r="203" spans="1:20" x14ac:dyDescent="0.25">
      <c r="A203" s="16"/>
      <c r="B203" s="16"/>
      <c r="C203" s="17"/>
      <c r="D203" s="17"/>
      <c r="E203" s="17"/>
      <c r="F203" s="17"/>
      <c r="G203" s="16"/>
      <c r="H203" s="16"/>
      <c r="I203" s="16"/>
      <c r="J203" s="17"/>
      <c r="K203" s="17"/>
      <c r="L203" s="17"/>
      <c r="M203" s="17"/>
      <c r="N203" s="16"/>
      <c r="O203" s="16"/>
      <c r="P203" s="16"/>
      <c r="Q203" s="17"/>
      <c r="R203" s="17"/>
      <c r="S203" s="17"/>
      <c r="T203" s="17"/>
    </row>
    <row r="205" spans="1:20" ht="15.75" x14ac:dyDescent="0.25">
      <c r="A205" s="2" t="s">
        <v>74</v>
      </c>
      <c r="H205" s="2" t="s">
        <v>74</v>
      </c>
      <c r="O205" s="2" t="s">
        <v>74</v>
      </c>
    </row>
    <row r="206" spans="1:20" ht="15.75" x14ac:dyDescent="0.25">
      <c r="A206" s="16" t="s">
        <v>59</v>
      </c>
      <c r="B206" s="21" t="s">
        <v>81</v>
      </c>
      <c r="C206" s="16" t="s">
        <v>82</v>
      </c>
      <c r="D206" s="16" t="s">
        <v>64</v>
      </c>
      <c r="E206" s="16" t="s">
        <v>63</v>
      </c>
      <c r="F206" s="16" t="s">
        <v>18</v>
      </c>
      <c r="G206" s="16"/>
      <c r="H206" s="16" t="s">
        <v>12</v>
      </c>
      <c r="I206" s="21" t="s">
        <v>81</v>
      </c>
      <c r="J206" s="16" t="s">
        <v>82</v>
      </c>
      <c r="K206" s="16" t="s">
        <v>64</v>
      </c>
      <c r="L206" s="16" t="s">
        <v>63</v>
      </c>
      <c r="M206" s="16" t="s">
        <v>18</v>
      </c>
      <c r="N206" s="16"/>
      <c r="O206" s="16" t="s">
        <v>13</v>
      </c>
      <c r="P206" s="21" t="s">
        <v>81</v>
      </c>
      <c r="Q206" s="16" t="s">
        <v>82</v>
      </c>
      <c r="R206" s="16" t="s">
        <v>64</v>
      </c>
      <c r="S206" s="16" t="s">
        <v>63</v>
      </c>
      <c r="T206" s="16" t="s">
        <v>18</v>
      </c>
    </row>
    <row r="207" spans="1:20" x14ac:dyDescent="0.25">
      <c r="A207" s="16" t="s">
        <v>0</v>
      </c>
      <c r="B207" s="16" t="s">
        <v>1</v>
      </c>
      <c r="C207" s="17">
        <v>7216267</v>
      </c>
      <c r="D207" s="17">
        <v>6959745</v>
      </c>
      <c r="E207" s="17">
        <v>6541571</v>
      </c>
      <c r="F207" s="17">
        <f>AVERAGE(Table143690117171225188189195[[#This Row],[Teste 1]:[Teste 3]])</f>
        <v>6905861</v>
      </c>
      <c r="G207" s="16"/>
      <c r="H207" s="16" t="s">
        <v>0</v>
      </c>
      <c r="I207" s="16" t="s">
        <v>1</v>
      </c>
      <c r="J207" s="17">
        <v>12189207</v>
      </c>
      <c r="K207" s="17">
        <v>12200137</v>
      </c>
      <c r="L207" s="17">
        <v>11740858</v>
      </c>
      <c r="M207" s="17">
        <f>AVERAGE(Table143690117171225188189195207[[#This Row],[Teste 1]:[Teste 3]])</f>
        <v>12043400.666666666</v>
      </c>
      <c r="N207" s="16"/>
      <c r="O207" s="16" t="s">
        <v>0</v>
      </c>
      <c r="P207" s="16" t="s">
        <v>1</v>
      </c>
      <c r="Q207" s="17">
        <v>6847869</v>
      </c>
      <c r="R207" s="17">
        <v>6854010</v>
      </c>
      <c r="S207" s="17">
        <v>6595988</v>
      </c>
      <c r="T207" s="17">
        <f>AVERAGE(Table143690117171225188189195219[[#This Row],[Teste 1]:[Teste 3]])</f>
        <v>6765955.666666667</v>
      </c>
    </row>
    <row r="208" spans="1:20" x14ac:dyDescent="0.25">
      <c r="A208" s="16" t="s">
        <v>0</v>
      </c>
      <c r="B208" s="16" t="s">
        <v>2</v>
      </c>
      <c r="C208" s="17">
        <v>756.64330933992096</v>
      </c>
      <c r="D208" s="17">
        <v>1116.10319266898</v>
      </c>
      <c r="E208" s="17">
        <v>1528.6847761799099</v>
      </c>
      <c r="F208" s="17">
        <f>AVERAGE(Table143690117171225188189195[[#This Row],[Teste 1]:[Teste 3]])</f>
        <v>1133.810426062937</v>
      </c>
      <c r="G208" s="16"/>
      <c r="H208" s="16" t="s">
        <v>0</v>
      </c>
      <c r="I208" s="16" t="s">
        <v>2</v>
      </c>
      <c r="J208" s="17">
        <v>820.39</v>
      </c>
      <c r="K208" s="17">
        <v>819.66</v>
      </c>
      <c r="L208" s="17">
        <v>851.73</v>
      </c>
      <c r="M208" s="17">
        <f>AVERAGE(Table143690117171225188189195207[[#This Row],[Teste 1]:[Teste 3]])</f>
        <v>830.59333333333325</v>
      </c>
      <c r="N208" s="16"/>
      <c r="O208" s="16" t="s">
        <v>0</v>
      </c>
      <c r="P208" s="16" t="s">
        <v>2</v>
      </c>
      <c r="Q208" s="17">
        <v>1460.3083090520499</v>
      </c>
      <c r="R208" s="17">
        <v>1458.9999139189999</v>
      </c>
      <c r="S208" s="17">
        <v>1516.0731038322001</v>
      </c>
      <c r="T208" s="17">
        <f>AVERAGE(Table143690117171225188189195219[[#This Row],[Teste 1]:[Teste 3]])</f>
        <v>1478.4604422677501</v>
      </c>
    </row>
    <row r="209" spans="1:20" x14ac:dyDescent="0.25">
      <c r="A209" s="16" t="s">
        <v>16</v>
      </c>
      <c r="B209" s="16" t="s">
        <v>4</v>
      </c>
      <c r="C209" s="17">
        <v>500579</v>
      </c>
      <c r="D209" s="17">
        <v>500337</v>
      </c>
      <c r="E209" s="17">
        <v>499647</v>
      </c>
      <c r="F209" s="17">
        <f>AVERAGE(Table143690117171225188189195[[#This Row],[Teste 1]:[Teste 3]])</f>
        <v>500187.66666666669</v>
      </c>
      <c r="G209" s="16"/>
      <c r="H209" s="16" t="s">
        <v>16</v>
      </c>
      <c r="I209" s="16" t="s">
        <v>4</v>
      </c>
      <c r="J209" s="17">
        <v>500204</v>
      </c>
      <c r="K209" s="17">
        <v>500145</v>
      </c>
      <c r="L209" s="17">
        <v>499740</v>
      </c>
      <c r="M209" s="17">
        <f>AVERAGE(Table143690117171225188189195207[[#This Row],[Teste 1]:[Teste 3]])</f>
        <v>500029.66666666669</v>
      </c>
      <c r="N209" s="16"/>
      <c r="O209" s="16" t="s">
        <v>16</v>
      </c>
      <c r="P209" s="16" t="s">
        <v>4</v>
      </c>
      <c r="Q209" s="17">
        <v>499781</v>
      </c>
      <c r="R209" s="17">
        <v>500753</v>
      </c>
      <c r="S209" s="17">
        <v>500156</v>
      </c>
      <c r="T209" s="17">
        <f>AVERAGE(Table143690117171225188189195219[[#This Row],[Teste 1]:[Teste 3]])</f>
        <v>500230</v>
      </c>
    </row>
    <row r="210" spans="1:20" x14ac:dyDescent="0.25">
      <c r="A210" s="16" t="s">
        <v>16</v>
      </c>
      <c r="B210" s="16" t="s">
        <v>5</v>
      </c>
      <c r="C210" s="17">
        <v>73553.328006168798</v>
      </c>
      <c r="D210" s="17">
        <v>47360.006309747201</v>
      </c>
      <c r="E210" s="17">
        <v>31158.5738811601</v>
      </c>
      <c r="F210" s="17">
        <f>AVERAGE(Table143690117171225188189195[[#This Row],[Teste 1]:[Teste 3]])</f>
        <v>50690.63606569203</v>
      </c>
      <c r="G210" s="16"/>
      <c r="H210" s="16" t="s">
        <v>16</v>
      </c>
      <c r="I210" s="16" t="s">
        <v>5</v>
      </c>
      <c r="J210" s="17">
        <v>3371.62</v>
      </c>
      <c r="K210" s="17">
        <v>3427.96</v>
      </c>
      <c r="L210" s="17">
        <v>3291.5</v>
      </c>
      <c r="M210" s="17">
        <f>AVERAGE(Table143690117171225188189195207[[#This Row],[Teste 1]:[Teste 3]])</f>
        <v>3363.6933333333332</v>
      </c>
      <c r="N210" s="16"/>
      <c r="O210" s="16" t="s">
        <v>16</v>
      </c>
      <c r="P210" s="16" t="s">
        <v>5</v>
      </c>
      <c r="Q210" s="17">
        <v>1894.1699984593199</v>
      </c>
      <c r="R210" s="17">
        <v>1925.8207779084601</v>
      </c>
      <c r="S210" s="17">
        <v>1849.1573928934099</v>
      </c>
      <c r="T210" s="17">
        <f>AVERAGE(Table143690117171225188189195219[[#This Row],[Teste 1]:[Teste 3]])</f>
        <v>1889.7160564203969</v>
      </c>
    </row>
    <row r="211" spans="1:20" x14ac:dyDescent="0.25">
      <c r="A211" s="16" t="s">
        <v>16</v>
      </c>
      <c r="B211" s="16" t="s">
        <v>6</v>
      </c>
      <c r="C211" s="17">
        <v>95</v>
      </c>
      <c r="D211" s="17">
        <v>104</v>
      </c>
      <c r="E211" s="17">
        <v>94</v>
      </c>
      <c r="F211" s="17">
        <f>AVERAGE(Table143690117171225188189195[[#This Row],[Teste 1]:[Teste 3]])</f>
        <v>97.666666666666671</v>
      </c>
      <c r="G211" s="16"/>
      <c r="H211" s="16" t="s">
        <v>16</v>
      </c>
      <c r="I211" s="16" t="s">
        <v>6</v>
      </c>
      <c r="J211" s="17">
        <v>231</v>
      </c>
      <c r="K211" s="17">
        <v>212</v>
      </c>
      <c r="L211" s="17">
        <v>217</v>
      </c>
      <c r="M211" s="17">
        <f>AVERAGE(Table143690117171225188189195207[[#This Row],[Teste 1]:[Teste 3]])</f>
        <v>220</v>
      </c>
      <c r="N211" s="16"/>
      <c r="O211" s="16" t="s">
        <v>16</v>
      </c>
      <c r="P211" s="16" t="s">
        <v>6</v>
      </c>
      <c r="Q211" s="17">
        <v>130</v>
      </c>
      <c r="R211" s="17">
        <v>119</v>
      </c>
      <c r="S211" s="17">
        <v>122</v>
      </c>
      <c r="T211" s="17">
        <f>AVERAGE(Table143690117171225188189195219[[#This Row],[Teste 1]:[Teste 3]])</f>
        <v>123.66666666666667</v>
      </c>
    </row>
    <row r="212" spans="1:20" x14ac:dyDescent="0.25">
      <c r="A212" s="16" t="s">
        <v>16</v>
      </c>
      <c r="B212" s="16" t="s">
        <v>7</v>
      </c>
      <c r="C212" s="17">
        <v>8724479</v>
      </c>
      <c r="D212" s="17">
        <v>9363455</v>
      </c>
      <c r="E212" s="17">
        <v>8577023</v>
      </c>
      <c r="F212" s="17">
        <f>AVERAGE(Table143690117171225188189195[[#This Row],[Teste 1]:[Teste 3]])</f>
        <v>8888319</v>
      </c>
      <c r="G212" s="16"/>
      <c r="H212" s="16" t="s">
        <v>16</v>
      </c>
      <c r="I212" s="16" t="s">
        <v>7</v>
      </c>
      <c r="J212" s="17">
        <v>5198395</v>
      </c>
      <c r="K212" s="17">
        <v>5701466</v>
      </c>
      <c r="L212" s="17">
        <v>3621742</v>
      </c>
      <c r="M212" s="17">
        <f>AVERAGE(Table143690117171225188189195207[[#This Row],[Teste 1]:[Teste 3]])</f>
        <v>4840534.333333333</v>
      </c>
      <c r="N212" s="16"/>
      <c r="O212" s="16" t="s">
        <v>16</v>
      </c>
      <c r="P212" s="16" t="s">
        <v>7</v>
      </c>
      <c r="Q212" s="17">
        <v>2920447</v>
      </c>
      <c r="R212" s="17">
        <v>3203071</v>
      </c>
      <c r="S212" s="17">
        <v>2034687</v>
      </c>
      <c r="T212" s="17">
        <f>AVERAGE(Table143690117171225188189195219[[#This Row],[Teste 1]:[Teste 3]])</f>
        <v>2719401.6666666665</v>
      </c>
    </row>
    <row r="213" spans="1:20" x14ac:dyDescent="0.25">
      <c r="A213" s="16" t="s">
        <v>16</v>
      </c>
      <c r="B213" s="16" t="s">
        <v>8</v>
      </c>
      <c r="C213" s="17">
        <v>113279</v>
      </c>
      <c r="D213" s="17">
        <v>96575</v>
      </c>
      <c r="E213" s="17">
        <v>82879</v>
      </c>
      <c r="F213" s="17">
        <f>AVERAGE(Table143690117171225188189195[[#This Row],[Teste 1]:[Teste 3]])</f>
        <v>97577.666666666672</v>
      </c>
      <c r="G213" s="16"/>
      <c r="H213" s="16" t="s">
        <v>16</v>
      </c>
      <c r="I213" s="16" t="s">
        <v>8</v>
      </c>
      <c r="J213" s="17">
        <v>13348</v>
      </c>
      <c r="K213" s="17">
        <v>13953</v>
      </c>
      <c r="L213" s="17">
        <v>12999</v>
      </c>
      <c r="M213" s="17">
        <f>AVERAGE(Table143690117171225188189195207[[#This Row],[Teste 1]:[Teste 3]])</f>
        <v>13433.333333333334</v>
      </c>
      <c r="N213" s="16"/>
      <c r="O213" s="16" t="s">
        <v>16</v>
      </c>
      <c r="P213" s="16" t="s">
        <v>8</v>
      </c>
      <c r="Q213" s="17">
        <v>7499</v>
      </c>
      <c r="R213" s="17">
        <v>7839</v>
      </c>
      <c r="S213" s="17">
        <v>7303</v>
      </c>
      <c r="T213" s="17">
        <f>AVERAGE(Table143690117171225188189195219[[#This Row],[Teste 1]:[Teste 3]])</f>
        <v>7547</v>
      </c>
    </row>
    <row r="214" spans="1:20" x14ac:dyDescent="0.25">
      <c r="A214" s="16" t="s">
        <v>16</v>
      </c>
      <c r="B214" s="16" t="s">
        <v>9</v>
      </c>
      <c r="C214" s="17">
        <v>3559423</v>
      </c>
      <c r="D214" s="17">
        <v>266751</v>
      </c>
      <c r="E214" s="17">
        <v>146047</v>
      </c>
      <c r="F214" s="17">
        <f>AVERAGE(Table143690117171225188189195[[#This Row],[Teste 1]:[Teste 3]])</f>
        <v>1324073.6666666667</v>
      </c>
      <c r="G214" s="16"/>
      <c r="H214" s="16" t="s">
        <v>16</v>
      </c>
      <c r="I214" s="16" t="s">
        <v>9</v>
      </c>
      <c r="J214" s="17">
        <v>38645</v>
      </c>
      <c r="K214" s="17">
        <v>39186</v>
      </c>
      <c r="L214" s="17">
        <v>37335</v>
      </c>
      <c r="M214" s="17">
        <f>AVERAGE(Table143690117171225188189195207[[#This Row],[Teste 1]:[Teste 3]])</f>
        <v>38388.666666666664</v>
      </c>
      <c r="N214" s="16"/>
      <c r="O214" s="16" t="s">
        <v>16</v>
      </c>
      <c r="P214" s="16" t="s">
        <v>9</v>
      </c>
      <c r="Q214" s="17">
        <v>21711</v>
      </c>
      <c r="R214" s="17">
        <v>22015</v>
      </c>
      <c r="S214" s="17">
        <v>20975</v>
      </c>
      <c r="T214" s="17">
        <f>AVERAGE(Table143690117171225188189195219[[#This Row],[Teste 1]:[Teste 3]])</f>
        <v>21567</v>
      </c>
    </row>
    <row r="215" spans="1:20" x14ac:dyDescent="0.25">
      <c r="A215" s="16" t="s">
        <v>16</v>
      </c>
      <c r="B215" s="16" t="s">
        <v>11</v>
      </c>
      <c r="C215" s="17">
        <v>500579</v>
      </c>
      <c r="D215" s="17">
        <v>500337</v>
      </c>
      <c r="E215" s="17">
        <v>499647</v>
      </c>
      <c r="F215" s="17">
        <f>AVERAGE(Table143690117171225188189195[[#This Row],[Teste 1]:[Teste 3]])</f>
        <v>500187.66666666669</v>
      </c>
      <c r="G215" s="16"/>
      <c r="H215" s="16" t="s">
        <v>16</v>
      </c>
      <c r="I215" s="16" t="s">
        <v>11</v>
      </c>
      <c r="J215" s="17">
        <v>500204</v>
      </c>
      <c r="K215" s="17">
        <v>500145</v>
      </c>
      <c r="L215" s="17">
        <v>499740</v>
      </c>
      <c r="M215" s="17">
        <f>AVERAGE(Table143690117171225188189195207[[#This Row],[Teste 1]:[Teste 3]])</f>
        <v>500029.66666666669</v>
      </c>
      <c r="N215" s="16"/>
      <c r="O215" s="16" t="s">
        <v>16</v>
      </c>
      <c r="P215" s="16" t="s">
        <v>11</v>
      </c>
      <c r="Q215" s="17">
        <v>499781</v>
      </c>
      <c r="R215" s="17">
        <v>500753</v>
      </c>
      <c r="S215" s="17">
        <v>500156</v>
      </c>
      <c r="T215" s="17">
        <f>AVERAGE(Table143690117171225188189195219[[#This Row],[Teste 1]:[Teste 3]])</f>
        <v>500230</v>
      </c>
    </row>
    <row r="216" spans="1:20" x14ac:dyDescent="0.25">
      <c r="A216" s="16" t="s">
        <v>3</v>
      </c>
      <c r="B216" s="16" t="s">
        <v>4</v>
      </c>
      <c r="C216" s="17">
        <v>3</v>
      </c>
      <c r="D216" s="17">
        <v>3</v>
      </c>
      <c r="E216" s="17">
        <v>3</v>
      </c>
      <c r="F216" s="17">
        <f>AVERAGE(Table143690117171225188189195[[#This Row],[Teste 1]:[Teste 3]])</f>
        <v>3</v>
      </c>
      <c r="G216" s="16"/>
      <c r="H216" s="16" t="s">
        <v>3</v>
      </c>
      <c r="I216" s="16" t="s">
        <v>4</v>
      </c>
      <c r="J216" s="17">
        <v>3</v>
      </c>
      <c r="K216" s="17">
        <v>3</v>
      </c>
      <c r="L216" s="17">
        <v>3</v>
      </c>
      <c r="M216" s="17">
        <f>AVERAGE(Table143690117171225188189195207[[#This Row],[Teste 1]:[Teste 3]])</f>
        <v>3</v>
      </c>
      <c r="N216" s="16"/>
      <c r="O216" s="16" t="s">
        <v>3</v>
      </c>
      <c r="P216" s="16" t="s">
        <v>4</v>
      </c>
      <c r="Q216" s="17">
        <v>3</v>
      </c>
      <c r="R216" s="17">
        <v>3</v>
      </c>
      <c r="S216" s="17">
        <v>3</v>
      </c>
      <c r="T216" s="17">
        <f>AVERAGE(Table143690117171225188189195219[[#This Row],[Teste 1]:[Teste 3]])</f>
        <v>3</v>
      </c>
    </row>
    <row r="217" spans="1:20" x14ac:dyDescent="0.25">
      <c r="A217" s="16" t="s">
        <v>3</v>
      </c>
      <c r="B217" s="16" t="s">
        <v>5</v>
      </c>
      <c r="C217" s="17">
        <v>1.6666666666666601</v>
      </c>
      <c r="D217" s="17">
        <v>1.3333333333333299</v>
      </c>
      <c r="E217" s="17">
        <v>1.3333333333333299</v>
      </c>
      <c r="F217" s="17">
        <f>AVERAGE(Table143690117171225188189195[[#This Row],[Teste 1]:[Teste 3]])</f>
        <v>1.44444444444444</v>
      </c>
      <c r="G217" s="16"/>
      <c r="H217" s="16" t="s">
        <v>3</v>
      </c>
      <c r="I217" s="16" t="s">
        <v>5</v>
      </c>
      <c r="J217" s="17">
        <v>3.6666666666666599</v>
      </c>
      <c r="K217" s="17">
        <v>4.6666666666666599</v>
      </c>
      <c r="L217" s="17">
        <v>2</v>
      </c>
      <c r="M217" s="17">
        <f>AVERAGE(Table143690117171225188189195207[[#This Row],[Teste 1]:[Teste 3]])</f>
        <v>3.4444444444444398</v>
      </c>
      <c r="N217" s="16"/>
      <c r="O217" s="16" t="s">
        <v>3</v>
      </c>
      <c r="P217" s="16" t="s">
        <v>5</v>
      </c>
      <c r="Q217" s="17">
        <v>1400.6666666666599</v>
      </c>
      <c r="R217" s="17">
        <v>4254.3333333333303</v>
      </c>
      <c r="S217" s="17">
        <v>4002.3333333333298</v>
      </c>
      <c r="T217" s="17">
        <f>AVERAGE(Table143690117171225188189195219[[#This Row],[Teste 1]:[Teste 3]])</f>
        <v>3219.1111111111063</v>
      </c>
    </row>
    <row r="218" spans="1:20" x14ac:dyDescent="0.25">
      <c r="A218" s="16" t="s">
        <v>3</v>
      </c>
      <c r="B218" s="16" t="s">
        <v>6</v>
      </c>
      <c r="C218" s="17">
        <v>1</v>
      </c>
      <c r="D218" s="17">
        <v>1</v>
      </c>
      <c r="E218" s="17">
        <v>1</v>
      </c>
      <c r="F218" s="17">
        <f>AVERAGE(Table143690117171225188189195[[#This Row],[Teste 1]:[Teste 3]])</f>
        <v>1</v>
      </c>
      <c r="G218" s="16"/>
      <c r="H218" s="16" t="s">
        <v>3</v>
      </c>
      <c r="I218" s="16" t="s">
        <v>6</v>
      </c>
      <c r="J218" s="17">
        <v>7</v>
      </c>
      <c r="K218" s="17">
        <v>1</v>
      </c>
      <c r="L218" s="17">
        <v>0</v>
      </c>
      <c r="M218" s="17">
        <f>AVERAGE(Table143690117171225188189195207[[#This Row],[Teste 1]:[Teste 3]])</f>
        <v>2.6666666666666665</v>
      </c>
      <c r="N218" s="16"/>
      <c r="O218" s="16" t="s">
        <v>3</v>
      </c>
      <c r="P218" s="16" t="s">
        <v>6</v>
      </c>
      <c r="Q218" s="17">
        <v>1</v>
      </c>
      <c r="R218" s="17">
        <v>2</v>
      </c>
      <c r="S218" s="17">
        <v>1</v>
      </c>
      <c r="T218" s="17">
        <f>AVERAGE(Table143690117171225188189195219[[#This Row],[Teste 1]:[Teste 3]])</f>
        <v>1.3333333333333333</v>
      </c>
    </row>
    <row r="219" spans="1:20" x14ac:dyDescent="0.25">
      <c r="A219" s="16" t="s">
        <v>3</v>
      </c>
      <c r="B219" s="16" t="s">
        <v>7</v>
      </c>
      <c r="C219" s="17">
        <v>3</v>
      </c>
      <c r="D219" s="17">
        <v>2</v>
      </c>
      <c r="E219" s="17">
        <v>2</v>
      </c>
      <c r="F219" s="17">
        <f>AVERAGE(Table143690117171225188189195[[#This Row],[Teste 1]:[Teste 3]])</f>
        <v>2.3333333333333335</v>
      </c>
      <c r="G219" s="16"/>
      <c r="H219" s="16" t="s">
        <v>3</v>
      </c>
      <c r="I219" s="16" t="s">
        <v>7</v>
      </c>
      <c r="J219" s="17">
        <v>9</v>
      </c>
      <c r="K219" s="17">
        <v>11</v>
      </c>
      <c r="L219" s="17">
        <v>6</v>
      </c>
      <c r="M219" s="17">
        <f>AVERAGE(Table143690117171225188189195207[[#This Row],[Teste 1]:[Teste 3]])</f>
        <v>8.6666666666666661</v>
      </c>
      <c r="N219" s="16"/>
      <c r="O219" s="16" t="s">
        <v>3</v>
      </c>
      <c r="P219" s="16" t="s">
        <v>7</v>
      </c>
      <c r="Q219" s="17">
        <v>4167</v>
      </c>
      <c r="R219" s="17">
        <v>12735</v>
      </c>
      <c r="S219" s="17">
        <v>11999</v>
      </c>
      <c r="T219" s="17">
        <f>AVERAGE(Table143690117171225188189195219[[#This Row],[Teste 1]:[Teste 3]])</f>
        <v>9633.6666666666661</v>
      </c>
    </row>
    <row r="220" spans="1:20" x14ac:dyDescent="0.25">
      <c r="A220" s="16" t="s">
        <v>3</v>
      </c>
      <c r="B220" s="16" t="s">
        <v>8</v>
      </c>
      <c r="C220" s="17">
        <v>3</v>
      </c>
      <c r="D220" s="17">
        <v>2</v>
      </c>
      <c r="E220" s="17">
        <v>2</v>
      </c>
      <c r="F220" s="17">
        <f>AVERAGE(Table143690117171225188189195[[#This Row],[Teste 1]:[Teste 3]])</f>
        <v>2.3333333333333335</v>
      </c>
      <c r="G220" s="16"/>
      <c r="H220" s="16" t="s">
        <v>3</v>
      </c>
      <c r="I220" s="16" t="s">
        <v>8</v>
      </c>
      <c r="J220" s="17">
        <v>9</v>
      </c>
      <c r="K220" s="17">
        <v>11</v>
      </c>
      <c r="L220" s="17">
        <v>6</v>
      </c>
      <c r="M220" s="17">
        <f>AVERAGE(Table143690117171225188189195207[[#This Row],[Teste 1]:[Teste 3]])</f>
        <v>8.6666666666666661</v>
      </c>
      <c r="N220" s="16"/>
      <c r="O220" s="16" t="s">
        <v>3</v>
      </c>
      <c r="P220" s="16" t="s">
        <v>8</v>
      </c>
      <c r="Q220" s="17">
        <v>4167</v>
      </c>
      <c r="R220" s="17">
        <v>12735</v>
      </c>
      <c r="S220" s="17">
        <v>11999</v>
      </c>
      <c r="T220" s="17">
        <f>AVERAGE(Table143690117171225188189195219[[#This Row],[Teste 1]:[Teste 3]])</f>
        <v>9633.6666666666661</v>
      </c>
    </row>
    <row r="221" spans="1:20" x14ac:dyDescent="0.25">
      <c r="A221" s="16" t="s">
        <v>3</v>
      </c>
      <c r="B221" s="16" t="s">
        <v>9</v>
      </c>
      <c r="C221" s="17">
        <v>3</v>
      </c>
      <c r="D221" s="17">
        <v>2</v>
      </c>
      <c r="E221" s="17">
        <v>2</v>
      </c>
      <c r="F221" s="17">
        <f>AVERAGE(Table143690117171225188189195[[#This Row],[Teste 1]:[Teste 3]])</f>
        <v>2.3333333333333335</v>
      </c>
      <c r="G221" s="16"/>
      <c r="H221" s="16" t="s">
        <v>3</v>
      </c>
      <c r="I221" s="16" t="s">
        <v>9</v>
      </c>
      <c r="J221" s="17">
        <v>9</v>
      </c>
      <c r="K221" s="17">
        <v>11</v>
      </c>
      <c r="L221" s="17">
        <v>6</v>
      </c>
      <c r="M221" s="17">
        <f>AVERAGE(Table143690117171225188189195207[[#This Row],[Teste 1]:[Teste 3]])</f>
        <v>8.6666666666666661</v>
      </c>
      <c r="N221" s="16"/>
      <c r="O221" s="16" t="s">
        <v>3</v>
      </c>
      <c r="P221" s="16" t="s">
        <v>9</v>
      </c>
      <c r="Q221" s="17">
        <v>4167</v>
      </c>
      <c r="R221" s="17">
        <v>12735</v>
      </c>
      <c r="S221" s="17">
        <v>11999</v>
      </c>
      <c r="T221" s="17">
        <f>AVERAGE(Table143690117171225188189195219[[#This Row],[Teste 1]:[Teste 3]])</f>
        <v>9633.6666666666661</v>
      </c>
    </row>
    <row r="222" spans="1:20" x14ac:dyDescent="0.25">
      <c r="A222" s="16" t="s">
        <v>17</v>
      </c>
      <c r="B222" s="16" t="s">
        <v>4</v>
      </c>
      <c r="C222" s="17">
        <v>9499421</v>
      </c>
      <c r="D222" s="17">
        <v>9499662</v>
      </c>
      <c r="E222" s="17">
        <v>9500351</v>
      </c>
      <c r="F222" s="17">
        <f>AVERAGE(Table143690117171225188189195[[#This Row],[Teste 1]:[Teste 3]])</f>
        <v>9499811.333333334</v>
      </c>
      <c r="G222" s="16"/>
      <c r="H222" s="16" t="s">
        <v>17</v>
      </c>
      <c r="I222" s="16" t="s">
        <v>4</v>
      </c>
      <c r="J222" s="17">
        <v>9499796</v>
      </c>
      <c r="K222" s="17">
        <v>9499855</v>
      </c>
      <c r="L222" s="17">
        <v>9500260</v>
      </c>
      <c r="M222" s="17">
        <f>AVERAGE(Table143690117171225188189195207[[#This Row],[Teste 1]:[Teste 3]])</f>
        <v>9499970.333333334</v>
      </c>
      <c r="N222" s="16"/>
      <c r="O222" s="16" t="s">
        <v>17</v>
      </c>
      <c r="P222" s="16" t="s">
        <v>4</v>
      </c>
      <c r="Q222" s="17">
        <v>9500219</v>
      </c>
      <c r="R222" s="17">
        <v>9499247</v>
      </c>
      <c r="S222" s="17">
        <v>9499844</v>
      </c>
      <c r="T222" s="17">
        <f>AVERAGE(Table143690117171225188189195219[[#This Row],[Teste 1]:[Teste 3]])</f>
        <v>9499770</v>
      </c>
    </row>
    <row r="223" spans="1:20" x14ac:dyDescent="0.25">
      <c r="A223" s="16" t="s">
        <v>17</v>
      </c>
      <c r="B223" s="16" t="s">
        <v>5</v>
      </c>
      <c r="C223" s="17">
        <v>288.92879913417801</v>
      </c>
      <c r="D223" s="17">
        <v>312.44107664041098</v>
      </c>
      <c r="E223" s="17">
        <v>409.84944903614598</v>
      </c>
      <c r="F223" s="17">
        <f>AVERAGE(Table143690117171225188189195[[#This Row],[Teste 1]:[Teste 3]])</f>
        <v>337.07310827024497</v>
      </c>
      <c r="G223" s="16"/>
      <c r="H223" s="16" t="s">
        <v>17</v>
      </c>
      <c r="I223" s="16" t="s">
        <v>5</v>
      </c>
      <c r="J223" s="17">
        <v>3659.71</v>
      </c>
      <c r="K223" s="17">
        <v>3651.93</v>
      </c>
      <c r="L223" s="17">
        <v>3512.16</v>
      </c>
      <c r="M223" s="17">
        <f>AVERAGE(Table143690117171225188189195207[[#This Row],[Teste 1]:[Teste 3]])</f>
        <v>3607.9333333333329</v>
      </c>
      <c r="N223" s="16"/>
      <c r="O223" s="16" t="s">
        <v>17</v>
      </c>
      <c r="P223" s="16" t="s">
        <v>5</v>
      </c>
      <c r="Q223" s="17">
        <v>2056.0168610849901</v>
      </c>
      <c r="R223" s="17">
        <v>2051.6462849107902</v>
      </c>
      <c r="S223" s="17">
        <v>1973.68592473729</v>
      </c>
      <c r="T223" s="17">
        <f>AVERAGE(Table143690117171225188189195219[[#This Row],[Teste 1]:[Teste 3]])</f>
        <v>2027.1163569110238</v>
      </c>
    </row>
    <row r="224" spans="1:20" x14ac:dyDescent="0.25">
      <c r="A224" s="16" t="s">
        <v>17</v>
      </c>
      <c r="B224" s="16" t="s">
        <v>6</v>
      </c>
      <c r="C224" s="17">
        <v>102</v>
      </c>
      <c r="D224" s="17">
        <v>103</v>
      </c>
      <c r="E224" s="17">
        <v>90</v>
      </c>
      <c r="F224" s="17">
        <f>AVERAGE(Table143690117171225188189195[[#This Row],[Teste 1]:[Teste 3]])</f>
        <v>98.333333333333329</v>
      </c>
      <c r="G224" s="16"/>
      <c r="H224" s="16" t="s">
        <v>17</v>
      </c>
      <c r="I224" s="16" t="s">
        <v>6</v>
      </c>
      <c r="J224" s="17">
        <v>293</v>
      </c>
      <c r="K224" s="17">
        <v>290</v>
      </c>
      <c r="L224" s="17">
        <v>293</v>
      </c>
      <c r="M224" s="17">
        <f>AVERAGE(Table143690117171225188189195207[[#This Row],[Teste 1]:[Teste 3]])</f>
        <v>292</v>
      </c>
      <c r="N224" s="16"/>
      <c r="O224" s="16" t="s">
        <v>17</v>
      </c>
      <c r="P224" s="16" t="s">
        <v>6</v>
      </c>
      <c r="Q224" s="17">
        <v>165</v>
      </c>
      <c r="R224" s="17">
        <v>163</v>
      </c>
      <c r="S224" s="17">
        <v>165</v>
      </c>
      <c r="T224" s="17">
        <f>AVERAGE(Table143690117171225188189195219[[#This Row],[Teste 1]:[Teste 3]])</f>
        <v>164.33333333333334</v>
      </c>
    </row>
    <row r="225" spans="1:20" x14ac:dyDescent="0.25">
      <c r="A225" s="16" t="s">
        <v>17</v>
      </c>
      <c r="B225" s="16" t="s">
        <v>7</v>
      </c>
      <c r="C225" s="17">
        <v>7323647</v>
      </c>
      <c r="D225" s="17">
        <v>6602751</v>
      </c>
      <c r="E225" s="17">
        <v>4501503</v>
      </c>
      <c r="F225" s="17">
        <f>AVERAGE(Table143690117171225188189195[[#This Row],[Teste 1]:[Teste 3]])</f>
        <v>6142633.666666667</v>
      </c>
      <c r="G225" s="16"/>
      <c r="H225" s="16" t="s">
        <v>17</v>
      </c>
      <c r="I225" s="16" t="s">
        <v>7</v>
      </c>
      <c r="J225" s="17">
        <v>6966434</v>
      </c>
      <c r="K225" s="17">
        <v>5708757</v>
      </c>
      <c r="L225" s="17">
        <v>5613975</v>
      </c>
      <c r="M225" s="17">
        <f>AVERAGE(Table143690117171225188189195207[[#This Row],[Teste 1]:[Teste 3]])</f>
        <v>6096388.666666667</v>
      </c>
      <c r="N225" s="16"/>
      <c r="O225" s="16" t="s">
        <v>17</v>
      </c>
      <c r="P225" s="16" t="s">
        <v>7</v>
      </c>
      <c r="Q225" s="17">
        <v>3913727</v>
      </c>
      <c r="R225" s="17">
        <v>3207167</v>
      </c>
      <c r="S225" s="17">
        <v>3153919</v>
      </c>
      <c r="T225" s="17">
        <f>AVERAGE(Table143690117171225188189195219[[#This Row],[Teste 1]:[Teste 3]])</f>
        <v>3424937.6666666665</v>
      </c>
    </row>
    <row r="226" spans="1:20" x14ac:dyDescent="0.25">
      <c r="A226" s="16" t="s">
        <v>17</v>
      </c>
      <c r="B226" s="16" t="s">
        <v>8</v>
      </c>
      <c r="C226" s="17">
        <v>529</v>
      </c>
      <c r="D226" s="17">
        <v>583</v>
      </c>
      <c r="E226" s="17">
        <v>974</v>
      </c>
      <c r="F226" s="17">
        <f>AVERAGE(Table143690117171225188189195[[#This Row],[Teste 1]:[Teste 3]])</f>
        <v>695.33333333333337</v>
      </c>
      <c r="G226" s="16"/>
      <c r="H226" s="16" t="s">
        <v>17</v>
      </c>
      <c r="I226" s="16" t="s">
        <v>8</v>
      </c>
      <c r="J226" s="17">
        <v>14060</v>
      </c>
      <c r="K226" s="17">
        <v>14594</v>
      </c>
      <c r="L226" s="17">
        <v>13647</v>
      </c>
      <c r="M226" s="17">
        <f>AVERAGE(Table143690117171225188189195207[[#This Row],[Teste 1]:[Teste 3]])</f>
        <v>14100.333333333334</v>
      </c>
      <c r="N226" s="16"/>
      <c r="O226" s="16" t="s">
        <v>17</v>
      </c>
      <c r="P226" s="16" t="s">
        <v>8</v>
      </c>
      <c r="Q226" s="17">
        <v>7899</v>
      </c>
      <c r="R226" s="17">
        <v>8199</v>
      </c>
      <c r="S226" s="17">
        <v>7667</v>
      </c>
      <c r="T226" s="17">
        <f>AVERAGE(Table143690117171225188189195219[[#This Row],[Teste 1]:[Teste 3]])</f>
        <v>7921.666666666667</v>
      </c>
    </row>
    <row r="227" spans="1:20" x14ac:dyDescent="0.25">
      <c r="A227" s="16" t="s">
        <v>17</v>
      </c>
      <c r="B227" s="16" t="s">
        <v>9</v>
      </c>
      <c r="C227" s="17">
        <v>924</v>
      </c>
      <c r="D227" s="17">
        <v>1064</v>
      </c>
      <c r="E227" s="17">
        <v>2313</v>
      </c>
      <c r="F227" s="17">
        <f>AVERAGE(Table143690117171225188189195[[#This Row],[Teste 1]:[Teste 3]])</f>
        <v>1433.6666666666667</v>
      </c>
      <c r="G227" s="16"/>
      <c r="H227" s="16" t="s">
        <v>17</v>
      </c>
      <c r="I227" s="16" t="s">
        <v>9</v>
      </c>
      <c r="J227" s="17">
        <v>39243</v>
      </c>
      <c r="K227" s="17">
        <v>39784</v>
      </c>
      <c r="L227" s="17">
        <v>39962</v>
      </c>
      <c r="M227" s="17">
        <f>AVERAGE(Table143690117171225188189195207[[#This Row],[Teste 1]:[Teste 3]])</f>
        <v>39663</v>
      </c>
      <c r="N227" s="16"/>
      <c r="O227" s="16" t="s">
        <v>17</v>
      </c>
      <c r="P227" s="16" t="s">
        <v>9</v>
      </c>
      <c r="Q227" s="17">
        <v>22047</v>
      </c>
      <c r="R227" s="17">
        <v>22351</v>
      </c>
      <c r="S227" s="17">
        <v>21327</v>
      </c>
      <c r="T227" s="17">
        <f>AVERAGE(Table143690117171225188189195219[[#This Row],[Teste 1]:[Teste 3]])</f>
        <v>21908.333333333332</v>
      </c>
    </row>
    <row r="228" spans="1:20" x14ac:dyDescent="0.25">
      <c r="A228" s="16" t="s">
        <v>17</v>
      </c>
      <c r="B228" s="16" t="s">
        <v>11</v>
      </c>
      <c r="C228" s="17">
        <v>9499421</v>
      </c>
      <c r="D228" s="17">
        <v>9499662</v>
      </c>
      <c r="E228" s="17">
        <v>9500351</v>
      </c>
      <c r="F228" s="17">
        <f>AVERAGE(Table143690117171225188189195[[#This Row],[Teste 1]:[Teste 3]])</f>
        <v>9499811.333333334</v>
      </c>
      <c r="G228" s="16"/>
      <c r="H228" s="16" t="s">
        <v>17</v>
      </c>
      <c r="I228" s="16" t="s">
        <v>11</v>
      </c>
      <c r="J228" s="17">
        <v>9499796</v>
      </c>
      <c r="K228" s="17">
        <v>9499855</v>
      </c>
      <c r="L228" s="17">
        <v>9500260</v>
      </c>
      <c r="M228" s="17">
        <f>AVERAGE(Table143690117171225188189195207[[#This Row],[Teste 1]:[Teste 3]])</f>
        <v>9499970.333333334</v>
      </c>
      <c r="N228" s="16"/>
      <c r="O228" s="16" t="s">
        <v>17</v>
      </c>
      <c r="P228" s="16" t="s">
        <v>11</v>
      </c>
      <c r="Q228" s="17">
        <v>9500219</v>
      </c>
      <c r="R228" s="17">
        <v>9499247</v>
      </c>
      <c r="S228" s="17">
        <v>9499844</v>
      </c>
      <c r="T228" s="17">
        <f>AVERAGE(Table143690117171225188189195219[[#This Row],[Teste 1]:[Teste 3]])</f>
        <v>9499770</v>
      </c>
    </row>
    <row r="229" spans="1:20" x14ac:dyDescent="0.25">
      <c r="A229" s="16"/>
      <c r="B229" s="16"/>
      <c r="C229" s="17"/>
      <c r="D229" s="17"/>
      <c r="E229" s="17"/>
      <c r="F229" s="17"/>
      <c r="G229" s="16"/>
      <c r="H229" s="16"/>
      <c r="I229" s="16"/>
      <c r="J229" s="17"/>
      <c r="K229" s="17"/>
      <c r="L229" s="17"/>
      <c r="M229" s="17"/>
      <c r="N229" s="16"/>
      <c r="O229" s="16"/>
      <c r="P229" s="16"/>
      <c r="Q229" s="17"/>
      <c r="R229" s="17"/>
      <c r="S229" s="17"/>
      <c r="T229" s="17"/>
    </row>
    <row r="230" spans="1:20" x14ac:dyDescent="0.25">
      <c r="A230" s="16"/>
      <c r="B230" s="16"/>
      <c r="C230" s="17"/>
      <c r="D230" s="17"/>
      <c r="E230" s="17"/>
      <c r="F230" s="17"/>
      <c r="G230" s="16"/>
      <c r="H230" s="16"/>
      <c r="I230" s="16"/>
      <c r="J230" s="17"/>
      <c r="K230" s="17"/>
      <c r="L230" s="17"/>
      <c r="M230" s="17"/>
      <c r="N230" s="16"/>
      <c r="O230" s="16"/>
      <c r="P230" s="16"/>
      <c r="Q230" s="17"/>
      <c r="R230" s="17"/>
      <c r="S230" s="17"/>
      <c r="T230" s="17"/>
    </row>
    <row r="231" spans="1:20" x14ac:dyDescent="0.25">
      <c r="A231" s="16"/>
      <c r="B231" s="16"/>
      <c r="C231" s="17"/>
      <c r="D231" s="17"/>
      <c r="E231" s="17"/>
      <c r="F231" s="17"/>
      <c r="G231" s="16"/>
      <c r="H231" s="16"/>
      <c r="I231" s="16"/>
      <c r="J231" s="17"/>
      <c r="K231" s="17"/>
      <c r="L231" s="17"/>
      <c r="M231" s="17"/>
      <c r="N231" s="16"/>
      <c r="O231" s="16"/>
      <c r="P231" s="16"/>
      <c r="Q231" s="17"/>
      <c r="R231" s="17"/>
      <c r="S231" s="17"/>
      <c r="T231" s="17"/>
    </row>
    <row r="233" spans="1:20" ht="15.75" x14ac:dyDescent="0.25">
      <c r="A233" s="2" t="s">
        <v>73</v>
      </c>
      <c r="H233" s="2" t="s">
        <v>73</v>
      </c>
      <c r="O233" s="2" t="s">
        <v>73</v>
      </c>
    </row>
    <row r="234" spans="1:20" ht="15.75" x14ac:dyDescent="0.25">
      <c r="A234" s="16" t="s">
        <v>59</v>
      </c>
      <c r="B234" s="21" t="s">
        <v>81</v>
      </c>
      <c r="C234" s="16" t="s">
        <v>82</v>
      </c>
      <c r="D234" s="16" t="s">
        <v>64</v>
      </c>
      <c r="E234" s="16" t="s">
        <v>63</v>
      </c>
      <c r="F234" s="16" t="s">
        <v>18</v>
      </c>
      <c r="G234" s="16"/>
      <c r="H234" s="16" t="s">
        <v>12</v>
      </c>
      <c r="I234" s="21" t="s">
        <v>81</v>
      </c>
      <c r="J234" s="16" t="s">
        <v>82</v>
      </c>
      <c r="K234" s="16" t="s">
        <v>64</v>
      </c>
      <c r="L234" s="16" t="s">
        <v>63</v>
      </c>
      <c r="M234" s="16" t="s">
        <v>18</v>
      </c>
      <c r="N234" s="16"/>
      <c r="O234" s="16" t="s">
        <v>13</v>
      </c>
      <c r="P234" s="21" t="s">
        <v>81</v>
      </c>
      <c r="Q234" s="16" t="s">
        <v>82</v>
      </c>
      <c r="R234" s="16" t="s">
        <v>64</v>
      </c>
      <c r="S234" s="16" t="s">
        <v>63</v>
      </c>
      <c r="T234" s="16" t="s">
        <v>18</v>
      </c>
    </row>
    <row r="235" spans="1:20" x14ac:dyDescent="0.25">
      <c r="A235" s="16" t="s">
        <v>0</v>
      </c>
      <c r="B235" s="16" t="s">
        <v>1</v>
      </c>
      <c r="C235" s="17">
        <v>4140291</v>
      </c>
      <c r="D235" s="17">
        <v>3856277</v>
      </c>
      <c r="E235" s="17">
        <v>3540595</v>
      </c>
      <c r="F235" s="17">
        <f>AVERAGE(Table143690117171225188190196[[#This Row],[Teste 1]:[Teste 3]])</f>
        <v>3845721</v>
      </c>
      <c r="G235" s="16"/>
      <c r="H235" s="16" t="s">
        <v>0</v>
      </c>
      <c r="I235" s="16" t="s">
        <v>1</v>
      </c>
      <c r="J235" s="17">
        <v>7133918</v>
      </c>
      <c r="K235" s="17">
        <v>7047266</v>
      </c>
      <c r="L235" s="17">
        <v>6919355</v>
      </c>
      <c r="M235" s="17">
        <f>AVERAGE(Table143690117171225188190196208[[#This Row],[Teste 1]:[Teste 3]])</f>
        <v>7033513</v>
      </c>
      <c r="N235" s="16"/>
      <c r="O235" s="16" t="s">
        <v>0</v>
      </c>
      <c r="P235" s="16" t="s">
        <v>1</v>
      </c>
      <c r="Q235" s="17">
        <v>6406407</v>
      </c>
      <c r="R235" s="17">
        <v>6328592</v>
      </c>
      <c r="S235" s="17">
        <v>6213725</v>
      </c>
      <c r="T235" s="17">
        <f>AVERAGE(Table143690117171225188190196220[[#This Row],[Teste 1]:[Teste 3]])</f>
        <v>6316241.333333333</v>
      </c>
    </row>
    <row r="236" spans="1:20" x14ac:dyDescent="0.25">
      <c r="A236" s="16" t="s">
        <v>0</v>
      </c>
      <c r="B236" s="16" t="s">
        <v>2</v>
      </c>
      <c r="C236" s="17">
        <v>1228.4573119069</v>
      </c>
      <c r="D236" s="17">
        <v>2059.1906104202799</v>
      </c>
      <c r="E236" s="17">
        <v>2824.3840371462902</v>
      </c>
      <c r="F236" s="17">
        <f>AVERAGE(Table143690117171225188190196[[#This Row],[Teste 1]:[Teste 3]])</f>
        <v>2037.3439864911568</v>
      </c>
      <c r="G236" s="16"/>
      <c r="H236" s="16" t="s">
        <v>0</v>
      </c>
      <c r="I236" s="16" t="s">
        <v>2</v>
      </c>
      <c r="J236" s="17">
        <v>1401.75</v>
      </c>
      <c r="K236" s="17">
        <v>1418.98</v>
      </c>
      <c r="L236" s="17">
        <v>1445.22</v>
      </c>
      <c r="M236" s="17">
        <f>AVERAGE(Table143690117171225188190196208[[#This Row],[Teste 1]:[Teste 3]])</f>
        <v>1421.9833333333333</v>
      </c>
      <c r="N236" s="16"/>
      <c r="O236" s="16" t="s">
        <v>0</v>
      </c>
      <c r="P236" s="16" t="s">
        <v>2</v>
      </c>
      <c r="Q236" s="17">
        <v>1560.9373553693899</v>
      </c>
      <c r="R236" s="17">
        <v>1580.13030386537</v>
      </c>
      <c r="S236" s="17">
        <v>1609.34061291737</v>
      </c>
      <c r="T236" s="17">
        <f>AVERAGE(Table143690117171225188190196220[[#This Row],[Teste 1]:[Teste 3]])</f>
        <v>1583.4694240507099</v>
      </c>
    </row>
    <row r="237" spans="1:20" x14ac:dyDescent="0.25">
      <c r="A237" s="16" t="s">
        <v>16</v>
      </c>
      <c r="B237" s="16" t="s">
        <v>4</v>
      </c>
      <c r="C237" s="17">
        <v>501507</v>
      </c>
      <c r="D237" s="17">
        <v>500822</v>
      </c>
      <c r="E237" s="17">
        <v>499506</v>
      </c>
      <c r="F237" s="17">
        <f>AVERAGE(Table143690117171225188190196[[#This Row],[Teste 1]:[Teste 3]])</f>
        <v>500611.66666666669</v>
      </c>
      <c r="G237" s="16"/>
      <c r="H237" s="16" t="s">
        <v>16</v>
      </c>
      <c r="I237" s="16" t="s">
        <v>4</v>
      </c>
      <c r="J237" s="17">
        <v>499781</v>
      </c>
      <c r="K237" s="17">
        <v>500579</v>
      </c>
      <c r="L237" s="17">
        <v>500156</v>
      </c>
      <c r="M237" s="17">
        <f>AVERAGE(Table143690117171225188190196208[[#This Row],[Teste 1]:[Teste 3]])</f>
        <v>500172</v>
      </c>
      <c r="N237" s="16"/>
      <c r="O237" s="16" t="s">
        <v>16</v>
      </c>
      <c r="P237" s="16" t="s">
        <v>4</v>
      </c>
      <c r="Q237" s="17">
        <v>498831</v>
      </c>
      <c r="R237" s="17">
        <v>501280</v>
      </c>
      <c r="S237" s="17">
        <v>499812</v>
      </c>
      <c r="T237" s="17">
        <f>AVERAGE(Table143690117171225188190196220[[#This Row],[Teste 1]:[Teste 3]])</f>
        <v>499974.33333333331</v>
      </c>
    </row>
    <row r="238" spans="1:20" x14ac:dyDescent="0.25">
      <c r="A238" s="16" t="s">
        <v>16</v>
      </c>
      <c r="B238" s="16" t="s">
        <v>5</v>
      </c>
      <c r="C238" s="17">
        <v>87355.065221942801</v>
      </c>
      <c r="D238" s="17">
        <v>50756.714481392497</v>
      </c>
      <c r="E238" s="17">
        <v>34272.917830487801</v>
      </c>
      <c r="F238" s="17">
        <f>AVERAGE(Table143690117171225188190196[[#This Row],[Teste 1]:[Teste 3]])</f>
        <v>57461.565844607707</v>
      </c>
      <c r="G238" s="16"/>
      <c r="H238" s="16" t="s">
        <v>16</v>
      </c>
      <c r="I238" s="16" t="s">
        <v>5</v>
      </c>
      <c r="J238" s="17">
        <v>3631.46</v>
      </c>
      <c r="K238" s="17">
        <v>3562.51</v>
      </c>
      <c r="L238" s="17">
        <v>3549.65</v>
      </c>
      <c r="M238" s="17">
        <f>AVERAGE(Table143690117171225188190196208[[#This Row],[Teste 1]:[Teste 3]])</f>
        <v>3581.2066666666669</v>
      </c>
      <c r="N238" s="16"/>
      <c r="O238" s="16" t="s">
        <v>16</v>
      </c>
      <c r="P238" s="16" t="s">
        <v>5</v>
      </c>
      <c r="Q238" s="17">
        <v>3261.12431665233</v>
      </c>
      <c r="R238" s="17">
        <v>3199.2043109639299</v>
      </c>
      <c r="S238" s="17">
        <v>3187.6569250038001</v>
      </c>
      <c r="T238" s="17">
        <f>AVERAGE(Table143690117171225188190196220[[#This Row],[Teste 1]:[Teste 3]])</f>
        <v>3215.9951842066862</v>
      </c>
    </row>
    <row r="239" spans="1:20" x14ac:dyDescent="0.25">
      <c r="A239" s="16" t="s">
        <v>16</v>
      </c>
      <c r="B239" s="16" t="s">
        <v>6</v>
      </c>
      <c r="C239" s="17">
        <v>104</v>
      </c>
      <c r="D239" s="17">
        <v>104</v>
      </c>
      <c r="E239" s="17">
        <v>109</v>
      </c>
      <c r="F239" s="17">
        <f>AVERAGE(Table143690117171225188190196[[#This Row],[Teste 1]:[Teste 3]])</f>
        <v>105.66666666666667</v>
      </c>
      <c r="G239" s="16"/>
      <c r="H239" s="16" t="s">
        <v>16</v>
      </c>
      <c r="I239" s="16" t="s">
        <v>6</v>
      </c>
      <c r="J239" s="17">
        <v>141</v>
      </c>
      <c r="K239" s="17">
        <v>145</v>
      </c>
      <c r="L239" s="17">
        <v>136</v>
      </c>
      <c r="M239" s="17">
        <f>AVERAGE(Table143690117171225188190196208[[#This Row],[Teste 1]:[Teste 3]])</f>
        <v>140.66666666666666</v>
      </c>
      <c r="N239" s="16"/>
      <c r="O239" s="16" t="s">
        <v>16</v>
      </c>
      <c r="P239" s="16" t="s">
        <v>6</v>
      </c>
      <c r="Q239" s="17">
        <v>127</v>
      </c>
      <c r="R239" s="17">
        <v>131</v>
      </c>
      <c r="S239" s="17">
        <v>123</v>
      </c>
      <c r="T239" s="17">
        <f>AVERAGE(Table143690117171225188190196220[[#This Row],[Teste 1]:[Teste 3]])</f>
        <v>127</v>
      </c>
    </row>
    <row r="240" spans="1:20" x14ac:dyDescent="0.25">
      <c r="A240" s="16" t="s">
        <v>16</v>
      </c>
      <c r="B240" s="16" t="s">
        <v>7</v>
      </c>
      <c r="C240" s="17">
        <v>9699327</v>
      </c>
      <c r="D240" s="17">
        <v>9805823</v>
      </c>
      <c r="E240" s="17">
        <v>9953279</v>
      </c>
      <c r="F240" s="17">
        <f>AVERAGE(Table143690117171225188190196[[#This Row],[Teste 1]:[Teste 3]])</f>
        <v>9819476.333333334</v>
      </c>
      <c r="G240" s="16"/>
      <c r="H240" s="16" t="s">
        <v>16</v>
      </c>
      <c r="I240" s="16">
        <v>2716158</v>
      </c>
      <c r="J240" s="17">
        <v>1782265</v>
      </c>
      <c r="K240" s="17">
        <v>1829016</v>
      </c>
      <c r="L240" s="17">
        <v>1829016</v>
      </c>
      <c r="M240" s="17">
        <f>AVERAGE(Table143690117171225188190196208[[#This Row],[Teste 1]:[Teste 3]])</f>
        <v>1813432.3333333333</v>
      </c>
      <c r="N240" s="16"/>
      <c r="O240" s="16" t="s">
        <v>16</v>
      </c>
      <c r="P240" s="16" t="s">
        <v>7</v>
      </c>
      <c r="Q240" s="17">
        <v>2439167</v>
      </c>
      <c r="R240" s="17">
        <v>1600511</v>
      </c>
      <c r="S240" s="17">
        <v>1642495</v>
      </c>
      <c r="T240" s="17">
        <f>AVERAGE(Table143690117171225188190196220[[#This Row],[Teste 1]:[Teste 3]])</f>
        <v>1894057.6666666667</v>
      </c>
    </row>
    <row r="241" spans="1:20" x14ac:dyDescent="0.25">
      <c r="A241" s="16" t="s">
        <v>16</v>
      </c>
      <c r="B241" s="16" t="s">
        <v>8</v>
      </c>
      <c r="C241" s="17">
        <v>157567</v>
      </c>
      <c r="D241" s="17">
        <v>119039</v>
      </c>
      <c r="E241" s="17">
        <v>89791</v>
      </c>
      <c r="F241" s="17">
        <f>AVERAGE(Table143690117171225188190196[[#This Row],[Teste 1]:[Teste 3]])</f>
        <v>122132.33333333333</v>
      </c>
      <c r="G241" s="16"/>
      <c r="H241" s="16" t="s">
        <v>16</v>
      </c>
      <c r="I241" s="16" t="s">
        <v>8</v>
      </c>
      <c r="J241" s="17">
        <v>16962</v>
      </c>
      <c r="K241" s="17">
        <v>16746</v>
      </c>
      <c r="L241" s="17">
        <v>17112</v>
      </c>
      <c r="M241" s="17">
        <f>AVERAGE(Table143690117171225188190196208[[#This Row],[Teste 1]:[Teste 3]])</f>
        <v>16940</v>
      </c>
      <c r="N241" s="16"/>
      <c r="O241" s="16" t="s">
        <v>16</v>
      </c>
      <c r="P241" s="16" t="s">
        <v>8</v>
      </c>
      <c r="Q241" s="17">
        <v>14335</v>
      </c>
      <c r="R241" s="17">
        <v>15039</v>
      </c>
      <c r="S241" s="17">
        <v>15367</v>
      </c>
      <c r="T241" s="17">
        <f>AVERAGE(Table143690117171225188190196220[[#This Row],[Teste 1]:[Teste 3]])</f>
        <v>14913.666666666666</v>
      </c>
    </row>
    <row r="242" spans="1:20" x14ac:dyDescent="0.25">
      <c r="A242" s="16" t="s">
        <v>16</v>
      </c>
      <c r="B242" s="16" t="s">
        <v>9</v>
      </c>
      <c r="C242" s="17">
        <v>3588095</v>
      </c>
      <c r="D242" s="17">
        <v>1185791</v>
      </c>
      <c r="E242" s="17">
        <v>232959</v>
      </c>
      <c r="F242" s="17">
        <f>AVERAGE(Table143690117171225188190196[[#This Row],[Teste 1]:[Teste 3]])</f>
        <v>1668948.3333333333</v>
      </c>
      <c r="G242" s="16"/>
      <c r="H242" s="16" t="s">
        <v>16</v>
      </c>
      <c r="I242" s="16" t="s">
        <v>9</v>
      </c>
      <c r="J242" s="17">
        <v>29497</v>
      </c>
      <c r="K242" s="17">
        <v>29913</v>
      </c>
      <c r="L242" s="17">
        <v>28648</v>
      </c>
      <c r="M242" s="17">
        <f>AVERAGE(Table143690117171225188190196208[[#This Row],[Teste 1]:[Teste 3]])</f>
        <v>29352.666666666668</v>
      </c>
      <c r="N242" s="16"/>
      <c r="O242" s="16" t="s">
        <v>16</v>
      </c>
      <c r="P242" s="16" t="s">
        <v>9</v>
      </c>
      <c r="Q242" s="17">
        <v>29183</v>
      </c>
      <c r="R242" s="17">
        <v>26863</v>
      </c>
      <c r="S242" s="17">
        <v>25727</v>
      </c>
      <c r="T242" s="17">
        <f>AVERAGE(Table143690117171225188190196220[[#This Row],[Teste 1]:[Teste 3]])</f>
        <v>27257.666666666668</v>
      </c>
    </row>
    <row r="243" spans="1:20" x14ac:dyDescent="0.25">
      <c r="A243" s="16" t="s">
        <v>16</v>
      </c>
      <c r="B243" s="16" t="s">
        <v>11</v>
      </c>
      <c r="C243" s="17">
        <v>501507</v>
      </c>
      <c r="D243" s="17">
        <v>500822</v>
      </c>
      <c r="E243" s="17">
        <v>499506</v>
      </c>
      <c r="F243" s="17">
        <f>AVERAGE(Table143690117171225188190196[[#This Row],[Teste 1]:[Teste 3]])</f>
        <v>500611.66666666669</v>
      </c>
      <c r="G243" s="16"/>
      <c r="H243" s="16" t="s">
        <v>16</v>
      </c>
      <c r="I243" s="16" t="s">
        <v>11</v>
      </c>
      <c r="J243" s="17">
        <v>499781</v>
      </c>
      <c r="K243" s="17">
        <v>500579</v>
      </c>
      <c r="L243" s="17">
        <v>500156</v>
      </c>
      <c r="M243" s="17">
        <f>AVERAGE(Table143690117171225188190196208[[#This Row],[Teste 1]:[Teste 3]])</f>
        <v>500172</v>
      </c>
      <c r="N243" s="16"/>
      <c r="O243" s="16" t="s">
        <v>16</v>
      </c>
      <c r="P243" s="16" t="s">
        <v>11</v>
      </c>
      <c r="Q243" s="17">
        <v>498831</v>
      </c>
      <c r="R243" s="17">
        <v>501280</v>
      </c>
      <c r="S243" s="17">
        <v>499812</v>
      </c>
      <c r="T243" s="17">
        <f>AVERAGE(Table143690117171225188190196220[[#This Row],[Teste 1]:[Teste 3]])</f>
        <v>499974.33333333331</v>
      </c>
    </row>
    <row r="244" spans="1:20" x14ac:dyDescent="0.25">
      <c r="A244" s="16" t="s">
        <v>3</v>
      </c>
      <c r="B244" s="16" t="s">
        <v>4</v>
      </c>
      <c r="C244" s="17">
        <v>6</v>
      </c>
      <c r="D244" s="17">
        <v>6</v>
      </c>
      <c r="E244" s="17">
        <v>6</v>
      </c>
      <c r="F244" s="17">
        <f>AVERAGE(Table143690117171225188190196[[#This Row],[Teste 1]:[Teste 3]])</f>
        <v>6</v>
      </c>
      <c r="G244" s="16"/>
      <c r="H244" s="16" t="s">
        <v>3</v>
      </c>
      <c r="I244" s="16" t="s">
        <v>4</v>
      </c>
      <c r="J244" s="17">
        <v>6</v>
      </c>
      <c r="K244" s="17">
        <v>6</v>
      </c>
      <c r="L244" s="17">
        <v>6</v>
      </c>
      <c r="M244" s="17">
        <f>AVERAGE(Table143690117171225188190196208[[#This Row],[Teste 1]:[Teste 3]])</f>
        <v>6</v>
      </c>
      <c r="N244" s="16"/>
      <c r="O244" s="16" t="s">
        <v>3</v>
      </c>
      <c r="P244" s="16" t="s">
        <v>4</v>
      </c>
      <c r="Q244" s="17">
        <v>6</v>
      </c>
      <c r="R244" s="17">
        <v>6</v>
      </c>
      <c r="S244" s="17">
        <v>6</v>
      </c>
      <c r="T244" s="17">
        <f>AVERAGE(Table143690117171225188190196220[[#This Row],[Teste 1]:[Teste 3]])</f>
        <v>6</v>
      </c>
    </row>
    <row r="245" spans="1:20" x14ac:dyDescent="0.25">
      <c r="A245" s="16" t="s">
        <v>3</v>
      </c>
      <c r="B245" s="16" t="s">
        <v>5</v>
      </c>
      <c r="C245" s="17">
        <v>0.66666666666666596</v>
      </c>
      <c r="D245" s="17">
        <v>0.83333333333333304</v>
      </c>
      <c r="E245" s="17">
        <v>0.83333333333333304</v>
      </c>
      <c r="F245" s="17">
        <f>AVERAGE(Table143690117171225188190196[[#This Row],[Teste 1]:[Teste 3]])</f>
        <v>0.77777777777777735</v>
      </c>
      <c r="G245" s="16"/>
      <c r="H245" s="16" t="s">
        <v>3</v>
      </c>
      <c r="I245" s="16" t="s">
        <v>5</v>
      </c>
      <c r="J245" s="17">
        <v>2</v>
      </c>
      <c r="K245" s="17">
        <v>2</v>
      </c>
      <c r="L245" s="17">
        <v>2.6666666666666599</v>
      </c>
      <c r="M245" s="17">
        <f>AVERAGE(Table143690117171225188190196208[[#This Row],[Teste 1]:[Teste 3]])</f>
        <v>2.2222222222222201</v>
      </c>
      <c r="N245" s="16"/>
      <c r="O245" s="16" t="s">
        <v>3</v>
      </c>
      <c r="P245" s="16" t="s">
        <v>5</v>
      </c>
      <c r="Q245" s="17">
        <v>17247</v>
      </c>
      <c r="R245" s="17">
        <v>75946.666666666599</v>
      </c>
      <c r="S245" s="17">
        <v>3515.3333333333298</v>
      </c>
      <c r="T245" s="17">
        <f>AVERAGE(Table143690117171225188190196220[[#This Row],[Teste 1]:[Teste 3]])</f>
        <v>32236.33333333331</v>
      </c>
    </row>
    <row r="246" spans="1:20" x14ac:dyDescent="0.25">
      <c r="A246" s="16" t="s">
        <v>3</v>
      </c>
      <c r="B246" s="16" t="s">
        <v>6</v>
      </c>
      <c r="C246" s="17">
        <v>0</v>
      </c>
      <c r="D246" s="17">
        <v>0</v>
      </c>
      <c r="E246" s="17">
        <v>0</v>
      </c>
      <c r="F246" s="17">
        <f>AVERAGE(Table143690117171225188190196[[#This Row],[Teste 1]:[Teste 3]])</f>
        <v>0</v>
      </c>
      <c r="G246" s="16"/>
      <c r="H246" s="16" t="s">
        <v>3</v>
      </c>
      <c r="I246" s="16" t="s">
        <v>6</v>
      </c>
      <c r="J246" s="17">
        <v>0</v>
      </c>
      <c r="K246" s="17">
        <v>1</v>
      </c>
      <c r="L246" s="17">
        <v>1</v>
      </c>
      <c r="M246" s="17">
        <f>AVERAGE(Table143690117171225188190196208[[#This Row],[Teste 1]:[Teste 3]])</f>
        <v>0.66666666666666663</v>
      </c>
      <c r="N246" s="16"/>
      <c r="O246" s="16" t="s">
        <v>3</v>
      </c>
      <c r="P246" s="16" t="s">
        <v>6</v>
      </c>
      <c r="Q246" s="17">
        <v>1</v>
      </c>
      <c r="R246" s="17">
        <v>2</v>
      </c>
      <c r="S246" s="17">
        <v>1</v>
      </c>
      <c r="T246" s="17">
        <f>AVERAGE(Table143690117171225188190196220[[#This Row],[Teste 1]:[Teste 3]])</f>
        <v>1.3333333333333333</v>
      </c>
    </row>
    <row r="247" spans="1:20" x14ac:dyDescent="0.25">
      <c r="A247" s="16" t="s">
        <v>3</v>
      </c>
      <c r="B247" s="16" t="s">
        <v>7</v>
      </c>
      <c r="C247" s="17">
        <v>3</v>
      </c>
      <c r="D247" s="17">
        <v>2</v>
      </c>
      <c r="E247" s="17">
        <v>2</v>
      </c>
      <c r="F247" s="17">
        <f>AVERAGE(Table143690117171225188190196[[#This Row],[Teste 1]:[Teste 3]])</f>
        <v>2.3333333333333335</v>
      </c>
      <c r="G247" s="16"/>
      <c r="H247" s="16" t="s">
        <v>3</v>
      </c>
      <c r="I247" s="16" t="s">
        <v>7</v>
      </c>
      <c r="J247" s="17">
        <v>8</v>
      </c>
      <c r="K247" s="17">
        <v>7</v>
      </c>
      <c r="L247" s="17">
        <v>6</v>
      </c>
      <c r="M247" s="17">
        <f>AVERAGE(Table143690117171225188190196208[[#This Row],[Teste 1]:[Teste 3]])</f>
        <v>7</v>
      </c>
      <c r="N247" s="16"/>
      <c r="O247" s="16" t="s">
        <v>3</v>
      </c>
      <c r="P247" s="16" t="s">
        <v>7</v>
      </c>
      <c r="Q247" s="17">
        <v>103487</v>
      </c>
      <c r="R247" s="17">
        <v>455423</v>
      </c>
      <c r="S247" s="17">
        <v>21087</v>
      </c>
      <c r="T247" s="17">
        <f>AVERAGE(Table143690117171225188190196220[[#This Row],[Teste 1]:[Teste 3]])</f>
        <v>193332.33333333334</v>
      </c>
    </row>
    <row r="248" spans="1:20" x14ac:dyDescent="0.25">
      <c r="A248" s="16" t="s">
        <v>3</v>
      </c>
      <c r="B248" s="16" t="s">
        <v>8</v>
      </c>
      <c r="C248" s="17">
        <v>3</v>
      </c>
      <c r="D248" s="17">
        <v>2</v>
      </c>
      <c r="E248" s="17">
        <v>2</v>
      </c>
      <c r="F248" s="17">
        <f>AVERAGE(Table143690117171225188190196[[#This Row],[Teste 1]:[Teste 3]])</f>
        <v>2.3333333333333335</v>
      </c>
      <c r="G248" s="16"/>
      <c r="H248" s="16" t="s">
        <v>3</v>
      </c>
      <c r="I248" s="16" t="s">
        <v>8</v>
      </c>
      <c r="J248" s="17">
        <v>8</v>
      </c>
      <c r="K248" s="17">
        <v>7</v>
      </c>
      <c r="L248" s="17">
        <v>6</v>
      </c>
      <c r="M248" s="17">
        <f>AVERAGE(Table143690117171225188190196208[[#This Row],[Teste 1]:[Teste 3]])</f>
        <v>7</v>
      </c>
      <c r="N248" s="16"/>
      <c r="O248" s="16" t="s">
        <v>3</v>
      </c>
      <c r="P248" s="16" t="s">
        <v>8</v>
      </c>
      <c r="Q248" s="17">
        <v>103487</v>
      </c>
      <c r="R248" s="17">
        <v>455423</v>
      </c>
      <c r="S248" s="17">
        <v>21087</v>
      </c>
      <c r="T248" s="17">
        <f>AVERAGE(Table143690117171225188190196220[[#This Row],[Teste 1]:[Teste 3]])</f>
        <v>193332.33333333334</v>
      </c>
    </row>
    <row r="249" spans="1:20" x14ac:dyDescent="0.25">
      <c r="A249" s="16" t="s">
        <v>3</v>
      </c>
      <c r="B249" s="16" t="s">
        <v>9</v>
      </c>
      <c r="C249" s="17">
        <v>3</v>
      </c>
      <c r="D249" s="17">
        <v>2</v>
      </c>
      <c r="E249" s="17">
        <v>2</v>
      </c>
      <c r="F249" s="17">
        <f>AVERAGE(Table143690117171225188190196[[#This Row],[Teste 1]:[Teste 3]])</f>
        <v>2.3333333333333335</v>
      </c>
      <c r="G249" s="16"/>
      <c r="H249" s="16" t="s">
        <v>3</v>
      </c>
      <c r="I249" s="16" t="s">
        <v>9</v>
      </c>
      <c r="J249" s="17">
        <v>8</v>
      </c>
      <c r="K249" s="17">
        <v>7</v>
      </c>
      <c r="L249" s="17">
        <v>6</v>
      </c>
      <c r="M249" s="17">
        <f>AVERAGE(Table143690117171225188190196208[[#This Row],[Teste 1]:[Teste 3]])</f>
        <v>7</v>
      </c>
      <c r="N249" s="16"/>
      <c r="O249" s="16" t="s">
        <v>3</v>
      </c>
      <c r="P249" s="16" t="s">
        <v>9</v>
      </c>
      <c r="Q249" s="17">
        <v>103487</v>
      </c>
      <c r="R249" s="17">
        <v>455423</v>
      </c>
      <c r="S249" s="17">
        <v>21087</v>
      </c>
      <c r="T249" s="17">
        <f>AVERAGE(Table143690117171225188190196220[[#This Row],[Teste 1]:[Teste 3]])</f>
        <v>193332.33333333334</v>
      </c>
    </row>
    <row r="250" spans="1:20" x14ac:dyDescent="0.25">
      <c r="A250" s="16" t="s">
        <v>17</v>
      </c>
      <c r="B250" s="16" t="s">
        <v>4</v>
      </c>
      <c r="C250" s="17">
        <v>9498493</v>
      </c>
      <c r="D250" s="17">
        <v>9499178</v>
      </c>
      <c r="E250" s="17">
        <v>9500494</v>
      </c>
      <c r="F250" s="17">
        <f>AVERAGE(Table143690117171225188190196[[#This Row],[Teste 1]:[Teste 3]])</f>
        <v>9499388.333333334</v>
      </c>
      <c r="G250" s="16"/>
      <c r="H250" s="16" t="s">
        <v>17</v>
      </c>
      <c r="I250" s="16" t="s">
        <v>4</v>
      </c>
      <c r="J250" s="17">
        <v>9500219</v>
      </c>
      <c r="K250" s="17">
        <v>9499421</v>
      </c>
      <c r="L250" s="17">
        <v>9499844</v>
      </c>
      <c r="M250" s="17">
        <f>AVERAGE(Table143690117171225188190196208[[#This Row],[Teste 1]:[Teste 3]])</f>
        <v>9499828</v>
      </c>
      <c r="N250" s="16"/>
      <c r="O250" s="16" t="s">
        <v>17</v>
      </c>
      <c r="P250" s="16" t="s">
        <v>4</v>
      </c>
      <c r="Q250" s="17">
        <v>9501169</v>
      </c>
      <c r="R250" s="17">
        <v>9498720</v>
      </c>
      <c r="S250" s="17">
        <v>9500188</v>
      </c>
      <c r="T250" s="17">
        <f>AVERAGE(Table143690117171225188190196220[[#This Row],[Teste 1]:[Teste 3]])</f>
        <v>9500025.666666666</v>
      </c>
    </row>
    <row r="251" spans="1:20" x14ac:dyDescent="0.25">
      <c r="A251" s="16" t="s">
        <v>17</v>
      </c>
      <c r="B251" s="16" t="s">
        <v>5</v>
      </c>
      <c r="C251" s="17">
        <v>495.41458102880102</v>
      </c>
      <c r="D251" s="17">
        <v>334.412621176274</v>
      </c>
      <c r="E251" s="17">
        <v>395.57628592786801</v>
      </c>
      <c r="F251" s="17">
        <f>AVERAGE(Table143690117171225188190196[[#This Row],[Teste 1]:[Teste 3]])</f>
        <v>408.46782937764766</v>
      </c>
      <c r="G251" s="16"/>
      <c r="H251" s="16" t="s">
        <v>17</v>
      </c>
      <c r="I251" s="16" t="s">
        <v>5</v>
      </c>
      <c r="J251" s="17">
        <v>4303.5200000000004</v>
      </c>
      <c r="K251" s="17">
        <v>4255.4799999999996</v>
      </c>
      <c r="L251" s="17">
        <v>4174.4399999999996</v>
      </c>
      <c r="M251" s="17">
        <f>AVERAGE(Table143690117171225188190196208[[#This Row],[Teste 1]:[Teste 3]])</f>
        <v>4244.4799999999996</v>
      </c>
      <c r="N251" s="16"/>
      <c r="O251" s="16" t="s">
        <v>17</v>
      </c>
      <c r="P251" s="16" t="s">
        <v>5</v>
      </c>
      <c r="Q251" s="17">
        <v>3864.65002590733</v>
      </c>
      <c r="R251" s="17">
        <v>3821.51489000623</v>
      </c>
      <c r="S251" s="17">
        <v>3748.7362200621701</v>
      </c>
      <c r="T251" s="17">
        <f>AVERAGE(Table143690117171225188190196220[[#This Row],[Teste 1]:[Teste 3]])</f>
        <v>3811.6337119919099</v>
      </c>
    </row>
    <row r="252" spans="1:20" x14ac:dyDescent="0.25">
      <c r="A252" s="16" t="s">
        <v>17</v>
      </c>
      <c r="B252" s="16" t="s">
        <v>6</v>
      </c>
      <c r="C252" s="17">
        <v>104</v>
      </c>
      <c r="D252" s="17">
        <v>93</v>
      </c>
      <c r="E252" s="17">
        <v>97</v>
      </c>
      <c r="F252" s="17">
        <f>AVERAGE(Table143690117171225188190196[[#This Row],[Teste 1]:[Teste 3]])</f>
        <v>98</v>
      </c>
      <c r="G252" s="16"/>
      <c r="H252" s="16" t="s">
        <v>17</v>
      </c>
      <c r="I252" s="16" t="s">
        <v>6</v>
      </c>
      <c r="J252" s="17">
        <v>187</v>
      </c>
      <c r="K252" s="17">
        <v>182</v>
      </c>
      <c r="L252" s="17">
        <v>172</v>
      </c>
      <c r="M252" s="17">
        <f>AVERAGE(Table143690117171225188190196208[[#This Row],[Teste 1]:[Teste 3]])</f>
        <v>180.33333333333334</v>
      </c>
      <c r="N252" s="16"/>
      <c r="O252" s="16" t="s">
        <v>17</v>
      </c>
      <c r="P252" s="16" t="s">
        <v>6</v>
      </c>
      <c r="Q252" s="17">
        <v>168</v>
      </c>
      <c r="R252" s="17">
        <v>164</v>
      </c>
      <c r="S252" s="17">
        <v>155</v>
      </c>
      <c r="T252" s="17">
        <f>AVERAGE(Table143690117171225188190196220[[#This Row],[Teste 1]:[Teste 3]])</f>
        <v>162.33333333333334</v>
      </c>
    </row>
    <row r="253" spans="1:20" x14ac:dyDescent="0.25">
      <c r="A253" s="16" t="s">
        <v>17</v>
      </c>
      <c r="B253" s="16" t="s">
        <v>7</v>
      </c>
      <c r="C253" s="17">
        <v>6246399</v>
      </c>
      <c r="D253" s="17">
        <v>6664191</v>
      </c>
      <c r="E253" s="17">
        <v>8011775</v>
      </c>
      <c r="F253" s="17">
        <f>AVERAGE(Table143690117171225188190196[[#This Row],[Teste 1]:[Teste 3]])</f>
        <v>6974121.666666667</v>
      </c>
      <c r="G253" s="16"/>
      <c r="H253" s="16" t="s">
        <v>17</v>
      </c>
      <c r="I253" s="16" t="s">
        <v>7</v>
      </c>
      <c r="J253" s="17">
        <v>2718439</v>
      </c>
      <c r="K253" s="17">
        <v>2930532</v>
      </c>
      <c r="L253" s="17">
        <v>2338754</v>
      </c>
      <c r="M253" s="17">
        <f>AVERAGE(Table143690117171225188190196208[[#This Row],[Teste 1]:[Teste 3]])</f>
        <v>2662575</v>
      </c>
      <c r="N253" s="16"/>
      <c r="O253" s="16" t="s">
        <v>17</v>
      </c>
      <c r="P253" s="16" t="s">
        <v>7</v>
      </c>
      <c r="Q253" s="17">
        <v>2441215</v>
      </c>
      <c r="R253" s="17">
        <v>2631679</v>
      </c>
      <c r="S253" s="17">
        <v>2998271</v>
      </c>
      <c r="T253" s="17">
        <f>AVERAGE(Table143690117171225188190196220[[#This Row],[Teste 1]:[Teste 3]])</f>
        <v>2690388.3333333335</v>
      </c>
    </row>
    <row r="254" spans="1:20" x14ac:dyDescent="0.25">
      <c r="A254" s="16" t="s">
        <v>17</v>
      </c>
      <c r="B254" s="16" t="s">
        <v>8</v>
      </c>
      <c r="C254" s="17">
        <v>1489</v>
      </c>
      <c r="D254" s="17">
        <v>602</v>
      </c>
      <c r="E254" s="17">
        <v>873</v>
      </c>
      <c r="F254" s="17">
        <f>AVERAGE(Table143690117171225188190196[[#This Row],[Teste 1]:[Teste 3]])</f>
        <v>988</v>
      </c>
      <c r="G254" s="16"/>
      <c r="H254" s="16" t="s">
        <v>17</v>
      </c>
      <c r="I254" s="16" t="s">
        <v>8</v>
      </c>
      <c r="J254" s="17">
        <v>18581</v>
      </c>
      <c r="K254" s="17">
        <v>19027</v>
      </c>
      <c r="L254" s="17">
        <v>18813</v>
      </c>
      <c r="M254" s="17">
        <f>AVERAGE(Table143690117171225188190196208[[#This Row],[Teste 1]:[Teste 3]])</f>
        <v>18807</v>
      </c>
      <c r="N254" s="16"/>
      <c r="O254" s="16" t="s">
        <v>17</v>
      </c>
      <c r="P254" s="16" t="s">
        <v>8</v>
      </c>
      <c r="Q254" s="17">
        <v>16687</v>
      </c>
      <c r="R254" s="17">
        <v>17087</v>
      </c>
      <c r="S254" s="17">
        <v>16895</v>
      </c>
      <c r="T254" s="17">
        <f>AVERAGE(Table143690117171225188190196220[[#This Row],[Teste 1]:[Teste 3]])</f>
        <v>16889.666666666668</v>
      </c>
    </row>
    <row r="255" spans="1:20" x14ac:dyDescent="0.25">
      <c r="A255" s="16" t="s">
        <v>17</v>
      </c>
      <c r="B255" s="16" t="s">
        <v>9</v>
      </c>
      <c r="C255" s="17">
        <v>3225</v>
      </c>
      <c r="D255" s="17">
        <v>970</v>
      </c>
      <c r="E255" s="17">
        <v>2057</v>
      </c>
      <c r="F255" s="17">
        <f>AVERAGE(Table143690117171225188190196[[#This Row],[Teste 1]:[Teste 3]])</f>
        <v>2084</v>
      </c>
      <c r="G255" s="16"/>
      <c r="H255" s="16" t="s">
        <v>17</v>
      </c>
      <c r="I255" s="16" t="s">
        <v>9</v>
      </c>
      <c r="J255" s="17">
        <v>33006</v>
      </c>
      <c r="K255" s="17">
        <v>33940</v>
      </c>
      <c r="L255" s="17">
        <v>32247</v>
      </c>
      <c r="M255" s="17">
        <f>AVERAGE(Table143690117171225188190196208[[#This Row],[Teste 1]:[Teste 3]])</f>
        <v>33064.333333333336</v>
      </c>
      <c r="N255" s="16"/>
      <c r="O255" s="16" t="s">
        <v>17</v>
      </c>
      <c r="P255" s="16" t="s">
        <v>9</v>
      </c>
      <c r="Q255" s="17">
        <v>32335</v>
      </c>
      <c r="R255" s="17">
        <v>30479</v>
      </c>
      <c r="S255" s="17">
        <v>28959</v>
      </c>
      <c r="T255" s="17">
        <f>AVERAGE(Table143690117171225188190196220[[#This Row],[Teste 1]:[Teste 3]])</f>
        <v>30591</v>
      </c>
    </row>
    <row r="256" spans="1:20" x14ac:dyDescent="0.25">
      <c r="A256" s="16" t="s">
        <v>17</v>
      </c>
      <c r="B256" s="16" t="s">
        <v>11</v>
      </c>
      <c r="C256" s="17">
        <v>9498493</v>
      </c>
      <c r="D256" s="17">
        <v>9499178</v>
      </c>
      <c r="E256" s="17">
        <v>9500494</v>
      </c>
      <c r="F256" s="17">
        <f>AVERAGE(Table143690117171225188190196[[#This Row],[Teste 1]:[Teste 3]])</f>
        <v>9499388.333333334</v>
      </c>
      <c r="G256" s="16"/>
      <c r="H256" s="16" t="s">
        <v>17</v>
      </c>
      <c r="I256" s="16" t="s">
        <v>11</v>
      </c>
      <c r="J256" s="17">
        <v>9500219</v>
      </c>
      <c r="K256" s="17">
        <v>9499421</v>
      </c>
      <c r="L256" s="17">
        <v>9499844</v>
      </c>
      <c r="M256" s="17">
        <f>AVERAGE(Table143690117171225188190196208[[#This Row],[Teste 1]:[Teste 3]])</f>
        <v>9499828</v>
      </c>
      <c r="N256" s="16"/>
      <c r="O256" s="16" t="s">
        <v>17</v>
      </c>
      <c r="P256" s="16" t="s">
        <v>11</v>
      </c>
      <c r="Q256" s="17">
        <v>9501169</v>
      </c>
      <c r="R256" s="17">
        <v>9498720</v>
      </c>
      <c r="S256" s="17">
        <v>9500188</v>
      </c>
      <c r="T256" s="17">
        <f>AVERAGE(Table143690117171225188190196220[[#This Row],[Teste 1]:[Teste 3]])</f>
        <v>9500025.666666666</v>
      </c>
    </row>
    <row r="257" spans="1:20" x14ac:dyDescent="0.25">
      <c r="A257" s="16"/>
      <c r="B257" s="16"/>
      <c r="C257" s="17"/>
      <c r="D257" s="17"/>
      <c r="E257" s="17"/>
      <c r="F257" s="17"/>
      <c r="G257" s="16"/>
      <c r="H257" s="16"/>
      <c r="I257" s="16"/>
      <c r="J257" s="17"/>
      <c r="K257" s="17"/>
      <c r="L257" s="17"/>
      <c r="M257" s="17"/>
      <c r="N257" s="16"/>
      <c r="O257" s="16"/>
      <c r="P257" s="16"/>
      <c r="Q257" s="17"/>
      <c r="R257" s="17"/>
      <c r="S257" s="17"/>
      <c r="T257" s="17"/>
    </row>
    <row r="258" spans="1:20" x14ac:dyDescent="0.25">
      <c r="A258" s="16"/>
      <c r="B258" s="16"/>
      <c r="C258" s="17"/>
      <c r="D258" s="17"/>
      <c r="E258" s="17"/>
      <c r="F258" s="17"/>
      <c r="G258" s="16"/>
      <c r="H258" s="16"/>
      <c r="I258" s="16"/>
      <c r="J258" s="17"/>
      <c r="K258" s="17"/>
      <c r="L258" s="17"/>
      <c r="M258" s="17"/>
      <c r="N258" s="16"/>
      <c r="O258" s="16"/>
      <c r="P258" s="16"/>
      <c r="Q258" s="17"/>
      <c r="R258" s="17"/>
      <c r="S258" s="17"/>
      <c r="T258" s="17"/>
    </row>
    <row r="259" spans="1:20" x14ac:dyDescent="0.25">
      <c r="A259" s="16"/>
      <c r="B259" s="16"/>
      <c r="C259" s="17"/>
      <c r="D259" s="17"/>
      <c r="E259" s="17"/>
      <c r="F259" s="17"/>
      <c r="G259" s="16"/>
      <c r="H259" s="16"/>
      <c r="I259" s="16"/>
      <c r="J259" s="17"/>
      <c r="K259" s="17"/>
      <c r="L259" s="17"/>
      <c r="M259" s="17"/>
      <c r="N259" s="16"/>
      <c r="O259" s="16"/>
      <c r="P259" s="16"/>
      <c r="Q259" s="17"/>
      <c r="R259" s="17"/>
      <c r="S259" s="17"/>
      <c r="T259" s="17"/>
    </row>
  </sheetData>
  <phoneticPr fontId="1" type="noConversion"/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Workloads</vt:lpstr>
      <vt:lpstr>Load</vt:lpstr>
      <vt:lpstr>Workload A</vt:lpstr>
      <vt:lpstr>Workload B</vt:lpstr>
      <vt:lpstr>Workload C</vt:lpstr>
      <vt:lpstr>Workload D</vt:lpstr>
      <vt:lpstr>Workload E</vt:lpstr>
      <vt:lpstr>Workload F</vt:lpstr>
      <vt:lpstr>Workload G</vt:lpstr>
      <vt:lpstr>Workload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Carvalho</dc:creator>
  <cp:lastModifiedBy>Inês Carvalho</cp:lastModifiedBy>
  <dcterms:created xsi:type="dcterms:W3CDTF">2022-06-12T15:03:47Z</dcterms:created>
  <dcterms:modified xsi:type="dcterms:W3CDTF">2023-01-05T02:19:54Z</dcterms:modified>
</cp:coreProperties>
</file>