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workbookPr/>
  <workbookProtection/>
  <bookViews>
    <workbookView activeTab="0" autoFilterDateGrouping="1" firstSheet="0" minimized="0" showHorizontalScroll="1" showSheetTabs="1" showVerticalScroll="1" tabRatio="600" visibility="visible"/>
  </bookViews>
  <sheets>
    <sheet xmlns:r="http://schemas.openxmlformats.org/officeDocument/2006/relationships" name="Progression catalogage" sheetId="1" state="visible" r:id="rId1"/>
    <sheet xmlns:r="http://schemas.openxmlformats.org/officeDocument/2006/relationships" name="Directive INSPIRE" sheetId="2" state="visible" r:id="rId2"/>
    <sheet xmlns:r="http://schemas.openxmlformats.org/officeDocument/2006/relationships" name="Vecteurs" sheetId="3" state="visible" r:id="rId3"/>
    <sheet xmlns:r="http://schemas.openxmlformats.org/officeDocument/2006/relationships" name="Raster" sheetId="4" state="visible" r:id="rId4"/>
    <sheet xmlns:r="http://schemas.openxmlformats.org/officeDocument/2006/relationships" name="Services" sheetId="5" state="visible" r:id="rId5"/>
    <sheet xmlns:r="http://schemas.openxmlformats.org/officeDocument/2006/relationships" name="Ressources" sheetId="6" state="visible" r:id="rId6"/>
  </sheets>
  <definedNames>
    <definedName hidden="1" localSheetId="0" name="_xlnm._FilterDatabase">'Progression catalogage'!$A$1:$B$2</definedName>
    <definedName hidden="1" localSheetId="1" name="_xlnm._FilterDatabase">'Directive INSPIRE'!$A$1:$B$2</definedName>
    <definedName hidden="1" localSheetId="2" name="_xlnm._FilterDatabase">Vecteurs!$A$1:$AQ$58</definedName>
    <definedName hidden="1" localSheetId="3" name="_xlnm._FilterDatabase">Raster!$A$1:$AM$3</definedName>
    <definedName hidden="1" localSheetId="4" name="_xlnm._FilterDatabase">Services!$A$1:$AB$16</definedName>
    <definedName hidden="1" localSheetId="5" name="_xlnm._FilterDatabase">Ressources!$A$1:$X$2</definedName>
  </definedNames>
  <calcPr calcId="124519" fullCalcOnLoad="1"/>
</workbook>
</file>

<file path=xl/sharedStrings.xml><?xml version="1.0" encoding="utf-8"?>
<sst xmlns="http://schemas.openxmlformats.org/spreadsheetml/2006/main" uniqueCount="789">
  <si>
    <t>Titre</t>
  </si>
  <si>
    <t>Nom</t>
  </si>
  <si>
    <t>Résumé</t>
  </si>
  <si>
    <t>Emplacement</t>
  </si>
  <si>
    <t>Groupe de travail</t>
  </si>
  <si>
    <t>Mots-clés</t>
  </si>
  <si>
    <t>Thématique(s) INSPIRE</t>
  </si>
  <si>
    <t>Conformité INSPIRE</t>
  </si>
  <si>
    <t>Contexte de collecte</t>
  </si>
  <si>
    <t>Méthode de collecte</t>
  </si>
  <si>
    <t>Début de validité</t>
  </si>
  <si>
    <t>Fin de validité</t>
  </si>
  <si>
    <t>Fréquence de mise à jour</t>
  </si>
  <si>
    <t>Commentaire</t>
  </si>
  <si>
    <t>Création</t>
  </si>
  <si>
    <t># mises à jour</t>
  </si>
  <si>
    <t>Dernière mise à jour</t>
  </si>
  <si>
    <t>Publication</t>
  </si>
  <si>
    <t>Format (version - encodage)</t>
  </si>
  <si>
    <t>SRS (EPSG)</t>
  </si>
  <si>
    <t>Emprise</t>
  </si>
  <si>
    <t>Géométrie</t>
  </si>
  <si>
    <t>Résolution</t>
  </si>
  <si>
    <t>Echelle</t>
  </si>
  <si>
    <t># Objets</t>
  </si>
  <si>
    <t># Attributs</t>
  </si>
  <si>
    <t>Attributs (A-Z)</t>
  </si>
  <si>
    <t>Spécifications</t>
  </si>
  <si>
    <t>Cohérence topologique</t>
  </si>
  <si>
    <t>Conditions</t>
  </si>
  <si>
    <t>Limitations</t>
  </si>
  <si>
    <t># Contacts</t>
  </si>
  <si>
    <t>Points de contact</t>
  </si>
  <si>
    <t>Autres contacts</t>
  </si>
  <si>
    <t>Téléchargeable</t>
  </si>
  <si>
    <t>Visualisable</t>
  </si>
  <si>
    <t>Autres</t>
  </si>
  <si>
    <t>Editer</t>
  </si>
  <si>
    <t>Consulter</t>
  </si>
  <si>
    <t>MD - ID</t>
  </si>
  <si>
    <t>MD - Création</t>
  </si>
  <si>
    <t>MD - Modification</t>
  </si>
  <si>
    <t>MD - Langue</t>
  </si>
  <si>
    <t>Ecole maternelle publique - Nanterre</t>
  </si>
  <si>
    <t>Isogeo Demo</t>
  </si>
  <si>
    <t xml:space="preserve"> (NR - NR)</t>
  </si>
  <si>
    <t>NR (NR)</t>
  </si>
  <si>
    <t>54141f0f421b46fca21625a9c09cf7e3</t>
  </si>
  <si>
    <t>03/09/2018 (il y a 3 jours)</t>
  </si>
  <si>
    <t>Parkings - Corse</t>
  </si>
  <si>
    <t>e642c8aeb31e47639c9f0f57a8ce9880</t>
  </si>
  <si>
    <t>Vignobles - France métropolitaine</t>
  </si>
  <si>
    <t>magosm.france_vineyards_grapes_polygon</t>
  </si>
  <si>
    <t>Extrait quotidien des vignobles en France métropolitaine présents dans la base de données ouverte et collaborative OpenStreetMap (OSM) [1].
**Modèle de données**
Les attributs OSM utilisés pour filtrer la donnée sont :
* landuse=vineyard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vignobles** sur la page Wiki OSM - Tag:landuse=vineyard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https://wiki.openstreetmap.org/wiki/Tag:landuse%3Dvineyard
[3] https://wiki.openstreetmap.org/wiki/FR:%C3%89l%C3%A9ments_cartographiques
[4] https://taginfo.openstreetmap.org</t>
  </si>
  <si>
    <t>magosm</t>
  </si>
  <si>
    <t>Magellium</t>
  </si>
  <si>
    <t>données collaboratives ;
données ouvertes ;
france métropolitaine ;
magOSM ;
magellium ;
occupation des sols ;
open data ;
openstreetmap ;
osm</t>
  </si>
  <si>
    <t>Occupation des terres ;
Sites protégés ;
Sols ;
Usage des sols</t>
  </si>
  <si>
    <t>Plus d'informations sur le service **magOSM** dans les fiches descriptives des services "Service WMS magOSM" et "Service WFS magOSM" du catalogue magOSM.</t>
  </si>
  <si>
    <t>P1D</t>
  </si>
  <si>
    <t>02/11/2017</t>
  </si>
  <si>
    <t>WGS 84 / Pseudo-Mercator (3857)</t>
  </si>
  <si>
    <t>[-5.17470072756394, 41.3331910111632]
[-5.17470072756394, 51.1133479121002]</t>
  </si>
  <si>
    <t>Polygon</t>
  </si>
  <si>
    <t xml:space="preserve"> CLC-id (False) ;
 CLC-shapeId (False) ;
CLC-code (False) ;
CLC-date (False) ;
CLC-explanation (False) ;
CLC-year (False) ;
crop (False) ;
description (False) ;
grape_variety (False) ;
harvest_first_year (False) ;
landuse (False) ;
magosm_id (False) ;
name (False) ;
operator (False) ;
organic (False) ;
osm_changeset (False) ;
osm_id (False) ;
osm_timestamp (False) ;
osm_uid (False) ;
osm_user (False) ;
osm_version (False) ;
ref (False) ;
source_ref (False) ;
type (False) ;
vine_row_orientation (False) ;
vineyard-locality (False) ;
website (False) ;
wikidata (False) ;
wikipedia (False)</t>
  </si>
  <si>
    <t>La cohérence n'a pas été évaluée</t>
  </si>
  <si>
    <t>ODbL 1.0 - Open Database Licence © les contributeurs d’OpenStreetMap http://www.openstreetmap.org/copyright
Ces données sont produites collaborativement sous licence ODbL qui impose un partage à l'identique et la mention d'attribution "© les contributeurs d'OpenStreetMap sous licence ODbL" conformément à http://osm.org/copyright.  http://vvlibri.org/fr/licence/odbl/10/fr</t>
  </si>
  <si>
    <t>Magellium (magosm@magellium.fr)</t>
  </si>
  <si>
    <t>df1ca395cc2e46b79441a391ea94707c</t>
  </si>
  <si>
    <t>22/08/2018 (il y a 15 jours)</t>
  </si>
  <si>
    <t>fr</t>
  </si>
  <si>
    <t>parkings_disneyland</t>
  </si>
  <si>
    <t>\\NAS.hq.isogeo.fr\SIG\GeoServer\data_dir\data\shapefiles\MC_DECRYPTAGEO_2017\parkings_disneyland.shp</t>
  </si>
  <si>
    <t>démonstration</t>
  </si>
  <si>
    <t>Sols</t>
  </si>
  <si>
    <t>ESRI Shapefile (NR - NR)</t>
  </si>
  <si>
    <t>[2.750807, 48.8571106000084]
[2.763513, 48.8786996000083]</t>
  </si>
  <si>
    <t>@id (False) ;
access (False) ;
addr_city (False) ;
addr_house (False) ;
addr_postc (False) ;
addr_stree (False) ;
amenity (False) ;
barrier (False) ;
building (False) ;
capacity (False) ;
capacity_d (False) ;
capacity_p (False) ;
capacity_w (False) ;
comment (False) ;
descriptio (False) ;
fee (False) ;
fixme (False) ;
id (False) ;
level (False) ;
maxheight (False) ;
maxstay (False) ;
maxweight (False) ;
name (False) ;
name_fr (False) ;
note_fr (False) ;
opening_ho (False) ;
operator (False) ;
park_ride (False) ;
parking (False) ;
parking_sp (False) ;
phone (False) ;
ref (False) ;
source (False) ;
supervised (False) ;
surface (False) ;
website (False) ;
wheelchair (False)</t>
  </si>
  <si>
    <t>c77d7c8a45224ebf8032c43dbde82768</t>
  </si>
  <si>
    <t>06/06/2018 (il y a 3 mois)</t>
  </si>
  <si>
    <t>28/08/2018 (il y a 9 jours)</t>
  </si>
  <si>
    <t>Etude des sols sur la commune d'Ahuillé en Mayenne</t>
  </si>
  <si>
    <t>Etude des sols réalisée sur la commune d'Ahuillé située dans le département de la Mayenne - PROGRAMME 2007- bureau d'études GES.</t>
  </si>
  <si>
    <t>ahuillé ;
cartes pédologiques ;
cd53 ;
grand public ;
mayenne ;
pédologie ;
types de sols ;
études pédologiques</t>
  </si>
  <si>
    <t>Précision du document : 1 sondage par ha.
Compléments nécessaires pour toute utilisation à une échelle supérieure.</t>
  </si>
  <si>
    <t>01/06/2008</t>
  </si>
  <si>
    <t>28/12/2015</t>
  </si>
  <si>
    <t>ESRI ArcSDE Geodatabase (10.3 - utf-8)</t>
  </si>
  <si>
    <t>RGF93 / Lambert-93 (2154)</t>
  </si>
  <si>
    <t>[-0.927734214996044, 47.9842510700273]
[-0.927734214996044, 48.0603698941327]</t>
  </si>
  <si>
    <t>Guide INSPIRE sur les sols 10/12/2013  - Non conforme</t>
  </si>
  <si>
    <t>CU geomayenne.fr . Conditions d'utilisation associées au téléchargement des données de "geomayenne.fr" :
* Respecter les droits de propriété intellectuelle en mentionnant la source et la date de dernière mise à jour,
* Utilisation sous la pleine responsabilité de l'utilisateur qui apprécie l'adéquation de la donnée avec ses besoins. https://www.geomayenne.fr/fichiers/CGU/CU_geomayenne_fr.pdf</t>
  </si>
  <si>
    <t xml:space="preserve">Légale Pas de restriction d’accès public selon INSPIRE. Licence  </t>
  </si>
  <si>
    <t>Département de la Mayenne - Direction du développement durable et de la mobilité - Direction de l'environnement - Pédologie (pedologie@lamayenne.fr)</t>
  </si>
  <si>
    <t>843a6c6ea9a140d887f834654fdb04bc</t>
  </si>
  <si>
    <t>25/05/2018 (il y a 4 mois)</t>
  </si>
  <si>
    <t>Bornes WiFi public - Ville de Dijon</t>
  </si>
  <si>
    <t>Localisation des bornes WiFi public de la ville de Dijon.</t>
  </si>
  <si>
    <t>Dijon Métropole ;
dsi ;
informatique ;
ville de dijon ;
wifi</t>
  </si>
  <si>
    <t>01/09/2017</t>
  </si>
  <si>
    <t>22/09/2017</t>
  </si>
  <si>
    <t>ESRI ArcSDE Geodatabase (10.5 - utf-8)</t>
  </si>
  <si>
    <t>RGF93 / CC47 (3947)</t>
  </si>
  <si>
    <t>[5.00089599990021, 47.3009057010771]
[5.00089599990021, 47.351263000431]</t>
  </si>
  <si>
    <t>ODbL 1.0 - Open Database Licence .  http://vvlibri.org/fr/licence/odbl/10/fr</t>
  </si>
  <si>
    <t>Dijon - Pôle SIG (support-sig@grand-dijon.fr)</t>
  </si>
  <si>
    <t>131738aa60d242a78f80ba338cf907cc</t>
  </si>
  <si>
    <t>Trafics routiers sur les routes départementales de la Mayenne</t>
  </si>
  <si>
    <t>ROUTES_TRAFICS_ROUTIERS</t>
  </si>
  <si>
    <t>La banque de données des trafics routiers recense les quantités de véhicules motorisés (véhicules légers et poids-lourds) dans les deux sens de circulation cumulés des infrastructures routières gérées par le Département de la Mayenne.</t>
  </si>
  <si>
    <t>\\TORCY.hq.isogeo.fr\Data\SIG\SIG_DATA_SERVICE\DEMO\Geomayenne\ROUTES_TRAFICS_ROUTIERS.shp</t>
  </si>
  <si>
    <t>cd53 ;
comptages routiers ;
grand public ;
mayenne ;
mja ;
moyennes journalières annuelles ;
poids lourds ;
rd ;
routes départementales ;
réseaux routiers ;
trafics routiers ;
véhicules</t>
  </si>
  <si>
    <t>Réseaux de transport</t>
  </si>
  <si>
    <t>Relevés de terrain, mesurés par par des appareils de comptage, en référence au point de repère (PR). 
Données évolutives périodiques.</t>
  </si>
  <si>
    <t>P1Y</t>
  </si>
  <si>
    <t>31/12/2010</t>
  </si>
  <si>
    <t>04/04/2018</t>
  </si>
  <si>
    <t>ESRI Shapefile (1.0 - utf-8)</t>
  </si>
  <si>
    <t>[-1.23514173532433, 47.7358170079663]
[-1.23514173532433, 48.5580105097564]</t>
  </si>
  <si>
    <t>LineString</t>
  </si>
  <si>
    <t>absdeb (False) ;
absfin (False) ;
prdeb (False) ;
prfin (False) ;
st_length_ (False) ;
traf_an (False) ;
traf_comp (False) ;
traf_majtv (False) ;
traf_nbrep (False) ;
traf_pl (False) ;
traf_rte (False) ;
traf_type (False)</t>
  </si>
  <si>
    <t>Guide INSPIRE sur les réseaux de transport 03/05/2010  - Non conforme</t>
  </si>
  <si>
    <t>Consistency has not been evaluated</t>
  </si>
  <si>
    <t>Département de la Mayenne - Direction des infrastructures - Direction routes et rivière - Service gestion, exploitation routes et rivière (rudy.pointeau@lamayenne.fr)</t>
  </si>
  <si>
    <t>9b463d9c44264b68854a7425020a4671</t>
  </si>
  <si>
    <t>16/04/2018 (il y a 5 mois)</t>
  </si>
  <si>
    <t>20/04/2018 (il y a 5 mois)</t>
  </si>
  <si>
    <t>Zonages des documents d'urbanisme de Lorient Agglomération</t>
  </si>
  <si>
    <t>zone_urba</t>
  </si>
  <si>
    <t>Zonages des POS (Plan d'Occupation des Sols) et des PLU (Plan Local d'Urbanisme) des 25 communes membres de Lorient Agglomération.
Les zonages couvrent l'intégralité du territoire communal à l'exception des secteurs couverts par un Plan de Sauvegarde et de Mise en Valeur.
Le Code de l'urbanisme définit 4 grands types de zones (R.123-5 à 8) : les zones urbaines (U), à urbaniser (AU), agricoles (A) ou naturelles et forestières (N). 
Chaque zonage est attaché à un règlement écrit fixant des règles différentes selon la destination des constructions (R.123-9).
Cette base de données agrège les données communales qui sont conformes aux Prescriptions Nationales du CNIG (Conseil National de l'Information Géographique).</t>
  </si>
  <si>
    <t>\\TORCY.hq.isogeo.fr\Data\SIG\SIG_DATA_SERVICE\DEMO\Lorient Agglomeration\zone_urba.shp</t>
  </si>
  <si>
    <t>aménagement urbanisme/zonages planification ;
documents d'urbanisme ;
données ouvertes ;
dpds ;
géoportail de l'urbanisme ;
plans locaux d'urbanisme ;
plu ;
urbanisme ;
urbanisme et foncier : planification et documents d'urbanisme ;
zonages</t>
  </si>
  <si>
    <t>Usage des sols</t>
  </si>
  <si>
    <t>La mission SIG (Système d'Information Géographique) travaille les données des communes afin qu'elles puissent être conformes aux standards National et Européen et les agrège sur l'ensemble de l'agglomération.
Les zonages sont des secteurs auxquels s'applique un règlement particulier correspondant aux objectifs fixés par le document d'urbanisme issu des différentes études menées sur le territoire par les communes, les services de Lorient Agglomération et/ou les bureaux d'études.
Sources : Lorient Agglomération, DDTM, communes membres, bureaux d'études.</t>
  </si>
  <si>
    <t>Numérisation à partir du référentiel cadastre (PCI Vecteur).
Un zonage est généralement un agrégat de parcelles cadastrales.</t>
  </si>
  <si>
    <t>P3M</t>
  </si>
  <si>
    <t>21/12/2013</t>
  </si>
  <si>
    <t>05/04/2018</t>
  </si>
  <si>
    <t>RGF93 / CC48 (3948)</t>
  </si>
  <si>
    <t>[-3.5410691877375, 47.6200634106975]
[-3.5410691877375, 48.0348476542387]</t>
  </si>
  <si>
    <t>datappro (False) ;
datvalid (False) ;
destdomi (False) ;
destdomi2 (False) ;
id (False) ;
insee (False) ;
libelle (False) ;
libelong (False) ;
nomfic (False) ;
typezone (False) ;
urlfic (False)</t>
  </si>
  <si>
    <t>CNIG PLU v2014 02/10/2014 http://cnig.gouv.fr/wp-content/uploads/2016/08/141002_Standard_CNIG_PLU.pdf - Conforme</t>
  </si>
  <si>
    <t>Licence ouverte ETALAB 1.0 .  http://www.etalab.gouv.fr/licence-ouverte-open-licence</t>
  </si>
  <si>
    <t xml:space="preserve">Légale Les données sont propriétés des communes de Lorient Agglomération.
Lorient agglomération assure le rôle de délégataire technique pour le compte des communes.. Droits de propriété intellectuelle  </t>
  </si>
  <si>
    <t>Mission SIG (sig@agglo-lorient.fr)</t>
  </si>
  <si>
    <t>1bed96bbd4d7438383c3465ff5429a07</t>
  </si>
  <si>
    <t>Cartographie des points d'apport volontaires de Lorient Agglomération</t>
  </si>
  <si>
    <t>pt_pav</t>
  </si>
  <si>
    <t>Lorient Agglomération entretient une base de données dans le Système d’Information Géographique (SIG) décrivant l’espace public dans son organisation et dans ses usages (localisation des écoles, des équipements publics, des ports, des accès à la mer, contour des espaces naturels gérés par Lorient Agglomération, production des PLU, référentiels bathymétriques, adresses, vue aérienne  du territoire, vues aériennes anciennes, accessibilité des équipements, zones de baignades, postes de secours, emplacement des déchetteries, les zones d’activités etc…).
Cette base de données SIG qui est un bien commun demande à être pérennisée et enrichie afin de poursuivre l'amélioration de la connaissance du territoire. 
Il existe de très nombreux points de collectes ou vous déposez les papiers (journaux, magazines, revues, courriers et enveloppes), le verre et les vêtements. Cette base de données vous permettra de les géolocaliser.</t>
  </si>
  <si>
    <t>\\TORCY.hq.isogeo.fr\Data\SIG\SIG_DATA_SERVICE\DEMO\Lorient Agglomeration\pt_pav.shp</t>
  </si>
  <si>
    <t>Points d'apport volontaires ;
collecte ;
dgvd ;
igt ;
lorient agglomération ;
pav</t>
  </si>
  <si>
    <t>Services d'utilité publique et services publics</t>
  </si>
  <si>
    <t>Traitement des données en collaboration avec la Direction cadre vie déchets de Lorient Agglomération. Repérage sur site lors des tournées.</t>
  </si>
  <si>
    <t>Repérage des points de collectes à partir de la photographie aérienne 20 cm  2016</t>
  </si>
  <si>
    <t>23/12/2016</t>
  </si>
  <si>
    <t>[-3.52825964839117, 47.6260736797232]
[-3.52825964839117, 48.0223249300505]</t>
  </si>
  <si>
    <t>Point</t>
  </si>
  <si>
    <t>id_fourni (False) ;
id_pav (False) ;
id_troncon (False) ;
id_volume (False) ;
lib_pav (False) ;
papier (False) ;
textile (False) ;
verre (False)</t>
  </si>
  <si>
    <t xml:space="preserve">Légale Données du bien commun des 25 communes de Lorient Agglomération. Une licence spécifique de partage est en cours de rédaction. Ces données seront donc échangées sous réserve de l'accord écrit de Lorient Agglomération.. Autre  </t>
  </si>
  <si>
    <t>Lorient Agglomération (sig@agglo-lorient.fr)</t>
  </si>
  <si>
    <t>06ab0ac5dfc4444c9c0d15cd42ba33cd</t>
  </si>
  <si>
    <t>04/06/2018 (il y a 3 mois)</t>
  </si>
  <si>
    <t>Accès à la mer de Lorient Agglomération</t>
  </si>
  <si>
    <t>accès_mer</t>
  </si>
  <si>
    <t>Le diagnostic des cales met en évidence les contraintes relatives à chaque site, et les problèmes posés pour la mise à l'eau des embarcations légères.
Le recensement des cales a été effectué aux mois de juin et juillet 2003 et mise à jour en 2012 sur les communes de Guidel, Ploemeur, Larmor-Plage, Lorient, Lanester, Hennebont, Kervignac, Locmiquélic, Port-Louis, Riantec, Gâvres et Groix.
Chaque site fait l'objet d'une fiche de présentation.
Cette étude s’inscrit dans le schéma de développement cohérent des équipements de plaisance mené par Lorient Agglomération.
Réalisée en concertation avec Gilles Dornic (Pôle AET), par Erwann LE CORNEC (Bureau d'étude Géos) et Sylvaine DUCEUX (Géoconsult) avec la participation de Emmanuel Jahan (stagiaire) avec la collaboration du Service Maritime de Lorient, Mr Le LAN, Mme Dimeet, Mme Junker, Mr Le Jars, Mr Le Quillieuc, Mr Orsini, et Mr Palletier.
Mise à jour en juillet 2012 par Pauline DESDISE (stagiaire SIG au pôle AET de Lorient Agglomération).</t>
  </si>
  <si>
    <t>\\TORCY.hq.isogeo.fr\Data\SIG\SIG_DATA_SERVICE\DEMO\Lorient Agglomeration\accès_mer.shp</t>
  </si>
  <si>
    <t>cales ;
données ouvertes ;
duo ;
littoral ;
lorient agglomération ;
mer ;
mobilité transport : transport maritime et fluvial</t>
  </si>
  <si>
    <t>Travail de terrain du bureau d'étude GEOS en collaboration avec le bureau d'étude GEOCONSULT pour la structuration des données SIG.</t>
  </si>
  <si>
    <t>Numérisation sur fond Ortho 20cm numérique e-mégalis Bretagne 2010</t>
  </si>
  <si>
    <t>P2Y</t>
  </si>
  <si>
    <t>01/01/0001</t>
  </si>
  <si>
    <t>18/12/2014</t>
  </si>
  <si>
    <t>[-3.52879655219845, 47.6262076000154]
[-3.52879655219845, 47.8057996153151]</t>
  </si>
  <si>
    <t>ACCES (False) ;
COM (False) ;
DATE (False) ;
DEPT (False) ;
ETAT (False) ;
GMRotation (False) ;
HBM (False) ;
ID_CALE (False) ;
INSEE (False) ;
LARGEUR (False) ;
LIEU_DIT (False) ;
LONGUEUR (False) ;
MANOEUVRE (False) ;
MATERIAU (False) ;
MBM (False) ;
NCC (False) ;
PARKING (False) ;
PENTE (False) ;
REMARQUE (False) ;
STATUT (False)</t>
  </si>
  <si>
    <t xml:space="preserve">Légale Pas de restriction d’accès public selon INSPIRE. Licence   ;
Légale Cabinet d'étude GEOS, Géoconsult. Droits de propriété intellectuelle  </t>
  </si>
  <si>
    <t>4a130fe959d6447d9b7dc7a472351da6</t>
  </si>
  <si>
    <t>Cartographie des itinéraires de randonnées de Lorient Agglomération</t>
  </si>
  <si>
    <t>vue_sch_rando</t>
  </si>
  <si>
    <t>Données de référence réalisées à partir des plans touristiques, des différentes études menées lors de la révision générale des plans locaux d'urbanisme et par le pôle développement dans le cadre de ses missions.
* Pérenniser et valoriser les itinéraires de randonnées pédestres et cyclables
Lorient Agglomération offre une cartographie schématique des itinéraires de
randonnées pédestres et cyclables recensés sur le territoire.
Il convient désormais de pérenniser et de valoriser ce réseau
en communiquant davantage sur les itinéraires, notamment grâce aux cartes et fiches
réalisées par Lorient Agglomération à l’exemple du « guide rando » diffusé en 2010 qui
propose plus de 300 km de randonnées pédestres.
Les objectifs :
* Valoriser la pratique de la marche et du vélo loisir.
* Pérenniser les itinéraires via un entretien régulier.
* Faire connaître d'éventuels itinéraires (sous réserve des autorisations nécessaires).</t>
  </si>
  <si>
    <t>\\TORCY.hq.isogeo.fr\Data\SIG\SIG_DATA_SERVICE\DEMO\Lorient Agglomeration\vue_sch_rando.shp</t>
  </si>
  <si>
    <t>données ouvertes ;
lorient agglomération ;
mission sig ;
mobilité transport : modes actifs ;
patrimoine tourisme loisirs : tourisme et loisirs ;
randonnées ;
sentiers de randonnées</t>
  </si>
  <si>
    <t>Reprise des plans touristiques et des études PLU.
Travail terrain réalisé par le pôle développement.
Identification des différentes sources de données au niveau des attributs.</t>
  </si>
  <si>
    <t>Recalage des itinéraires sur ortho 2016 et sur le référentiel tronçons voiries</t>
  </si>
  <si>
    <t>P1M</t>
  </si>
  <si>
    <t>30/03/2017</t>
  </si>
  <si>
    <t>[-3.53793030757409, 47.6201452289671]
[-3.53793030757409, 48.0099459760108]</t>
  </si>
  <si>
    <t>coddep (False) ;
coderando (False) ;
codereg (False) ;
id (False) ;
insee (False) ;
liberando (False) ;
long (False) ;
ncc (False) ;
pdipr (False) ;
source (False)</t>
  </si>
  <si>
    <t xml:space="preserve">Légale Bien commun de Lorient Agglomération et des communes
Diffusion dans les 25 communes uniquement. Droits de propriété intellectuelle  </t>
  </si>
  <si>
    <t>e4a1e2277f5f404a8ad6fec8fc042dae</t>
  </si>
  <si>
    <t>Ateliers utilisateurs Isogeo - Cartothèque - Plugin QGIS</t>
  </si>
  <si>
    <t>Après une première expérience réussie lors de notre journée de Noël, nous souhaitons poursuivre cette démarche de réflexion collaborative sur le futur de nos produits au travers d’ateliers utilisateurs.
Mais, un atelier utilisateurs, qu’est-ce que c’est ? C’est une demi-journée de travail dans nos locaux sur  notre feuille de route. Le point de départ est le partage de notre vision sur un de nos produits, existant ou à venir. Le but étant de la confronter avec l’expression des besoins d’un groupe de 5 à 10 utilisateurs, dans une ambiance de travail conviviale.
Nous vous invitons donc à participer aux 2è et 3è ateliers le 16 mai prochain.
Au programme :
* matin : design de la future cartothèque
* après-midi : évolution du plugin Isogeo pour QGIS 3
Merci de me confirmer votre présence avant le 23 avril en indiquant vos choix d’ateliers.</t>
  </si>
  <si>
    <t>26 rue du faubourg Saint-Antoine, 75012 Paris</t>
  </si>
  <si>
    <t>QGIS ;
ateliers ;
cartothèque ;
isogeo ;
plugin ;
utilisateurs ;
événements</t>
  </si>
  <si>
    <t>Animation du réseau des utilisateurs d'Isogeo (Community Management).
Spécification d'une nouvelle application de la plateforme Isogeo dédiée à la valorisation des cartes statiques et interactives et d'une nouvelle version du plugin Isogeo pour QGIS 3</t>
  </si>
  <si>
    <t>Sélection des utilisateurs du plugin QGIS et des utilisateurs et prospects ayant manifesté un intérêt pour une cartothèque.</t>
  </si>
  <si>
    <t>16/04/2018</t>
  </si>
  <si>
    <t>16/05/2018</t>
  </si>
  <si>
    <t>12/04/2017</t>
  </si>
  <si>
    <t>SDF (1.5 - utf-8)</t>
  </si>
  <si>
    <t>[2.369377613067627, 48.85136094198671]
[2.369377613067627, 48.85383884660984]</t>
  </si>
  <si>
    <t>10h - 12h (True) ;
12h - 14h (True) ;
14h - 16h (True) ;
9h30 - 10h (True)</t>
  </si>
  <si>
    <t>Charte des événements Isogeo 07/11/2017 https://open.isogeo.com/s/c502e8f7c9da4c3aacdf3d905672d54c/Q4SvPfiIIslbdwkbWRFJLk7XWo4G0/r/eeeb7a31c27145e2a3c0f08415f38aed - Conforme</t>
  </si>
  <si>
    <t xml:space="preserve">Pas de licence associée Être utilisateur Isogeo, actuel ou futur.  </t>
  </si>
  <si>
    <t>Clotilde Pinault (clotilde.pinault@isogeo.fr)</t>
  </si>
  <si>
    <t>Isogeo (contact@isogeo.com) ;
Valentin Blanlot (valetin.Blanlot@isogeo.fr)</t>
  </si>
  <si>
    <t>438df175d411431d865faa37e46394eb</t>
  </si>
  <si>
    <t>11/04/2018 (il y a 5 mois)</t>
  </si>
  <si>
    <t>13/04/2018 (il y a 5 mois)</t>
  </si>
  <si>
    <t>Etude des sols sur la commune de Montourtier en Mayenne</t>
  </si>
  <si>
    <t>Etude des sols réalisée sur la commune de Montourtier située dans le département de la Mayenne - PROGRAMME 1981- bureau d'études ERPA.</t>
  </si>
  <si>
    <t>Montourtier ;
cartes pédologiques ;
cd53 ;
grand public ;
mayenne ;
pédologie ;
types de sols ;
études pédologiques</t>
  </si>
  <si>
    <t>16/06/1981</t>
  </si>
  <si>
    <t>30/03/2016</t>
  </si>
  <si>
    <t>ESRI ArcSDE Geodatabase (10.2 - utf-8)</t>
  </si>
  <si>
    <t>[-0.583702432335635, 48.1889937293693]
[-0.583702432335635, 48.2338872968479]</t>
  </si>
  <si>
    <t xml:space="preserve"> acad_text (True) ;
code_insee (True) ;
cri_com (True) ;
hydromor (True) ;
profondeur (True) ;
substrat (True) ;
type_sol (True)</t>
  </si>
  <si>
    <t>Légale . Autre Aucun des articles de la loi ne peut être invoqué pour justifier d’une restriction d’accès public. Pas de restriction d’accès public selon INSPIRE</t>
  </si>
  <si>
    <t>21ff7c146e4e4f0d9934311f6d3ef7fe</t>
  </si>
  <si>
    <t>05/04/2018 (il y a 5 mois)</t>
  </si>
  <si>
    <t>Journée de Noël - Isogeo - 2017</t>
  </si>
  <si>
    <t>Qu’est ce qui rime le mieux avec fêtes de fin d’année ?
Métadonnées bien sûr ! (ou métadamnées pour la rime riche)
Pour faire le point sur le travail accompli l’année écoulée, que ce soit celui des utilisateurs en termes de catalogage ou celui d'Isogeo en termes de développement et de projets, nous avons pensé à convier certains de nos clients à une matinée de bilan et d’échanges.
L’objectif est de faire un bilan sur les dernières évolutions et utilisations de la plateforme, afin de préparer les usages et nouveautés de demain.
Pour être sûrs d’avoir toute l'attention et votre intérêt, Isogeo vous invite bien sûr à conclure cette session par un buffet, après avoir décerné les Isogeo Awards.
Inscription avant le 1er décembre.</t>
  </si>
  <si>
    <t>isogeo ;
noël ;
utilisateurs ;
événements</t>
  </si>
  <si>
    <t>Animation du réseau des utilisateurs d'Isogeo (Community Management).</t>
  </si>
  <si>
    <t>Sélection des 10 utilisateurs les plus impliqués dans Isogeo à partir des métriques de la plateforme, de la relation client et de l'historique.</t>
  </si>
  <si>
    <t>20/12/2017</t>
  </si>
  <si>
    <t>07/11/2017</t>
  </si>
  <si>
    <t>SDF (1.5 - utf-16)</t>
  </si>
  <si>
    <t>[2.3687124252319336, 48.85109220059128]
[2.3687124252319336, 48.853972503867666]</t>
  </si>
  <si>
    <t>09h00 - 09h30 (True) ;
09h30 - 10h00 (True) ;
10h00 - 10h45 (True) ;
10h45 - 11h30 (True) ;
11h30 - 11h40 (True) ;
11h40 - 12h10 (True) ;
12h10 - 12h30 (True)</t>
  </si>
  <si>
    <t xml:space="preserve">Pas de licence associée Être client Isogeo.  </t>
  </si>
  <si>
    <t xml:space="preserve">Sécurité Cahiers de recette et/ou de doléance interdits..   </t>
  </si>
  <si>
    <t>Julien MOURA (julien.moura@isogeo.com) ;
Isogeo (contact@isogeo.com)</t>
  </si>
  <si>
    <t>708efe7f66634b6ca8119b5b083c3746</t>
  </si>
  <si>
    <t>07/11/2017 (il y a 10 mois)</t>
  </si>
  <si>
    <t>08/11/2017 (il y a 10 mois)</t>
  </si>
  <si>
    <t>Emprises des bâtiments - France métropolitaine</t>
  </si>
  <si>
    <t>magosm.france_buildings_polygon</t>
  </si>
  <si>
    <t>Extrait quotidien des **bâtiments** en France métropolitaine présentes dans la base de données ouverte et collaborative OpenStreetMap (OSM) [1].
**Modèle de données**
Les attributs OSM utilisés pour filtrer la donnée sont :
* building=*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cliniques** sur la page Wiki OSM - FR:Tag:building=*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https://wiki.openstreetmap.org/wiki/FR:Key:building
[3] https://wiki.openstreetmap.org/wiki/FR:%C3%89l%C3%A9ments_cartographiques
[4] https://taginfo.openstreetmap.org</t>
  </si>
  <si>
    <t>bâtiments ;
données collaboratives ;
données ouvertes ;
france métropolitaine ;
magOSM ;
magellium ;
open data ;
openstreetmap ;
osm ;
urbain</t>
  </si>
  <si>
    <t>Bâtiments</t>
  </si>
  <si>
    <t>05/06/2018</t>
  </si>
  <si>
    <t>[-5.13989397474475, 48.4487199105689]
[-5.13982444514175, 48.4516937982491]</t>
  </si>
  <si>
    <t>addr-city (False) ;
addr-housename (False) ;
addr-housenumber (False) ;
addr-postcode (False) ;
addr-street (False) ;
amenity (False) ;
building (False) ;
building-levels (False) ;
building-material (False) ;
building-use (False) ;
description (False) ;
height (False) ;
name (False) ;
opening_hours (False) ;
operator (False) ;
osm_changeset (False) ;
osm_id (False) ;
osm_timestamp (False) ;
osm_uid (False) ;
osm_user (False) ;
osm_version (False) ;
religion (False) ;
roof-colour (False) ;
roof-levels (False) ;
roof-material (False) ;
roof-orientation (False) ;
start_date (False) ;
wall (False) ;
wheelchair (False) ;
wikidata (False) ;
wikipedia (False)</t>
  </si>
  <si>
    <t>c2c70bfc443a456d89f169633d74c73d</t>
  </si>
  <si>
    <t>06/11/2017 (il y a 10 mois)</t>
  </si>
  <si>
    <t>27/06/2018 (il y a 3 mois)</t>
  </si>
  <si>
    <t>Occupation du sol - France métropolitaine</t>
  </si>
  <si>
    <t>magosm.france_landuses_naturals_polygon</t>
  </si>
  <si>
    <t>Extrait quotidien d'éléments d'**occupation du sol** naturels et artificiels en France métropolitaine présentes dans la base de données ouverte et collaborative OpenStreetMap (OSM) [1].
Ne sont pas inclus les bâtiments et les cours d'eau.
**Modèle de données**
Les attributs OSM utilisés pour filtrer la donnée sont :
* landuse=*
* natural=*
* wood = *
* leisure = *
* tourisme=*
* aeroway=*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différents usages du sol** sur la page Wiki OSM - Land use and areas of natural land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https://wiki.openstreetmap.org/wiki/Land_use_and_areas_of_natural_land
[3] https://wiki.openstreetmap.org/wiki/FR:%C3%89l%C3%A9ments_cartographiques
[4] https://taginfo.openstreetmap.org</t>
  </si>
  <si>
    <t>données collaboratives ;
données ouvertes ;
forêts ;
france métropolitaine ;
magOSM ;
magellium ;
occupation des sols ;
open data ;
openstreetmap ;
osm</t>
  </si>
  <si>
    <t>22/08/2018</t>
  </si>
  <si>
    <t>[-7.90545459495738, 43.671389477418]
[-7.90540833172025, 43.6715267720279]</t>
  </si>
  <si>
    <t>CLC-code (False) ;
CLC-explanation (False) ;
CLC-id (False) ;
CLC-year (False) ;
addr-city (False) ;
addr-postcode (False) ;
addr-street (False) ;
aeroway (False) ;
barrier (False) ;
circumference (False) ;
crop (False) ;
denotation (False) ;
genus (False) ;
golf (False) ;
height (False) ;
hiking (False) ;
information (False) ;
landuse (False) ;
leaf_cycle (False) ;
leaf_type (False) ;
leisure (False) ;
meadow (False) ;
name (False) ;
name-botanical (False) ;
natural (False) ;
operator (False) ;
osm_changeset (False) ;
osm_id (False) ;
osm_timestamp (False) ;
osm_uid (False) ;
osm_user (False) ;
osm_version (False) ;
place (False) ;
ref (False) ;
ref-corine_land_cover (False) ;
residential (False) ;
seasonal (False) ;
source_ref (False) ;
species (False) ;
sport (False) ;
surface (False) ;
tidal (False) ;
tourism (False) ;
water (False) ;
website (False) ;
wetland (False) ;
wikidata (False) ;
wikipedia (False) ;
wood (False)</t>
  </si>
  <si>
    <t>d14edc3925684255847b0bc155c18bc3</t>
  </si>
  <si>
    <t>Réseau routier - France métropolitaine</t>
  </si>
  <si>
    <t>magosm.france_highways_line</t>
  </si>
  <si>
    <t>Extrait quotidien du **réseau routier** en France métropolitaine présentes dans la base de données ouverte et collaborative OpenStreetMap (OSM) [1].
**Modèle de données**
Les attributs OSM utilisés pour filtrer la donnée sont :
* highway = motorway
* highway = trunk
* highway = primary
* highway = secondary
* highway = tertiary
* highway = motorway_link / trunk_link / primary_link / secondary_link / tertiary_link / motorway_link
* highway = unclassified
* highway = residential
* highway = service
* highway = pedestrian
* highway = living_street
* highway = track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autoroutes** sur la page Wiki OSM - FR:France roads tagging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https://wiki.openstreetmap.org/wiki/FR:France_roads_tagging
[3] https://wiki.openstreetmap.org/wiki/FR:%C3%89l%C3%A9ments_cartographiques
[4] https://taginfo.openstreetmap.org</t>
  </si>
  <si>
    <t>autoroutes ;
données ouvertes ;
france métropolitaine ;
magOSM ;
magellium ;
open data ;
openstreetmap ;
osm ;
routes ;
routes départementales ;
routes nationales ;
routes primaires ;
routes secondaires ;
transports routiers ;
voiture</t>
  </si>
  <si>
    <t>[-5.1399750926149, 48.4487924842721]
[-5.13941247775246, 48.4514859797342]</t>
  </si>
  <si>
    <t>access (False) ;
bicycle (False) ;
bridge (False) ;
cutting (False) ;
destination (False) ;
foot (False) ;
hazard (False) ;
hgv (False) ;
highway (False) ;
int_ref (False) ;
lanes (False) ;
layer (False) ;
lit (False) ;
maxspeed (False) ;
minspeed (False) ;
motor_vehicle (False) ;
motorcar (False) ;
name (False) ;
network (False) ;
oneway (False) ;
osm_changeset (False) ;
osm_id (False) ;
osm_timestamp (False) ;
osm_uid (False) ;
osm_user (False) ;
osm_version (False) ;
private (False) ;
ref (False) ;
sidewalk (False) ;
smoothness (False) ;
surface (False) ;
toll (False) ;
tracktype (False) ;
tunnel (False) ;
width (False)</t>
  </si>
  <si>
    <t>62af719c4df84359b6b465105241476f</t>
  </si>
  <si>
    <t>22/10/2017 (il y a 11 mois)</t>
  </si>
  <si>
    <t>22/08/2018 (il y a 14 jours)</t>
  </si>
  <si>
    <t>Itinéraires cyclables - France métropolitaine</t>
  </si>
  <si>
    <t>magosm.france_bicycle_mtb_routes_line</t>
  </si>
  <si>
    <t>Extrait quotidien des **itinéraires cyclables** en France métropolitaine présentes dans la base de données ouverte et collaborative OpenStreetMap (OSM) [1].
D'autres géométries peuvent être disponible dans le catalogue pour cette même thématique.
**Modèle de données**
Les attributs OSM utilisés pour filtrer la donnée sont :
* route=bicycle
* route=mtb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itinéraires cyclables tout terrain** sur la page Wiki OSM - FR:Cyclisme tout terrain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https://wiki.openstreetmap.org/wiki/FR:Cyclisme_tout_terrain
[3] https://wiki.openstreetmap.org/wiki/FR:%C3%89l%C3%A9ments_cartographiques
[4] https://taginfo.openstreetmap.org</t>
  </si>
  <si>
    <t>cycliste ;
cyclotourisme ;
données collaboratives ;
données ouvertes ;
france métropolitaine ;
magOSM ;
magellium ;
open data ;
openstreetmap ;
osm ;
pistes cyclables ;
réseaux cyclables ;
véloroutes ;
vélos</t>
  </si>
  <si>
    <t>01/08/2017</t>
  </si>
  <si>
    <t xml:space="preserve"> (NR - utf-8)</t>
  </si>
  <si>
    <t>[-4.77411184881303, 42.6632348592059]
[-4.77411184881303, 50.8099562957879]</t>
  </si>
  <si>
    <t>bicycle (False) ;
colour (False) ;
complete (False) ;
description (False) ;
distance (False) ;
duration (False) ;
foot (False) ;
from (False) ;
highway (False) ;
mtb (False) ;
mtb-scale (False) ;
mtb-type (False) ;
name (False) ;
network (False) ;
operator (False) ;
osm_changeset (False) ;
osm_id (False) ;
osm_timestamp (False) ;
osm_uid (False) ;
osm_user (False) ;
osm_version (False) ;
proposed (False) ;
ref (False) ;
roundtrip (False) ;
route (False) ;
short_name (False) ;
state (False) ;
surface (False) ;
to (False) ;
tracktype (False) ;
type (False) ;
url (False) ;
website (False) ;
wikidata (False) ;
wikipedia (False)</t>
  </si>
  <si>
    <t>9c01b3e617b44fb5a104623425626a03</t>
  </si>
  <si>
    <t>12/09/2017 (il y a un an)</t>
  </si>
  <si>
    <t>Itinéraires de tramways - France métropolitaine</t>
  </si>
  <si>
    <t>magosm.france_tram_ltr_routes_line</t>
  </si>
  <si>
    <t>Extrait quotidien des **itinéraires de tramways** en France métropolitaine présentes dans la base de données ouverte et collaborative OpenStreetMap (OSM) [1].
D'autres géométries peuvent être disponible dans le catalogue pour cette même thématique.
**Modèle de données**
Les attributs OSM utilisés pour filtrer la donnée sont :
* route=light_rail
* route=tram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itinéraires de métro** sur les pages Wiki OSM - Tag:route=subway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https://wiki.openstreetmap.org/wiki/Tag:route%3Dsubway
[3] https://wiki.openstreetmap.org/wiki/FR:%C3%89l%C3%A9ments_cartographiques
[4] https://taginfo.openstreetmap.org</t>
  </si>
  <si>
    <t>données collaboratives ;
données ouvertes ;
france métropolitaine ;
magOSM ;
magellium ;
open data ;
openstreetmap ;
osm ;
réseau ferroviaire ;
réseau ferré ;
train ;
trains ;
tram ;
tramways ;
transports</t>
  </si>
  <si>
    <t>[-4.5555563215947, 48.3754782604278]
[-4.46814350708524, 48.4310736176036]</t>
  </si>
  <si>
    <t>by_night (False) ;
colour (False) ;
description (False) ;
from (False) ;
name (False) ;
network (False) ;
opening_hours (False) ;
operator (False) ;
osm_changeset (False) ;
osm_id (False) ;
osm_timestamp (False) ;
osm_uid (False) ;
osm_user (False) ;
osm_version (False) ;
public_transport-version (False) ;
ref (False) ;
route (False) ;
to (False) ;
type (False) ;
url (False) ;
via (False) ;
website (False) ;
wheelchair (False) ;
wikidata (False) ;
wikipedia (False)</t>
  </si>
  <si>
    <t>ODbL 1.0 - Open Database Licence © les contributeurs d’OpenStreetMap http://www.openstreetmap.org/copyright
Ces données sont produites collaborativement sous licence ODbL qui impose un partage à l'identique et la mention d'attribution "© les contributeurs d'OpenStreetMap sous licence ODbL" conformément à http://osm.org/copyright.  http://vvlibri.org/fr/licence/odbl/10/fr ;
ODbL 1.0 - Open Database Licence © les contributeurs d’OpenStreetMap http://www.openstreetmap.org/copyright
Ces données sont produites collaborativement sous licence ODbL qui impose un partage à l'identique et la mention d'attribution "© les contributeurs d'OpenStreetMap sous licence ODbL" conformément à http://osm.org/copyright.  http://vvlibri.org/fr/licence/odbl/10/fr</t>
  </si>
  <si>
    <t>Magellium (magosm@magellium.fr) ;
Magellium (magosm@magellium.fr)</t>
  </si>
  <si>
    <t>3404fa23a39745029abac20c78d33cae</t>
  </si>
  <si>
    <t>11/09/2017 (il y a un an)</t>
  </si>
  <si>
    <t>Localisations des hôpitaux - France métropolitaine</t>
  </si>
  <si>
    <t>magosm.france_hospitals_point</t>
  </si>
  <si>
    <t>Extrait quotidien des **hôpitaux** en France métropolitaine présents dans la base de données ouverte et collaborative OpenStreetMap (OSM) [1].
D'autres géométries peuvent être disponible dans le catalogue pour cette même thématique.
**Modèle de données**
Les attributs OSM utilisés pour filtrer la donnée sont :
* amenity=hospital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hôpitaux** sur la page Wiki OSM - FR:Tag:amenity=hospital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https://wiki.openstreetmap.org/wiki/FR:Tag:amenity%3Dhospital
[3] https://wiki.openstreetmap.org/wiki/FR:%C3%89l%C3%A9ments_cartographiques
[4] https://taginfo.openstreetmap.org</t>
  </si>
  <si>
    <t>données collaboratives ;
données ouvertes ;
france métropolitaine ;
hopital ;
hôpitaux ;
magOSM ;
magellium ;
open data ;
openstreetmap ;
santé ;
soins ;
urgences</t>
  </si>
  <si>
    <t>Santé et sécurité des personnes</t>
  </si>
  <si>
    <t>[-4.958489443911048, 48.39573067012013]
[-2.2059322069306306, 49.72038957478849]</t>
  </si>
  <si>
    <t>addr-city (False) ;
addr-housename (False) ;
addr-housenumber (False) ;
addr-postcode (False) ;
addr-street (False) ;
alt_name (False) ;
amenity (False) ;
capacity (False) ;
contact-email (False) ;
contact-fax (False) ;
contact-phone (False) ;
contact-website (False) ;
description (False) ;
email (False) ;
emergency (False) ;
fax (False) ;
name (False) ;
official_name (False) ;
old_name (False) ;
opening_hours (False) ;
operator (False) ;
operator-type (False) ;
osm_changeset (False) ;
osm_id (False) ;
osm_original_geom (False) ;
osm_timestamp (False) ;
osm_type (False) ;
osm_uid (False) ;
osm_user (False) ;
osm_version (False) ;
phone (False) ;
ref-FR-FINESS (False) ;
ref-FR-NAF (False) ;
ref-FR-SIRET (False) ;
short_name (False) ;
type-FR-FINESS (False) ;
url (False) ;
wheelchair (False) ;
wikidata (False) ;
wikipedia (False)</t>
  </si>
  <si>
    <t>2da9b1d7a43343769519d4e7f01c5608</t>
  </si>
  <si>
    <t>18/08/2017 (il y a un an)</t>
  </si>
  <si>
    <t>Emprises des hôpitaux - France métropolitaine</t>
  </si>
  <si>
    <t>magosm.france_hospitals_polygon</t>
  </si>
  <si>
    <t>données collaboratives ;
données ouvertes ;
france métropolitaine ;
hopital ;
hôpitaux ;
magOSM ;
magellium ;
open data ;
openstreetmap ;
osm ;
santé ;
soins</t>
  </si>
  <si>
    <t>[-4.62323539510026, 48.4300649110647]
[-4.62300776200727, 48.4304488930695]</t>
  </si>
  <si>
    <t>addr-city (False) ;
addr-housename (False) ;
addr-housenumber (False) ;
addr-postcode (False) ;
addr-street (False) ;
alt_name (False) ;
amenity (False) ;
building (False) ;
capacity (False) ;
contact-email (False) ;
contact-fax (False) ;
contact-phone (False) ;
contact-website (False) ;
description (False) ;
email (False) ;
emergency (False) ;
fax (False) ;
name (False) ;
official_name (False) ;
old_name (False) ;
opening_hours (False) ;
operator (False) ;
operator-type (False) ;
osm_changeset (False) ;
osm_id (False) ;
osm_timestamp (False) ;
osm_uid (False) ;
osm_user (False) ;
osm_version (False) ;
phone (False) ;
ref-FR-FINESS (False) ;
ref-FR-NAF (False) ;
ref-FR-SIRET (False) ;
short_name (False) ;
type-FR-FINESS (False) ;
url (False) ;
wheelchair (False) ;
wikidata (False) ;
wikipedia (False)</t>
  </si>
  <si>
    <t>d6b8ce4969dc46529d53a7bd4d984de8</t>
  </si>
  <si>
    <t>Emprises des pharmacies - France métropolitaine</t>
  </si>
  <si>
    <t>magosm.france_pharmacies_polygon</t>
  </si>
  <si>
    <t>Extrait quotidien des **pharmacies** en France métropolitaine présentes dans la base de données ouverte et collaborative OpenStreetMap (OSM) [1].
D'autres géométries peuvent être disponible dans le catalogue pour cette même thématique.
**Modèle de données**
Les attributs OSM utilisés pour filtrer la donnée sont :
* amenity=pharmacy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pharmacies** sur la page Wiki OSM - FR:Tag:amenity=pharmacy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https://wiki.openstreetmap.org/wiki/FR:Tag:amenity%3Dpharmacy
[3] https://wiki.openstreetmap.org/wiki/FR:%C3%89l%C3%A9ments_cartographiques
[4] https://taginfo.openstreetmap.org</t>
  </si>
  <si>
    <t>données collaboratives ;
données ouvertes ;
france métropolitaine ;
magOSM ;
magellium ;
open data ;
openstreetmap ;
osm ;
pharmacies ;
santé</t>
  </si>
  <si>
    <t>[-4.76002428886441, 48.4472333781061]
[-4.76001853964659, 48.4473321121909]</t>
  </si>
  <si>
    <t>addr-city (False) ;
addr-housename (False) ;
addr-housenumber (False) ;
addr-postcode (False) ;
addr-street (False) ;
alt_name (False) ;
amenity (False) ;
building (False) ;
capacity (False) ;
contact-email (False) ;
contact-fax (False) ;
contact-phone (False) ;
contact-website (False) ;
description (False) ;
dispensing (False) ;
email (False) ;
emergency (False) ;
fax (False) ;
name (False) ;
official_name (False) ;
old_name (False) ;
opening_hours (False) ;
operator (False) ;
operator-type (False) ;
osm_changeset (False) ;
osm_id (False) ;
osm_timestamp (False) ;
osm_uid (False) ;
osm_user (False) ;
osm_version (False) ;
phone (False) ;
ref-FR-FINESS (False) ;
ref-FR-NAF (False) ;
ref-FR-SIRET (False) ;
short_name (False) ;
social_facility (False) ;
type-FR-FINESS (False) ;
url (False) ;
website (False) ;
wheelchair (False) ;
wikidata (False) ;
wikipedia (False)</t>
  </si>
  <si>
    <t>74e4f376388f4e629ec8806dafedef3f</t>
  </si>
  <si>
    <t>Localisations des cliniques - France métropolitaine</t>
  </si>
  <si>
    <t>magosm.france_clinics_point</t>
  </si>
  <si>
    <t>Extrait quotidien des **cliniques** en France métropolitaine présentes dans la base de données ouverte et collaborative OpenStreetMap (OSM) [1].
D'autres géométries peuvent être disponible dans le catalogue pour cette même thématique.
**Modèle de données**
Les attributs OSM utilisés pour filtrer la donnée sont :
* amenity=clinic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cliniques** sur la page Wiki OSM - FR:Tag:amenity=clinic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https://wiki.openstreetmap.org/wiki/FR:Tag:amenity%3Dclinic
[3] https://wiki.openstreetmap.org/wiki/FR:%C3%89l%C3%A9ments_cartographiques
[4] https://taginfo.openstreetmap.org</t>
  </si>
  <si>
    <t>cliniques ;
données collaboratives ;
données ouvertes ;
france métropolitaine ;
magOSM ;
magellium ;
open data ;
openstreetmap ;
osm ;
santé</t>
  </si>
  <si>
    <t>[-4.510285094030794, 48.608176615700074]
[-1.6277733459678123, 49.624842894360896]</t>
  </si>
  <si>
    <t>addr-city (False) ;
addr-housename (False) ;
addr-housenumber (False) ;
addr-postcode (False) ;
addr-street (False) ;
alt_name (False) ;
amenity (False) ;
capacity (False) ;
contact-email (False) ;
contact-fax (False) ;
contact-phone (False) ;
contact-website (False) ;
description (False) ;
email (False) ;
emergency (False) ;
fax (False) ;
name (False) ;
official_name (False) ;
old_name (False) ;
opening_hours (False) ;
operator (False) ;
operator-type (False) ;
osm_changeset (False) ;
osm_id (False) ;
osm_original_geom (False) ;
osm_timestamp (False) ;
osm_type (False) ;
osm_uid (False) ;
osm_user (False) ;
osm_version (False) ;
phone (False) ;
ref-FR-FINESS (False) ;
ref-FR-NAF (False) ;
ref-FR-SIRET (False) ;
short_name (False) ;
social_facility (False) ;
type-FR-FINESS (False) ;
url (False) ;
website (False) ;
wheelchair (False) ;
wikidata (False) ;
wikipedia (False)</t>
  </si>
  <si>
    <t>2580de25e8404ce89766192a40d83de6</t>
  </si>
  <si>
    <t>Localisations des pharmacies - France métropolitaine</t>
  </si>
  <si>
    <t>magosm.france_pharmacies_point</t>
  </si>
  <si>
    <t>[-5.094579807710263, 48.45651866652354]
[-2.5201472626296955, 49.482911992988214]</t>
  </si>
  <si>
    <t>addr-city (False) ;
addr-housename (False) ;
addr-housenumber (False) ;
addr-postcode (False) ;
addr-street (False) ;
alt_name (False) ;
amenity (False) ;
capacity (False) ;
contact-email (False) ;
contact-fax (False) ;
contact-phone (False) ;
contact-website (False) ;
description (False) ;
dispensing (False) ;
email (False) ;
emergency (False) ;
fax (False) ;
name (False) ;
official_name (False) ;
old_name (False) ;
opening_hours (False) ;
operator (False) ;
operator-type (False) ;
osm_changeset (False) ;
osm_id (False) ;
osm_original_geom (False) ;
osm_timestamp (False) ;
osm_type (False) ;
osm_uid (False) ;
osm_user (False) ;
osm_version (False) ;
phone (False) ;
ref-FR-FINESS (False) ;
ref-FR-NAF (False) ;
ref-FR-SIRET (False) ;
short_name (False) ;
social_facility (False) ;
type-FR-FINESS (False) ;
url (False) ;
website (False) ;
wheelchair (False) ;
wikidata (False) ;
wikipedia (False)</t>
  </si>
  <si>
    <t>c2df2791ee8a45b8b42ad89e9e997157</t>
  </si>
  <si>
    <t>Emprises des magasins - France métropolitaine</t>
  </si>
  <si>
    <t>magosm.france_shops_polygon</t>
  </si>
  <si>
    <t>Extrait quotidien des **magasins** en France métropolitaine présents dans la base de données ouverte et collaborative OpenStreetMap (OSM) [1].
D'autres géométries peuvent être disponible dans le catalogue pour cette même thématique.
**Modèle de données**
Les attributs OSM utilisés pour filtrer la donnée sont :
* shop=*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magasins** sur la page Wiki OSM - FR:Key:shop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https://wiki.openstreetmap.org/wiki/FR:Key:shop
[3] https://wiki.openstreetmap.org/wiki/FR:%C3%89l%C3%A9ments_cartographiques
[4] https://taginfo.openstreetmap.org</t>
  </si>
  <si>
    <t>activités économiques ;
artisans ;
commerces ;
données collaboratives ;
données ouvertes ;
france métropolitaine ;
magOSM ;
magasins ;
magellium ;
open data ;
openstreetmap ;
osm ;
économie</t>
  </si>
  <si>
    <t>[-5.13034865619875, 48.4590716980679]
[-5.13033625944783, 48.4590954078047]</t>
  </si>
  <si>
    <t>addr-city (False) ;
addr-housename (False) ;
addr-housenumber (False) ;
addr-postcode (False) ;
addr-street (False) ;
alt_name (False) ;
brand (False) ;
building (False) ;
contact-email (False) ;
contact-fax (False) ;
contact-phone (False) ;
contact-website (False) ;
description (False) ;
email (False) ;
fax (False) ;
internet_access (False) ;
name (False) ;
opening_hours (False) ;
operator (False) ;
origin (False) ;
osm_changeset (False) ;
osm_id (False) ;
osm_timestamp (False) ;
osm_uid (False) ;
osm_user (False) ;
osm_version (False) ;
payment (False) ;
phone (False) ;
ref-FR-NAF (False) ;
ref-FR-SIRET (False) ;
second_hand (False) ;
shop (False) ;
short_name (False) ;
tags (False) ;
url (False) ;
website (False) ;
wheelchair (False) ;
wholesale (False)</t>
  </si>
  <si>
    <t>4913a0fb01ef47d2ae415607d635162f</t>
  </si>
  <si>
    <t>Localisations des magasins - France métropolitaine</t>
  </si>
  <si>
    <t>magosm.france_shops_point</t>
  </si>
  <si>
    <t>activités économiques ;
commerces ;
données collaboratives ;
données ouvertes ;
france métropolitaine ;
magOSM ;
magasins ;
magellium ;
open data ;
openstreetmap ;
osm ;
économie</t>
  </si>
  <si>
    <t>[-5.09789782504369, 48.4568497844759]
[-5.09721375795483, 48.4587180761577]</t>
  </si>
  <si>
    <t>addr-city (False) ;
addr-housename (False) ;
addr-housenumber (False) ;
addr-postcode (False) ;
addr-street (False) ;
alt_name (False) ;
brand (False) ;
contact-email (False) ;
contact-fax (False) ;
contact-phone (False) ;
contact-website (False) ;
description (False) ;
email (False) ;
fax (False) ;
internet_access (False) ;
name (False) ;
opening_hours (False) ;
operator (False) ;
origin (False) ;
osm_changeset (False) ;
osm_id (False) ;
osm_original_geom (False) ;
osm_timestamp (False) ;
osm_type (False) ;
osm_uid (False) ;
osm_user (False) ;
osm_version (False) ;
payment (False) ;
phone (False) ;
ref-FR-NAF (False) ;
ref-FR-SIRET (False) ;
second_hand (False) ;
shop (False) ;
short_name (False) ;
url (False) ;
website (False) ;
wheelchair (False) ;
wholesale (False)</t>
  </si>
  <si>
    <t>946bd9cdf20f4b368abb4e19c195cd02</t>
  </si>
  <si>
    <t>Itinéraires de randonnée - France métropolitaine</t>
  </si>
  <si>
    <t>magosm.france_hiking_foot_routes_line</t>
  </si>
  <si>
    <t>Extrait quotidien des **chemins de randonnée (itinéraires)** en France métropolitaine présents dans la base de données ouverte et collaborative OpenStreetMap (OSM) [1].
D'autres géométries peuvent être disponible dans le catalogue pour cette même thématique.
**Modèle de données**
On s'intéresse ici aux itinéraires définis par des éléments OSM de type "relation".
Les attributs OSM utilisés pour filtrer la donnée sont :
* route=hiking
* route=foot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autoroutes ** sur la page Wiki OSM - FR:Relation:route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https://wiki.openstreetmap.org/wiki/FR:Relation:route#Itin.C3.A9raires_de_randonn.C3.A9e
[3] https://wiki.openstreetmap.org/wiki/FR:%C3%89l%C3%A9ments_cartographiques
[4] https://taginfo.openstreetmap.org</t>
  </si>
  <si>
    <t>chemin piétonnier ;
données collaboratives ;
données ouvertes ;
france métropolitaine ;
itinéraires ;
magOSM ;
magellium ;
open data ;
openstreetmap ;
osm ;
piétons ;
randonnée ;
randonnées ;
sentiers de randonnées</t>
  </si>
  <si>
    <t>[-4.96600780384996, 48.398428887469]
[-4.96564650144268, 48.3996160148251]</t>
  </si>
  <si>
    <t>colour (False) ;
complete (False) ;
description (False) ;
distance (False) ;
duration (False) ;
foot (False) ;
from (False) ;
highway (False) ;
name (False) ;
network (False) ;
operator (False) ;
osm_changeset (False) ;
osm_id (False) ;
osm_timestamp (False) ;
osm_uid (False) ;
osm_user (False) ;
osm_version (False) ;
osmc-symbol (False) ;
ref (False) ;
roundtrip (False) ;
route (False) ;
sac_scale (False) ;
short_name (False) ;
surface (False) ;
symbol (False) ;
to (False) ;
tracktype (False) ;
type (False) ;
url (False) ;
website (False) ;
wikidata (False) ;
wikipedia (False)</t>
  </si>
  <si>
    <t>800bfaf2559a4e928e051d3d55c5f3b5</t>
  </si>
  <si>
    <t>Emprises des cliniques - France métropolitaine</t>
  </si>
  <si>
    <t>magosm.france_clinics_polygon</t>
  </si>
  <si>
    <t>[-4.47062231828024, 48.4035791877358]
[-4.47060120787106, 48.4035912941083]</t>
  </si>
  <si>
    <t>addr-city (False) ;
addr-housename (False) ;
addr-housenumber (False) ;
addr-postcode (False) ;
addr-street (False) ;
alt_name (False) ;
amenity (False) ;
building (False) ;
capacity (False) ;
contact-email (False) ;
contact-fax (False) ;
contact-phone (False) ;
contact-website (False) ;
description (False) ;
email (False) ;
emergency (False) ;
fax (False) ;
name (False) ;
official_name (False) ;
old_name (False) ;
opening_hours (False) ;
operator (False) ;
operator-type (False) ;
osm_changeset (False) ;
osm_id (False) ;
osm_timestamp (False) ;
osm_uid (False) ;
osm_user (False) ;
osm_version (False) ;
phone (False) ;
ref-FR-FINESS (False) ;
ref-FR-NAF (False) ;
ref-FR-SIRET (False) ;
short_name (False) ;
social_facility (False) ;
type-FR-FINESS (False) ;
url (False) ;
website (False) ;
wheelchair (False) ;
wikidata (False) ;
wikipedia (False)</t>
  </si>
  <si>
    <t>c442df1b427e438bac25903f81bdf936</t>
  </si>
  <si>
    <t>Réseau cyclable - France métropolitaine</t>
  </si>
  <si>
    <t>magosm.france_cycleways_line</t>
  </si>
  <si>
    <t>Extrait quotidien du **réseau cyclable (infrastructures)** en France métropolitaine présent dans la base de données ouverte et collaborative OpenStreetMap (OSM) [1].
D'autres géométries peuvent être disponible dans le catalogue pour cette même thématique.
**Modèle de données**
Les attributs OSM utilisés pour filtrer la donnée sont :
		highway='cycleway'
		OR bicycle='designated'
		OR (tags ? 'cycleway' AND tags-&gt;'cycleway' != 'no')
		OR (tags ? 'cycleway:left' AND tags-&gt;'cycleway:left' != 'no')
		OR (tags ? 'cycleway:right' AND tags-&gt;'cycleway:right' != 'no')
		OR (tags ? 'cycleway:both' AND tags-&gt;'cycleway:both' != 'no');
* highway=cycleway
* bicycle=designated
* cycleway=* sauf 'no'
* cycleway:left=* sauf 'no'
* cycleway:right=* sauf 'no'
* cycleway:both=* sauf 'no'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 réseau cyclable** sur la page Wiki OSM - FR:Bicycle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https://wiki.openstreetmap.org/wiki/FR:Bicycle
[3] https://wiki.openstreetmap.org/wiki/FR:%C3%89l%C3%A9ments_cartographiques
[4] https://taginfo.openstreetmap.org</t>
  </si>
  <si>
    <t>cycliste ;
cyclotourisme ;
données collaboratives ;
données ouvertes ;
magOSM ;
magellium ;
open data ;
openstreetmap ;
osm ;
pistes cyclables ;
réseaux cyclables ;
véloroutes ;
vélos</t>
  </si>
  <si>
    <t>[-4.78637870334379, 48.4244910038805]
[-4.72031354307768, 48.5401812770312]</t>
  </si>
  <si>
    <t>access (False) ;
bicycle (False) ;
bridge (False) ;
cutting (False) ;
cycleway (False) ;
cycleway-both (False) ;
cycleway-left (False) ;
cycleway-right (False) ;
foot (False) ;
highway (False) ;
lanes (False) ;
layer (False) ;
lit (False) ;
maxspeed (False) ;
motor_vehicle (False) ;
mtb-scale (False) ;
name (False) ;
network (False) ;
oneway (False) ;
oneway-bicycle (False) ;
osm_changeset (False) ;
osm_id (False) ;
osm_timestamp (False) ;
osm_uid (False) ;
osm_user (False) ;
osm_version (False) ;
ref (False) ;
segregated (False) ;
smoothness (False) ;
surface (False) ;
tunnel (False) ;
width (False)</t>
  </si>
  <si>
    <t>cef59d77b3154d6490f3cb084a196f4b</t>
  </si>
  <si>
    <t>17/08/2017 (il y a un an)</t>
  </si>
  <si>
    <t>Autoroutes - France métropolitaine</t>
  </si>
  <si>
    <t>magosm.france_motorways_line</t>
  </si>
  <si>
    <t>Extrait quotidien des **autoroutes (infrastructures)** en France métropolitaine présentes dans la base de données ouverte et collaborative OpenStreetMap (OSM) [1].
D'autres géométries peuvent être disponible dans le catalogue pour cette même thématique.
**Modèle de données**
Les attributs OSM utilisés pour filtrer la donnée sont :
* highway=motorway
* highway=motorway_link
* highway=motorway_junction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autoroutes** sur la page Wiki OSM - WikiProject_France/Autoroutes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https://wiki.openstreetmap.org/wiki/WikiProject_France/Autoroutes
[3] https://wiki.openstreetmap.org/wiki/FR:%C3%89l%C3%A9ments_cartographiques
[4] https://taginfo.openstreetmap.org</t>
  </si>
  <si>
    <t>autoroutes ;
données collaboratives ;
données ouvertes ;
france métropolitaine ;
magOSM ;
magellium ;
open data ;
openstreetmap ;
osm ;
routes ;
transport routier ;
voiture</t>
  </si>
  <si>
    <t>[-1.83645791534965, 43.3186572958938]
[-1.6156875019668, 48.1473925747056]</t>
  </si>
  <si>
    <t>access (False) ;
bridge (False) ;
cutting (False) ;
destination (False) ;
hazard (False) ;
hgv (False) ;
highway (False) ;
int_ref (False) ;
lanes (False) ;
layer (False) ;
lit (False) ;
maxspeed (False) ;
minspeed (False) ;
motor_vehicle (False) ;
motorcar (False) ;
name (False) ;
network (False) ;
oneway (False) ;
osm_changeset (False) ;
osm_id (False) ;
osm_timestamp (False) ;
osm_uid (False) ;
osm_user (False) ;
osm_version (False) ;
ref (False) ;
smoothness (False) ;
surface (False) ;
toll (False) ;
tunnel (False)</t>
  </si>
  <si>
    <t>bf7507c1a2b545ec941c98dbe02d6b0c</t>
  </si>
  <si>
    <t>Itinéraires de métro - France métropolitaine</t>
  </si>
  <si>
    <t>magosm.france_subway_routes_line</t>
  </si>
  <si>
    <t>Extrait quotidien des **lignes de métro (itinéraires)** en France métropolitaine présentes dans la base de données ouverte et collaborative OpenStreetMap (OSM) [1].
D'autres géométries peuvent être disponible dans le catalogue pour cette même thématique.
**Modèle de données**
Les attributs OSM utilisés pour filtrer la donnée sont :
* route=subway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itinéraires de métro** sur les pages Wiki OSM - Tag:route=subway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https://wiki.openstreetmap.org/wiki/Tag:route%3Dsubway
[3] https://wiki.openstreetmap.org/wiki/FR:%C3%89l%C3%A9ments_cartographiques
[4] https://taginfo.openstreetmap.org</t>
  </si>
  <si>
    <t>données collaboratives ;
données ouvertes ;
france métropolitaine ;
magOSM ;
magellium ;
open data ;
openstreetmap ;
osm ;
réseau ferroviaire ;
réseau ferré ;
train ;
trains ;
transports</t>
  </si>
  <si>
    <t>[-1.71157259741537, 48.1213166147537]
[2.97282710908696, 50.6548429055335]</t>
  </si>
  <si>
    <t>by_night (False) ;
colour (False) ;
description (False) ;
from (False) ;
name (False) ;
network (False) ;
opening_hours (False) ;
operator (False) ;
osm_changeset (False) ;
osm_id (False) ;
osm_timestamp (False) ;
osm_uid (False) ;
osm_user (False) ;
osm_version (False) ;
public_transport-version (False) ;
ref (False) ;
ref-FR-RATP (False) ;
route (False) ;
short_name (False) ;
to (False) ;
twitter (False) ;
type (False) ;
wheelchair (False) ;
wikidata (False) ;
wikipedia (False)</t>
  </si>
  <si>
    <t>e6c675fbea814ed4abcc7d58ad01e694</t>
  </si>
  <si>
    <t>Itinéraires de bus - France métropolitaine</t>
  </si>
  <si>
    <t>magosm.france_bus_routes_line</t>
  </si>
  <si>
    <t>Extrait quotidien des **lignes de bus (itinéraires)** en France métropolitaine présentes dans la base de données ouverte et collaborative OpenStreetMap (OSM) [1].
D'autres géométries peuvent être disponible dans le catalogue pour cette même thématique.
**Modèle de données**
On s'intéresse ici aux itinéraires définis par des éléments OSM de type "relation".
Les attributs OSM utilisés pour filtrer la donnée sont :
* route=bus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itinéraires de bus** sur la page Wiki OSM - Tag:route=bus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https://wiki.openstreetmap.org/wiki/Tag:route%3Dbus
[3] https://wiki.openstreetmap.org/wiki/FR:%C3%89l%C3%A9ments_cartographiques
[4] https://taginfo.openstreetmap.org</t>
  </si>
  <si>
    <t>bus ;
circuit de bus ;
données collaboratives ;
données ouvertes ;
france métropolitaine ;
itinéraires ;
magOSM ;
magellium ;
open data ;
openstreetmap ;
osm ;
routes ;
réseau bus ;
transport routier ;
transports ;
transports en commun ;
transports routiers</t>
  </si>
  <si>
    <t>[-4.77200970121666, 48.358025779228]
[-4.7715659334663, 48.360729875362]</t>
  </si>
  <si>
    <t>colour (False) ;
distance (False) ;
duration (False) ;
from (False) ;
name (False) ;
network (False) ;
opening_hours (False) ;
operator (False) ;
osm_changeset (False) ;
osm_id (False) ;
osm_timestamp (False) ;
osm_uid (False) ;
osm_user (False) ;
osm_version (False) ;
public_transport-version (False) ;
ref (False) ;
roundtrip (False) ;
route (False) ;
to (False) ;
type (False) ;
via (False) ;
website (False) ;
wheelchair (False)</t>
  </si>
  <si>
    <t>234a9be4cc5f496984926f421df952a3</t>
  </si>
  <si>
    <t>Voies ferrées - France métropolitaine</t>
  </si>
  <si>
    <t>magosm.france_railways_line</t>
  </si>
  <si>
    <t>Extrait quotidien des **voies ferrées** en France métropolitaine présentes dans la base de données ouverte et collaborative OpenStreetMap (OSM) [1].
Cet extrait ne contient pas les données relatives aux tramways et métros.
D'autres géométries peuvent être disponible dans le catalogue pour cette même thématique.
**Modèle de données**
Les attributs OSM utilisés pour filtrer la donnée sont :
* railway=rail
* railway=narrow_gauge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aux voies ferrées** sur la page Wiki OSM - Chemins de fer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https://wiki.openstreetmap.org/wiki/FR:Chemins_de_fer
[3] https://wiki.openstreetmap.org/wiki/FR:%C3%89l%C3%A9ments_cartographiques
[4] https://taginfo.openstreetmap.org</t>
  </si>
  <si>
    <t>données collaboratives ;
données ouvertes ;
france métropolitaine ;
lgv ;
magOSM ;
magellium ;
open data ;
openstreetmap ;
osm ;
rer ;
réseau ferroviaire ;
réseau ferré ;
ter ;
tgv ;
train ;
trains ;
transports</t>
  </si>
  <si>
    <t>[-4.52923298882414, 48.470984683708]
[-4.5270932916489, 48.474638092573]</t>
  </si>
  <si>
    <t>bridge (False) ;
cutting (False) ;
electrified (False) ;
frequency (False) ;
gauge (False) ;
importance (False) ;
layer (False) ;
maxspeed (False) ;
name (False) ;
network (False) ;
operator (False) ;
osm_changeset (False) ;
osm_id (False) ;
osm_timestamp (False) ;
osm_uid (False) ;
osm_user (False) ;
osm_version (False) ;
passenger_lines (False) ;
railway (False) ;
railway-traffic_mode (False) ;
ref (False) ;
service (False) ;
tunnel (False) ;
usage (False) ;
voltage (False)</t>
  </si>
  <si>
    <t>778ed1a0c08f4d238b665957195e826f</t>
  </si>
  <si>
    <t>16/08/2017 (il y a un an)</t>
  </si>
  <si>
    <t>Emprises des établissements scolaires - France métropolitaine</t>
  </si>
  <si>
    <t>magosm.france_schools_polygon</t>
  </si>
  <si>
    <t>Extrait quotidien des **établissement scolaires** en France métropolitaine présents dans la base de données ouverte et collaborative OpenStreetMap (OSM) [1].
D'autres géométries peuvent être disponible dans le catalogue pour cette même thématique.
**Modèle de données**
Les attributs OSM utilisés pour filtrer la donnée sont :
* amenity=kindergarten 
* amenity=school
* amenity=college
* amenity=university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à l'Education** sur la page Wiki OSM - Education Features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https://wiki.openstreetmap.org/wiki/FR:Education_features
[3] https://wiki.openstreetmap.org/wiki/FR:%C3%89l%C3%A9ments_cartographiques
[4] https://taginfo.openstreetmap.org</t>
  </si>
  <si>
    <t>données collaboratives ;
données ouvertes ;
france métropolitaine ;
magOSM ;
magellium ;
open data ;
openstreetmap ;
osm ;
polygon ;
scolaire ;
universités ;
écoles ;
écoles maternelles ;
écoles primaires ;
écoles secondaires ;
écoles élémentaires ;
éducation ;
établissement privés ;
établissements publics</t>
  </si>
  <si>
    <t>[-4.85138942112941, 48.0372115794975]
[-4.85138852281412, 48.0372926680687]</t>
  </si>
  <si>
    <t>addr-city (False) ;
addr-housename (False) ;
addr-housenumber (False) ;
addr-postcode (False) ;
addr-street (False) ;
alt_name (False) ;
amenity (False) ;
contact-email (False) ;
contact-fax (False) ;
contact-phone (False) ;
contact-website (False) ;
description (False) ;
email (False) ;
fax (False) ;
name (False) ;
name-fr (False) ;
official_name (False) ;
old_name (False) ;
opening_hours (False) ;
operator (False) ;
operator-type (False) ;
osm_changeset (True) ;
osm_id (True) ;
osm_timestamp (True) ;
osm_uid (True) ;
osm_user (True) ;
osm_version (True) ;
phone (False) ;
ref-FR-FINESS (False) ;
ref-FR-SIRET (False) ;
ref-UAI (True) ;
school-FR (False) ;
short_name (False) ;
url (False) ;
website (False) ;
wheelchair (False)</t>
  </si>
  <si>
    <t>016f7a8bc66a4e8aaa04ea277b61223e</t>
  </si>
  <si>
    <t>Localisations des établissements scolaires - France métropolitaine</t>
  </si>
  <si>
    <t>magosm.france_schools_point</t>
  </si>
  <si>
    <t xml:space="preserve">Extrait quotidien des **établissement scolaires** en France métropolitaine présents dans la base de données ouverte et collaborative OpenStreetMap (OSM) [1].
D'autres géométries peuvent être disponible dans le catalogue pour cette même thématique.
**Modèle de données**
Les attributs OSM utilisés pour filtrer la donnée sont :
* amenity=kindergarten 
* amenity=school
* amenity=college
* amenity=university
Des attributs OSM supplémentaires ont été sélectionnés pour enrichir les tags principaux.
Tous les attributs préfixés par "osm" (ex : osm_user, osm_id ...) sont des propriétés communes assimilables à des méta-données sur l'objet OSM.
Plus d'informations sur  :
* le **modèle de données propre à l'Education** sur la page Wiki OSM - Education Features [2].
* le **modèle de données OSM général** est documenté sur la page Wiki OSM - Eléments cartographiques [3].
* les **modes et fréquences d'usage et de combinaison des différents attributs** au sein de la communauté OSM sur le service TagInfo [4]
[1] https://wiki.openstreetmap.org/wiki/FR:Page_principale
[2] https://wiki.openstreetmap.org/wiki/FR:Education_features
[3] https://wiki.openstreetmap.org/wiki/FR:%C3%89l%C3%A9ments_cartographiques
[4] https://taginfo.openstreetmap.org
</t>
  </si>
  <si>
    <t>données collaboratives ;
données ouvertes ;
france métropolitaine ;
magOSM ;
magellium ;
open data ;
openstreetmap ;
osm ;
scolaire ;
écoles ;
écoles maternelles ;
écoles primaires ;
écoles secondaires ;
écoles élémentaires ;
éducation ;
établissements publics</t>
  </si>
  <si>
    <t>[-5.09833278930426, 48.4582568627477]
[-2.5809660819735, 49.4805787117584]</t>
  </si>
  <si>
    <t>addr-city (False) ;
addr-housename (False) ;
addr-housenumber (False) ;
addr-postcode (False) ;
addr-street (False) ;
alt_name (False) ;
amenity (False) ;
contact-email (False) ;
contact-fax (False) ;
contact-phone (False) ;
contact-website (False) ;
description (False) ;
email (False) ;
fax (False) ;
name (False) ;
name-fr (False) ;
official_name (False) ;
old_name (False) ;
opening_hours (False) ;
operator (False) ;
operator-type (False) ;
osm_changeset (True) ;
osm_id (True) ;
osm_original_geom (False) ;
osm_timestamp (True) ;
osm_type (False) ;
osm_uid (True) ;
osm_user (True) ;
osm_version (True) ;
phone (False) ;
ref-FR-FINESS (False) ;
ref-FR-SIRET (False) ;
ref-UAI (True) ;
school-FR (False) ;
short_name (False) ;
url (False) ;
website (False) ;
wheelchair (False)</t>
  </si>
  <si>
    <t>ODbL 1.0 - Open Database Licence © les contributeurs d’OpenStreetMap http://www.openstreetmap.org/copyright
Ces données sont produites collaborativement sous licence ODbL qui impose un partage à l'identique et la mention d'attribution "© les contributeurs d'OpenStreetMap sous licence ODbL" conformément à http://osm.org/copyright
.  http://vvlibri.org/fr/licence/odbl/10/fr</t>
  </si>
  <si>
    <t>18548cfe66dc4cabba4e671abe8438c9</t>
  </si>
  <si>
    <t>Attractions - Disneyland Paris</t>
  </si>
  <si>
    <t>attractions_disneyland</t>
  </si>
  <si>
    <t>Localisation des [attractions](http://www.disneylandparis.fr/attractions/) disponibles dans le parc Disneyland Paris Marne-la-Vallée.
![Big Thunder Mountain](http://cdn3.dlp-media.com/resize/mwImage/1/170/96/75/wdpromedia.disney.go.com/media/wdpro-dlp-assets/prod/fr-fr/system/images/n017783_2050jan01_big-thunder-mountain-detail_16-9.jpg)</t>
  </si>
  <si>
    <t>\\NAS.hq.isogeo.fr\SIG\GeoServer\data_dir\data\shapefiles\MC_DECRYPTAGEO_2017\attractions_disneyland.shp</t>
  </si>
  <si>
    <t>attractivité ;
disneyland ;
données collaboratives ;
données ouvertes ;
décryptagéo ;
loisirs ;
openstreetmap ;
osm ;
tourisme</t>
  </si>
  <si>
    <t>01/04/2016</t>
  </si>
  <si>
    <t>01/04/2017</t>
  </si>
  <si>
    <t>11/07/2017</t>
  </si>
  <si>
    <t>ESRI Shapefile (1.0 - iso-8859-15)</t>
  </si>
  <si>
    <t>WGS 84 (4326)</t>
  </si>
  <si>
    <t>[2.76333163291466, 48.8678637570981]
[2.76689795773536, 48.8709433529984]</t>
  </si>
  <si>
    <t>@id (True) ;
Isogeo (False) ;
access (False) ;
addr_house (False) ;
alt_name (False) ;
alt_name_e (False) ;
alt_name_f (False) ;
amenity (False) ;
area (False) ;
attraction (False) ;
barrier (False) ;
building (False) ;
building_1 (False) ;
building_c (False) ;
building_l (False) ;
building_r (False) ;
capacity (False) ;
commons (False) ;
constructi (False) ;
descriptio (False) ;
duration (False) ;
entrance (False) ;
floating (False) ;
height (False) ;
highway (False) ;
historic (False) ;
id (False) ;
landuse (False) ;
man_made (False) ;
min_height (False) ;
name (False) ;
name_da (False) ;
name_de (False) ;
name_en (False) ;
name_fr (False) ;
name_ja (False) ;
name_wikip (False) ;
natural (False) ;
note_fr (False) ;
official_n (False) ;
old_name (False) ;
operator (False) ;
roof_shape (False) ;
source (False) ;
succes (False) ;
tourism (False) ;
wall (False) ;
website (False) ;
website_en (False) ;
website_fr (False) ;
wheelchair (False) ;
wikidata (False) ;
wikipedia (False)</t>
  </si>
  <si>
    <t>Isogeo (contact@isogeo.com)</t>
  </si>
  <si>
    <t>4c0c6c63442e41569df3ee3465786f46</t>
  </si>
  <si>
    <t>25/01/2017 (il y a 2 ans)</t>
  </si>
  <si>
    <t>Bars Disneyland - Paris</t>
  </si>
  <si>
    <t>bars_disneyland</t>
  </si>
  <si>
    <t>Localisation des bars dans le parc d'attraction de Disneyland à Marne-la-Vallée</t>
  </si>
  <si>
    <t>\\NAS.hq.isogeo.fr\SIG\GeoServer\data_dir\data\shapefiles\MC_DECRYPTAGEO_2017\bars_disneyland.shp</t>
  </si>
  <si>
    <t>attractivité ;
disneyland ;
données collaboratives ;
données ouvertes ;
décryptagéo ;
loisirs ;
openstreetmap ;
osm ;
restaurations ;
tourisme</t>
  </si>
  <si>
    <t>04/06/2018</t>
  </si>
  <si>
    <t>ESRI Shapefile ( - NR)</t>
  </si>
  <si>
    <t>[2.7739099, 48.8719250000083]
[2.7918277, 48.8743008000083]</t>
  </si>
  <si>
    <t>@id (False) ;
amenity (False) ;
id (False) ;
internet_a (False) ;
name (False) ;
smoking (False) ;
source (False) ;
url_price (False) ;
website (False) ;
website_pr (False) ;
wheelchair (False)</t>
  </si>
  <si>
    <t>f068144e0d3e41118a4bfaed0eb2ca00</t>
  </si>
  <si>
    <t>Glaciers Disneyland - Paris</t>
  </si>
  <si>
    <t>glacier_disneyland</t>
  </si>
  <si>
    <t>Localisation des glaciers dans le parc d'attraction de Disneyland à Marne-la-Vallée</t>
  </si>
  <si>
    <t>\\NAS.hq.isogeo.fr\SIG\GeoServer\data_dir\data\shapefiles\MC_DECRYPTAGEO_2017\glacier_disneyland.shp</t>
  </si>
  <si>
    <t>disneyland ;
données collaboratives ;
données ouvertes ;
décryptagéo ;
loisirs ;
openstreetmap ;
osm ;
restaurations ;
tourisme</t>
  </si>
  <si>
    <t>[2.7776602, 48.8720603000083]
[2.7783157, 48.8718692000084]</t>
  </si>
  <si>
    <t>@id (False) ;
amenity (False) ;
cuisine (False) ;
id (False) ;
name (False) ;
source (False) ;
url_price (False) ;
website (False)</t>
  </si>
  <si>
    <t>68ef0be73c8c4a89a0c7c6dd1beb0377</t>
  </si>
  <si>
    <t>19/04/2018 (il y a 5 mois)</t>
  </si>
  <si>
    <t>Parkings vélos Disneyland - Paris</t>
  </si>
  <si>
    <t>parkings_velos_disneyland</t>
  </si>
  <si>
    <t>Localisation des parkings à vélos dans le parc d'attraction de Disneyland à Marne-la-Vallée</t>
  </si>
  <si>
    <t>\\NAS.hq.isogeo.fr\SIG\GeoServer\data_dir\data\shapefiles\MC_DECRYPTAGEO_2017\parkings_velos_disneyland.shp</t>
  </si>
  <si>
    <t>disneyland ;
données collaboratives ;
données ouvertes ;
décryptagéo ;
loisirs ;
openstreetmap ;
osm ;
parkings ;
stationnements ;
tourisme ;
vélos</t>
  </si>
  <si>
    <t>[2.7700463, 48.8508403000084]
[2.7915229, 48.8685072000083]</t>
  </si>
  <si>
    <t>@id (False) ;
amenity (False) ;
capacity (False) ;
covered (False) ;
id (False) ;
supervised (False)</t>
  </si>
  <si>
    <t>cc3bb0f9d0cb412d9621de3e0dc96fd4</t>
  </si>
  <si>
    <t>Carte Communale de Dangy</t>
  </si>
  <si>
    <t>SECTEUR_CC</t>
  </si>
  <si>
    <t>Carte Communale (CC) numérisée. Ce lot informe du droit à bâtir sur la commune de Dangy. Cette carte communale  est numérisée conformément aux prescriptions nationales du CNIG</t>
  </si>
  <si>
    <t>\\NAS.hq.isogeo.fr\SIG\SIG_DATA_SERVICE\DEMO\Urbanisme\50159_CC_20100115\Donnees_geographiques\SECTEUR_CC.shp</t>
  </si>
  <si>
    <t>cc ;
document d'urbanisme ;
données ouvertes ;
gpu ;
planification ;
urbanisme</t>
  </si>
  <si>
    <t>Document d’urbanisme numérisé conformément aux prescriptions nationales du CNIG du 19 avril 2013. Ce lot de données produit en 2010 a été numérisé à partir du PCI Vecteur de 2010</t>
  </si>
  <si>
    <t>15/01/2010</t>
  </si>
  <si>
    <t>[-1.24495418485769, 49.0141506621036]
[-1.24510287869972, 49.0167599673742]</t>
  </si>
  <si>
    <t>DATAPPRO (False) ;
DATVALID (False) ;
DESTDOMI (False) ;
FERMRECO (False) ;
INSEE (False) ;
LIBELLE (False) ;
NOMFIC (False) ;
TYPESECT (False) ;
URLFIC (False)</t>
  </si>
  <si>
    <t>CNIG CC v2014 02/10/2014 http://cnig.gouv.fr/wp-content/uploads/2014/10/141002_Standard_CNIG_CC_diffusion.pdf - Conforme</t>
  </si>
  <si>
    <t>Légale . Licence Aucun des articles de la loi ne peut être invoqué pour justifier d’une restriction d’accès public. Pas de restriction d’accès public selon INSPIRE</t>
  </si>
  <si>
    <t>Communauté de communes de Canisy (cccanisy.geoportailurbanisme@orange.fr)</t>
  </si>
  <si>
    <t>3ee9097bff474c9cab8523a0aa5e6e5e</t>
  </si>
  <si>
    <t>19/07/2016 (il y a 2 ans)</t>
  </si>
  <si>
    <t>Zonages du Plan Local d'Urbanisme de Rochecorbon</t>
  </si>
  <si>
    <t>ZONE_URBA</t>
  </si>
  <si>
    <t>Zonages du PLU (Plan Local d'Urbanisme) de Rochecorbon, commune de Tours Plus.
Les zonages couvrent l'intégralité du territoire communal à l'exception des secteurs couverts par un Plan de Sauvegarde et de Mise en Valeur. Le Code de l'urbanisme définit 4 grands types de zones (R.123-5 à 8) : les zones urbaines (U), à urbaniser (AU), agricoles (A) ou naturelles et forestières (N). Chaque zonage est attaché à un règlement écrit fixant des règles différentes selon la destination des constructions (R.123-9).</t>
  </si>
  <si>
    <t>\\NAS.hq.isogeo.fr\SIG\SIG_DATA_SERVICE\DEMO\Urbanisme\37203_PLU_20070301\ZONE_URBA.shp</t>
  </si>
  <si>
    <t>aménagement ;
document d'urbanisme ;
démo audition ;
planification ;
plu ;
pos ;
rochecorbon ;
urbanisme</t>
  </si>
  <si>
    <t>Le service SIG (Système d'Information Géographique) travaille les données des communes afin qu'elles puissent être conformes aux standards National et Européen et les agrège sur l'ensemble de l'agglomération.
Les zonages sont des secteurs auxquels s'applique un règlement particulier correspondant aux objectifs fixés par le document d'urbanisme issu des différentes études menées sur le territoire par les communes, les services de Tours Plus et/ou les bureaux d'études.</t>
  </si>
  <si>
    <t>Numérisation à partir du référentiel cadastre (PCI Vecteur). Un zonage est généralement un agrégat de parcelles cadastrales.</t>
  </si>
  <si>
    <t>26/08/2012</t>
  </si>
  <si>
    <t>14/10/2016</t>
  </si>
  <si>
    <t>[0.726994273041071, 47.4062051243425]
[0.726953295326121, 47.4079098138363]</t>
  </si>
  <si>
    <t>DATAPPRO (True) ;
DATVALID (True) ;
DDC_COD_RG (False) ;
DESTDOMI (True) ;
IDURBA (False) ;
INSEE (True) ;
LIBELLE (True) ;
LIBELONG (True) ;
NOMFIC (True) ;
TYPEZONE (True) ;
URLFIC (True)</t>
  </si>
  <si>
    <t>Service SIG (sig@toursplus.fr)</t>
  </si>
  <si>
    <t>e354fa43d72e4310953b186d7fa7099c</t>
  </si>
  <si>
    <t>03/03/2016 (il y a 2 ans)</t>
  </si>
  <si>
    <t>09/08/2018 (il y a un mois)</t>
  </si>
  <si>
    <t>Établissements Public de Coopération Intercommunale - France - 2015</t>
  </si>
  <si>
    <t>epci-20150303-50m</t>
  </si>
  <si>
    <t>Contours géographiques des EPCI issu du croisement des limites communales d'OpenStreetMap et des données de la Direction Générale des Collectivités Locales datant de 2015.</t>
  </si>
  <si>
    <t>\\TORCY.hq.isogeo.fr\Data\SIG\SIG_DATA_SERVICE\PROJET\REFERENTIEL\Limites_Administratives\EPCI\2015-03\epci-20150303-50m.shp</t>
  </si>
  <si>
    <t>2015 ;
données ouvertes ;
epci ;
ign ;
limites administratives ;
openstreetmap</t>
  </si>
  <si>
    <t>Unités administratives</t>
  </si>
  <si>
    <t>OpenStreetMap est un projet de cartographie collaborative dont l'un des objectifs de l'association française a été le tracé des limites administratives françaises. 6 ans et 250 bénévoles ont permis de numériser quelques 36 680 communes (au 4 décembre 2013).</t>
  </si>
  <si>
    <t>Les données proviennent de la Direction Générale des Collectivités Locales (DGCL) du Ministère de l'Intérieur ([voir la source](http://www.collectivites-locales.gouv.fr/liste-et-composition-2015)) croisées avec le découpage communal issu de la base de données cartographiques OpenStreetMap. 
Ces dernières ont été constituées à partir du cadastre mis à disposition par la [DGFiP](http://www.cadastre.gouv.fr). En complément sur Mayotte où le cadastre n'est pas disponible, ce sont les limites du [GEOFLA de l'IGN](http://open.isogeo.com/s/c502e8f7c9da4c3aacdf3d905672d54c/Q4SvPfiIIslbdwkbWRFJLk7XWo4G0?q=keyword%3Aisogeo%3Ageofla) qui ont été utilisées ainsi que le tracé des côtes à partir des images aériennes de Bing.</t>
  </si>
  <si>
    <t>03/03/2015</t>
  </si>
  <si>
    <t>31/12/2015</t>
  </si>
  <si>
    <t>27/10/2015</t>
  </si>
  <si>
    <t>[-61.8097613541703, 16.2728327707792]
[-61.8025547994665, 16.3124353746323]</t>
  </si>
  <si>
    <t>nom_epci (True) ;
nom_osm (True) ;
osm_id (True) ;
ptot_epci (True) ;
short_name (True) ;
siren_epci (True) ;
surf_km2 (True) ;
type_epci (True) ;
type_gouv (False) ;
web (True) ;
wikipedia (True)</t>
  </si>
  <si>
    <t>La topologie est conservée lors du processus de simplification ([détaillé ici](http://openstreetmap.fr/blogs/cquest/limites-administratives-simplifiees)).</t>
  </si>
  <si>
    <t>ODbL 1.0 - Open Database Licence Impose un partage à l'identique et la mention obligatoire d'attribution doit être "*© les contributeurs d'OpenStreetMap sous licence ODbL*" conformément au [copyright d'OSM](http://osm.org/copyright)..  http://vvlibri.org/fr/licence/odbl/10/fr</t>
  </si>
  <si>
    <t>Exports OSM (exports@openstreetmap.fr)</t>
  </si>
  <si>
    <t>Julien MOURA (julien.moura@isogeo.com)</t>
  </si>
  <si>
    <t>5dbf638e0da048fc82ddc4cd615ef168</t>
  </si>
  <si>
    <t>18/06/2015 (il y a 3 ans)</t>
  </si>
  <si>
    <t>Bars, pubs et brasseries artisanales d'Open Beer Map - Île de France - mai 2015</t>
  </si>
  <si>
    <t>public.OpenBeerMap_IDF</t>
  </si>
  <si>
    <t>OpenBeerMap est une application qui permet de trouver où boire sa bière préférée. Basée sur [le tag "brewery=" d'OpenStreetMap](http://wiki.openstreetmap.org/wiki/Key%3Abrewery), elle permet de trouver mais aussi de renseigner les bars, pubs et brasseries sur les bières servies à la pression.
Un projet sympathique et qui avait toute sa place dans le cadre de la carte de la Paris Beer Week.
![Aperçu du projet OBM](https://lut.im/TY04ERzb/yhcxakz3 "Filtres d'OpenBeerMap")</t>
  </si>
  <si>
    <t>parisbeerweek</t>
  </si>
  <si>
    <t>2015 ;
données ouvertes ;
open data ;
openstreetmap ;
paris beer week</t>
  </si>
  <si>
    <t xml:space="preserve">Une fois n'est pas coutume, Isogeo se penche sur le sujet de la bière, et plus précisément sur les bars et brasseries parisiennes. Et pourquoi donc ? Car du 22 au 31 mai, c'est la Beer Week à Paris. Et pour célébrer, nous vous avons préparé de belles métadonnées... et une carte !
L'objectif de la Paris Beer Week est simple : faire découvrir la bière artisanale à Paris. Celui d'Isogeo est de  montrer les possibilités d'utilisation de l'application : ici, nous avons intégré les métadonnées Isogeo dans une application webmapping.
Cerise sur le houblon, nous avons ajouté sur la couche des données d'[OpenBeerMap](http://openbeermap.github.io). </t>
  </si>
  <si>
    <t>Script Python basé sur l'[API Overpass Turbo](http://overpass-turbo.eu/), via le module [overpy](http://python-overpy.readthedocs.org/en/latest/), permettant de récupérer et de filtrer facilement les objets de la base OpenStreetMap</t>
  </si>
  <si>
    <t>01/05/2015</t>
  </si>
  <si>
    <t>31/05/2015</t>
  </si>
  <si>
    <t>13/05/2015</t>
  </si>
  <si>
    <t>13/07/2016</t>
  </si>
  <si>
    <t>PostGIS (2.1 - utf-8)</t>
  </si>
  <si>
    <t>[2.1265, 48.805]
[2.1792, 48.8774]</t>
  </si>
  <si>
    <t>BEERS (True) ;
BREWER (True) ;
NAME (True) ;
OSM_ID (True) ;
TYPE (True)</t>
  </si>
  <si>
    <t>eeeb7a31c27145e2a3c0f08415f38aed</t>
  </si>
  <si>
    <t>18/05/2015 (il y a 3 ans)</t>
  </si>
  <si>
    <t>Participants et organisateurs de la Paris Beer Week - Île de France - 2015</t>
  </si>
  <si>
    <t>public.ParisBeerWeek_participants</t>
  </si>
  <si>
    <t>Localisation des établissements participant et organisant la Paris Beer Week #2 selon la typologie indiquée sur le [site officiel](http://laparisbeerweek.com/2015/participants/).</t>
  </si>
  <si>
    <t>Une fois n'est pas coutume, Isogeo se penche sur le sujet de la bière, et plus précisément sur les bars et brasseries parisiennes. Et pourquoi donc ? Car du 22 au 31 mai, c'est la Beer Week à Paris. Et pour célébrer, nous vous avons préparé de belles métadonnées... et une carte ! L'objectif de la Paris Beer Week est simple : faire découvrir la bière artisanale à Paris. Celui d'Isogeo est de  montrer les possibilités d'utilisation de l'application : ici, nous avons intégrer les métadonnées Isogeo dans une application webmapping.</t>
  </si>
  <si>
    <t>Géocodage à partir d'un tableur (Google Sheets) basé sur le service Nominatim (OpenStreetMap) à l'aide d'un script Python puis génération d'un fichier GeoJSON (pour l'application WebMapping) et d'une table PostGIS.</t>
  </si>
  <si>
    <t>22/05/2015</t>
  </si>
  <si>
    <t>[1.9484292, 48.8415939]
[2.292092, 48.892789]</t>
  </si>
  <si>
    <t>ADDRESS (True) ;
ADR_COUNTRY (True) ;
DESCR_EN (True) ;
DESCR_FR (True) ;
FACEBOOK (True) ;
GMAPS (True) ;
NAME (True) ;
OSM (True) ;
PBW_15_EN (True) ;
PBW_15_FR (True) ;
TEL (True) ;
THUMBNAIL (True) ;
TWITTER (True) ;
TYPE (True) ;
WEBSITE (True) ;
id (True)</t>
  </si>
  <si>
    <t>92115642a6234bf2a3379b9be9bedd83</t>
  </si>
  <si>
    <t>Localisation des événements de la Paris Beer Week - Île de France - 2015</t>
  </si>
  <si>
    <t>public.ParisBeerWeek_evenements</t>
  </si>
  <si>
    <t>Localisation des événements organisés pendant la Paris Beer Week #2 selon la liste disponible sur le [site officiel](http://laparisbeerweek.com/2015/participants/).</t>
  </si>
  <si>
    <t>Données créées en vue de la Paris Beer Week 2015 (2ème édition de l'évènement).</t>
  </si>
  <si>
    <t>Extraction automatique à partir d'un tableur Excel, avant géocodage basé sur Nominatim (OpenStreetMap) et génération d'un GeoJSON via un script Python.</t>
  </si>
  <si>
    <t>[2.2117545, 48.6538322]
[2.2468648, 48.8951472]</t>
  </si>
  <si>
    <t>ADDRESS (True) ;
DESCR_EN (True) ;
DESCR_FR (True) ;
EVT_DDAY (True) ;
EVT_E_EPC (True) ;
EVT_E_TIME (True) ;
EVT_E_TXT (True) ;
EVT_S_EPC (True) ;
EVT_S_TIME (True) ;
EVT_S_TXT (True) ;
GMAPS (True) ;
NAME (True) ;
OSM (True) ;
PLACE_NAME (True) ;
URL_D15_EN (True) ;
URL_D15_FR (True) ;
endDate (True) ;
id (True) ;
startDate (True)</t>
  </si>
  <si>
    <t>cc9d1de9f1164159bea1465ef9826eb0</t>
  </si>
  <si>
    <t>Établissements Public de Coopération Intercommunale - France - 2014</t>
  </si>
  <si>
    <t>epci-20140306-5m</t>
  </si>
  <si>
    <t>Contours géographiques des EPCI issu du croisement des limites communales d'OpenStreetMap et des données du Ministère de l'Intérieur sur les EPCI datant de 2014.</t>
  </si>
  <si>
    <t>\\TORCY.hq.isogeo.fr\Data\SIG\SIG_DATA_SERVICE\PROJET\REFERENTIEL\Limites_Administratives\EPCI\2014-03\epci-20140306-5m.shp</t>
  </si>
  <si>
    <t>2014 ;
données ouvertes ;
epci ;
géofla ;
ign ;
openstreetmap</t>
  </si>
  <si>
    <t>Les données proviennent du Ministère de l'Intérieur ([voir la source](http://www.collectivites-locales.gouv.fr/liste-et-composition-2014)) croisées avec le découpage communal issu de la base de données cartographiques OpenStreetMap. 
Ces dernières ont été constituées à partir du cadastre mis à disposition par la [DGFiP](http://www.cadastre.gouv.fr). En complément sur Mayotte où le cadastre n'est pas disponible, ce sont les limites du [GEOFLA de l'IGN](http://open.isogeo.com/s/c502e8f7c9da4c3aacdf3d905672d54c/Q4SvPfiIIslbdwkbWRFJLk7XWo4G0?q=keyword%3Aisogeo%3Ageofla) qui ont été utilisées ainsi que le tracé des côtes à partir des images aériennes de Bing.</t>
  </si>
  <si>
    <t>06/03/2014</t>
  </si>
  <si>
    <t>31/12/2014</t>
  </si>
  <si>
    <t>20/12/2013</t>
  </si>
  <si>
    <t>nom_epci (True) ;
nom_osm (True) ;
osm_id (True) ;
ptot_epci (True) ;
short_name (True) ;
siren_epci (True) ;
surf_km2 (True) ;
type_epci (True) ;
web (True) ;
wikipedia (True)</t>
  </si>
  <si>
    <t>78e4a2ce9a7d4b09a80eecd131130166</t>
  </si>
  <si>
    <t>02/01/2015 (il y a 3 ans)</t>
  </si>
  <si>
    <t>Établissements Public de Coopération Intercommunale - France - 2013</t>
  </si>
  <si>
    <t>epci-20131220-5m</t>
  </si>
  <si>
    <t>Contours géographiques des EPCI issu du croisement des limites communales d'OpenStreetMap et des données du Ministère de l'Intérieur sur les EPCI datant de 2013.</t>
  </si>
  <si>
    <t>\\TORCY.hq.isogeo.fr\Data\SIG\SIG_DATA_SERVICE\PROJET\REFERENTIEL\Limites_Administratives\EPCI\2013-12\epci-20131220-5m.shp</t>
  </si>
  <si>
    <t>2013 ;
données ouvertes ;
epci ;
openstreetmap</t>
  </si>
  <si>
    <t>Les données proviennent du Ministère de l'Intérieur ([voir la source](https://www.data.gouv.fr/fr/dataset/adhesion-des-communes-a-un-etablissement-public-de-cooperation-intercommunale-epci-a-fiscal-00000000)) croisées avec le découpage communal issu de la base de données cartographiques OpenStreetMap. 
Ces dernières ont été constituées à partir du cadastre mis à disposition par la [DGFiP](http://www.cadastre.gouv.fr). En complément sur Mayotte où le cadastre n'est pas disponible, ce sont les limites du [GEOFLA de l'IGN](http://open.isogeo.com/s/c502e8f7c9da4c3aacdf3d905672d54c/Q4SvPfiIIslbdwkbWRFJLk7XWo4G0?q=keyword%3Aisogeo%3Ageofla) qui ont été utilisées ainsi que le tracé des côtes à partir des images aériennes de Bing.</t>
  </si>
  <si>
    <t>01/01/2013</t>
  </si>
  <si>
    <t>31/12/2013</t>
  </si>
  <si>
    <t>18/06/2015</t>
  </si>
  <si>
    <t>[-61.8097613541703, 16.2728327707792]
[-61.802554889298, 16.3124353746323]</t>
  </si>
  <si>
    <t>nom_epci (True) ;
ptot_epci (True) ;
siren_epci (True) ;
surf_km2 (False)</t>
  </si>
  <si>
    <t>b3a38267fce44879b7f5682097045540</t>
  </si>
  <si>
    <t>Communes - France Métropolitaine - 2014</t>
  </si>
  <si>
    <t>COMMUNE</t>
  </si>
  <si>
    <t>Ce jeu de données contient les communes qui portent, outre la description des communes, la description des unités administratives de niveau supérieur : canton, arrondissement, département et région. En France, une commune représente la plus petite entité administrative. Elle est décrite par des faces du graphe communal.
Il s'agit là des communes en polygones.</t>
  </si>
  <si>
    <t>\\TORCY.hq.isogeo.fr\Data\SIG\SIG_DATA_SERVICE\PROJET\REFERENTIEL\IGN\GeoFLA\2014-12\Communes\Métropole\COMMUNE.SHP</t>
  </si>
  <si>
    <t>2014 ;
données ouvertes ;
france métropolitaine ;
géofla ;
ign ;
limites administratives</t>
  </si>
  <si>
    <t>Ces données appartiennent au référentiel GEOFLA® version 2.0,qui est un produit numérique décrivant le découpage administratif de la France métropolitaine, des départements d'outre mer, ou de la collectivité départementale de Mayotte. Il est dérivé de la **Base de Données Cartographiques** (BD CARTO®) pour sa partie géométrique, et de la **Base de Données Administratives** pour sa partie descriptive.
Il s'inscrit dans les domaines d'application suivants à des échelles de l'ordre de 1:1 000 000 e :
- cartographie statistique et thématique simple ;
- couplage avec des données statistiques (INSEE ou autres) et des informations « utilisateur » ;
- localisation d'événements ;
- visualisation de l'implantation de réseaux de distribution ;
- applications de géomarketing.</t>
  </si>
  <si>
    <t>Lors de la constitution de GEOFLA®, la géométrie, issue de la BD CARTO®, est simplifiée par suppression et répartition des points intermédiaires. Les propriétés de cette opération de "généralisation" sont les suivantes :
- la topologie et les relations de voisinage entre les communes, les cantons, les arrondissements et les départements sont conservées ;
- les sommets du graphe des limites communales, cantonales, d'arrondissements et départementales ne sont pas déplacés ;
- entre une limite généralisée de la classe Limites (communales, cantonales, d'arrondissements et départementales)
Une nouvelle méthode de généralisation a été mise en œuvre. Les limites du produit GEOFLA® version 2.0 ne correspondent pas aux limites du produit version 1.1, sans pour autant que les limites administratives aient subi de modifications.</t>
  </si>
  <si>
    <t>01/01/2014</t>
  </si>
  <si>
    <t>04/12/2014</t>
  </si>
  <si>
    <t>20/01/2015</t>
  </si>
  <si>
    <t>[-5.13899781360749, 48.4499968357732]
[-5.13800882889812, 48.45211793129]</t>
  </si>
  <si>
    <t>CODE_ARR (True) ;
CODE_CANT (True) ;
CODE_COM (True) ;
CODE_DEPT (True) ;
CODE_REG (True) ;
ID_GEOFLA (True) ;
INSEE_COM (True) ;
NOM_COM (True) ;
NOM_DEPT (True) ;
NOM_REG (True) ;
POPULATION (True) ;
STATUT (True) ;
SUPERFICIE (True) ;
X_CENTROID (True) ;
X_CHF_LIEU (True) ;
Y_CENTROID (True) ;
Y_CHF_LIEU (True) ;
Z_MOYEN (True)</t>
  </si>
  <si>
    <t>Guide INSPIRE sur les unités administratives 03/05/2010  - Non conforme</t>
  </si>
  <si>
    <t>Topologie simple.
La géométrie, issue de la base de données unifiée, est simplifiée par suppression et répartition des points intermédiaires.
Les propriétés de cette opération de « généralisation » sont les suivantes :
* La topologie et les relations de voisinage entre les communes, les cantons, les arrondissements et les départements sont conservées ;
* Les sommets du graphe des limites communales, cantonales, d’arrondissements et départementales ne sont pas déplacés ;
* Entre une limite généralisée des classes « LIMITES » (communales, cantonales, d’arrondissements et départementales) et son homologue non généralisé dans la base de données unifiée , l’écart maximum est de 1000 mètres.</t>
  </si>
  <si>
    <t>Licence ouverte ETALAB 1.0 La réutilisation de GEOFLA® est **gratuite** pour tous les usages, y compris commerciaux, selon les termes de la "licence ouverte" version 1.0..  http://www.etalab.gouv.fr/licence-ouverte-open-licence</t>
  </si>
  <si>
    <t>Légale Aucune contrainte . Autre Aucun des articles de la loi ne peut être invoqué pour justifier d’une restriction d’accès public. Pas de restriction d’accès public selon INSPIRE</t>
  </si>
  <si>
    <t>IGN - BD (sav.bd@ign.fr)</t>
  </si>
  <si>
    <t>fa079cbb63cd4099bf249e572dbf4563</t>
  </si>
  <si>
    <t>26/12/2014 (il y a 3 ans)</t>
  </si>
  <si>
    <t>Départements - France Métropolitaine - 2014</t>
  </si>
  <si>
    <t>DEPARTEMENT</t>
  </si>
  <si>
    <t xml:space="preserve">GEOFLA® est un produit numérique décrivant le découpage administratif de la France métropolitaine, des départements d'outre mer, ou de la collectivité départementale de Mayotte. Il est dérivé de la **Base de Données Cartographiques** (BD CARTO®) pour sa partie géométrique, et de la **Base de Données Administratives** pour sa partie descriptive. </t>
  </si>
  <si>
    <t>\\TORCY.hq.isogeo.fr\Data\SIG\SIG_DATA_SERVICE\PROJET\REFERENTIEL\IGN\GeoFLA\2014-12\Départements\Métropole\DEPARTEMENT.SHP</t>
  </si>
  <si>
    <t>2014 ;
données ouvertes ;
france métropolitaine ;
géofla ;
ign ;
limites administratives ;
webinaire</t>
  </si>
  <si>
    <t>GEOFLA® est dérivé de la **Base de Données Cartographiques** (BD CARTO®) pour sa partie géométrique, et de la **Base de Données Administratives** pour sa partie descriptive.</t>
  </si>
  <si>
    <t xml:space="preserve">Lors de la constitution de GEOFLA®, la géométrie, issue de la BD CARTO®, est simplifiée par suppression et répartition des points intermédiaires. Les propriétés de cette opération de "généralisation" sont les suivantes :
- la topologie et les relations de voisinage entre les communes, les cantons, les arrondissements et les départements sont conservées ;
- les sommets du graphe des limites communales, cantonales, d'arrondissements et départementales ne sont pas déplacés ;
- entre une limite généralisée de la classe Limites (communales, cantonales, d'arrondissements et départementales)
</t>
  </si>
  <si>
    <t>PT10H</t>
  </si>
  <si>
    <t>22/11/2017</t>
  </si>
  <si>
    <t>[-5.13899646845079, 48.4499969283375]
[-5.13800316978142, 48.452116511798]</t>
  </si>
  <si>
    <t>CODE_CHF (True) ;
CODE_DEPT (True) ;
CODE_REG (True) ;
ID_GEOFLA (True) ;
NOM_CHF (True) ;
NOM_DEPT (True) ;
NOM_REG (True) ;
Statut com (False) ;
X_CENTROID (True) ;
X_CHF_LIEU (True) ;
Y_CENTROID (True) ;
Y_CHF_LIEU (True)</t>
  </si>
  <si>
    <t>IGN - Produits Vecteur 15/01/2014 http://professionnels.ign.fr/sites/default/files/DL_vecteur.pdf - Non conforme</t>
  </si>
  <si>
    <t>754209f115c040a48d43ffc262b16500</t>
  </si>
  <si>
    <t>Communes - Guyane - 2014</t>
  </si>
  <si>
    <t>\\TORCY.hq.isogeo.fr\Data\SIG\SIG_DATA_SERVICE\PROJET\REFERENTIEL\IGN\GeoFLA\2014-12\Communes\973\COMMUNE.SHP</t>
  </si>
  <si>
    <t>2014 ;
données ouvertes ;
guyane ;
géofla ;
ign ;
limites administratives</t>
  </si>
  <si>
    <t>RGFG95 / UTM zone 22N (2972)</t>
  </si>
  <si>
    <t>[-54.6024146518369, 2.33499144430761]
[-54.4789828402554, 4.89935640762434]</t>
  </si>
  <si>
    <t>ba9883af618e4baebf41c4a0082521cb</t>
  </si>
  <si>
    <t>Communes - Martinique - 2014</t>
  </si>
  <si>
    <t>\\TORCY.hq.isogeo.fr\Data\SIG\SIG_DATA_SERVICE\PROJET\REFERENTIEL\IGN\GeoFLA\2014-12\Communes\972\COMMUNE.SHP</t>
  </si>
  <si>
    <t>2014 ;
données ouvertes ;
géofla ;
ign ;
limites administratives ;
martinique</t>
  </si>
  <si>
    <t>WGS 84 / UTM zone 20N (32620)</t>
  </si>
  <si>
    <t>[-61.2291071648433, 14.8143802483505]
[-61.2288573619021, 14.8211113335096]</t>
  </si>
  <si>
    <t>Julien MOURA (julien.moura@isogeo.com) ;
IGN - BD (sav.bd@ign.fr)</t>
  </si>
  <si>
    <t>7fd4f6a1b7694b5b87d1c4b4160cb733</t>
  </si>
  <si>
    <t>Communes - La Réunion - 2014</t>
  </si>
  <si>
    <t>\\TORCY.hq.isogeo.fr\Data\SIG\SIG_DATA_SERVICE\PROJET\REFERENTIEL\IGN\GeoFLA\2014-12\Communes\974\COMMUNE.SHP</t>
  </si>
  <si>
    <t>2014 ;
données ouvertes ;
géofla ;
ign ;
la réunion ;
limites administratives</t>
  </si>
  <si>
    <t>RGR92 / UTM zone 40S (2975)</t>
  </si>
  <si>
    <t>[55.2164917584898, -21.0390571876552]
[55.2166985622775, -21.0378490246678]</t>
  </si>
  <si>
    <t>ea84dc434f284962a9e0b6972c10d315</t>
  </si>
  <si>
    <t>Communes - Mayotte - 2014</t>
  </si>
  <si>
    <t>\\TORCY.hq.isogeo.fr\Data\SIG\SIG_DATA_SERVICE\PROJET\REFERENTIEL\IGN\GeoFLA\2014-12\Communes\976\COMMUNE.SHP</t>
  </si>
  <si>
    <t>2014 ;
données ouvertes ;
géofla ;
ign ;
limites administratives ;
mayotte</t>
  </si>
  <si>
    <t>RGM04 / UTM zone 38S (4471)</t>
  </si>
  <si>
    <t>[45.0203970259353, -12.643017544374]
[45.0258018878182, -12.6372386227318]</t>
  </si>
  <si>
    <t>CODE_ARR (False) ;
CODE_CANT (False) ;
CODE_COM (False) ;
CODE_DEPT (False) ;
CODE_REG (False) ;
ID_GEOFLA (False) ;
INSEE_COM (False) ;
NOM_COM (False) ;
NOM_DEPT (False) ;
NOM_REG (False) ;
POPULATION (False) ;
STATUT (False) ;
SUPERFICIE (False) ;
X_CENTROID (False) ;
X_CHF_LIEU (False) ;
Y_CENTROID (False) ;
Y_CHF_LIEU (False) ;
Z_MOYEN (False)</t>
  </si>
  <si>
    <t>e631f4197f744a1eb06892c8f3f9a264</t>
  </si>
  <si>
    <t>Submersion marine - France métropolitaine</t>
  </si>
  <si>
    <t>n_azi_submersion_marine_s</t>
  </si>
  <si>
    <t xml:space="preserve">La présence de documents réglementaires ou d'informations concernant un risque peut révéler des problèmes de vulnérabilité  pour certains territoires. L'analyse de ces documents représente donc un bon indicateur de vulnérabilité aux risques littoraux .
Cette couche répartie au niveau national le nombre de plans de prévention des Risques Littoraux (ppRL) qui ont été approuvés par communes.
Sa représentation cartographique se discrétise en quatre catégories :
* communes dont 4 documents de type ppRL ont été approuvés
* communes dont 3 documents de type ppRL ont été prescrits.
* communes dont 2 documents de type ppRL ont été prescrits.
* communes dont 1 document de type ppRL a été prescrit.
</t>
  </si>
  <si>
    <t>\\TORCY\Data\SIG\SIG_DATA_SERVICE\DEMO\Evenements\GeoLittoral\n_azi_submersion_marine_s_092014\n_azi_submersion_marine_s.shp</t>
  </si>
  <si>
    <t>démonstration ;
esr ;
littoral ;
risques littoraux ;
sicoval ;
submersions marines ;
vulnérabilités</t>
  </si>
  <si>
    <t>Zones à risque naturel</t>
  </si>
  <si>
    <t>Pour construire cette couche cartographique, les plans de préventions des Risques Littoraux (ppRL) réalisés sur une commune ont été exploités. Cette exploitation inclue également :
* les plans d'Exposition aux Risques (pER),
* les plans de préventions des Risques Naturels (ppRN)
* et les périmètres R111-3 (article réglementaire dont une ancienne version stipule "la construction sur des terrains exposés à un risque tel que : inondation, érosion, affaissement, éboulement, avalanches, peut, si elle est autorisée, être subordonnée à des conditions spéciales. Ces terrains sont délimités par arrêté préfectoral pris après consultation des services intéressés et enquête dans les formes prévues par le décret n°59-701 du 6 juin 1959 relatif à la procédure d'enquête préalable à la déclaration d'utilité publique et avis du conseil municipal").
Tous ces documents proviennent de la **BD nationale GASPAR**.</t>
  </si>
  <si>
    <t>09/09/2009</t>
  </si>
  <si>
    <t>22/12/2014</t>
  </si>
  <si>
    <t>[-5.434569865465164, 42.60700959090106]
[-5.434569865465164, 50.559976933595685]</t>
  </si>
  <si>
    <t>arrondisse (False) ;
azi (False) ;
canton (False) ;
cod_nat_az (False) ;
code_insee (False) ;
commune (False) ;
dat_deb (False) ;
dat_diffus (False) ;
dat_info_c (False) ;
dat_pub_ne (False) ;
dat_realis (False) ;
departemen (False) ;
gid (False) ;
lib_azi (False) ;
lib_bassin (False) ;
lib_cours_ (False) ;
muilti_can (False) ;
nom (False) ;
num_risque (False) ;
population (False) ;
region (False) ;
source_geo (False) ;
statut (False)</t>
  </si>
  <si>
    <t xml:space="preserve">Pas de licence associée Ressource disponible du 1/10.000.000 au 1/100.000.  </t>
  </si>
  <si>
    <t xml:space="preserve">Légale L124-5-II-2 du code de l’environnement (Directive 2007/2/CE (INSPIRE), Article 13.1.c). Copyright  </t>
  </si>
  <si>
    <t>Direction Technique Eau, Mer et Fleuves (DI.DTecEMF@cerema.fr) ;
DGPR (Dgpr@developpement-durable.gouv.fr)</t>
  </si>
  <si>
    <t>cb71d8f42ba44788b348b5bc9f79e58c</t>
  </si>
  <si>
    <t>26/08/2014 (il y a 4 ans)</t>
  </si>
  <si>
    <t>Axes de vol non réalisés (Ortho-littorale v2)</t>
  </si>
  <si>
    <t>public.n_axe_vol_non_realise_l</t>
  </si>
  <si>
    <t>Entre 2011 et 2014, une succession de prise de vues du littoral français métropolitain est réalisée en vue d'établir une couverture d'orthophotographies sur tout son linéaire. La production de cette orthophotographie s'effectue au rythme des campagnes de vols. Ces dernières ne peuvent être réalisées que sous des conditions bien particulières : à marée basse en période de grande marée avec une hauteur d’eau inférieure à 1 mètre dans des conditions anticycloniques (&gt; 1013hPa) établies depuis au moins 48 heures.
Cette couche représente les axes de vols qui ont été programmées mais qui n'ont pas encore été volés faute de conditions météorologiques et de créneaux de marées favorables.</t>
  </si>
  <si>
    <t>geolittoral</t>
  </si>
  <si>
    <t>littoral ;
orthophotographies ;
vols</t>
  </si>
  <si>
    <t>Ortho-imagerie</t>
  </si>
  <si>
    <t>Les axes de vol ont été définis par le prestataire de l'ortho littorale et le CEREMA (Direction Territoriale Normandie-Centre) pour respecter les spécifications du cahier des charges et couvrir la zone de prises de vues.</t>
  </si>
  <si>
    <t>10/07/2014</t>
  </si>
  <si>
    <t>[-1.90328837328581, 48.6294567187158]
[1.55701971295592, 50.93617716967]</t>
  </si>
  <si>
    <t>couche (False) ;
elevation (False) ;
gid (False) ;
idu (False) ;
kml_folder (False) ;
name (False)</t>
  </si>
  <si>
    <t xml:space="preserve">Pas de licence associée Ressource disponible du 1/66.000 au 1/1.000.  </t>
  </si>
  <si>
    <t>Direction Territoriale Normandie-Centre (geolittoral.geel.dadt.dternc@cerema.fr) ;
MEDDE / DGALN (Dgaln@developpement-durable.gouv.fr)</t>
  </si>
  <si>
    <t>bcd4a239d26c479f96d2906240b185dc</t>
  </si>
  <si>
    <t>08/08/2014 (il y a 4 ans)</t>
  </si>
  <si>
    <t>23/05/2018 (il y a 4 mois)</t>
  </si>
  <si>
    <t>Stades de la coupe du monde de football - 2014</t>
  </si>
  <si>
    <t>WC2014_stadiums</t>
  </si>
  <si>
    <t>Centroïdes des stades de l'édition 2014 de la **coupe du monde de football** qui se déroule au Brésil du 12 juin au 13 juillet.</t>
  </si>
  <si>
    <t>\\TORCY.hq.isogeo.fr\Data\SIG\SIG_DATA_SERVICE\DEMO\Evenements\Coupe du monde 2014\WC2014_stadiums.shp</t>
  </si>
  <si>
    <t>2014 ;
brésil ;
coupe du monde 2014 ;
données ouvertes ;
football ;
stade</t>
  </si>
  <si>
    <t>Récupération des données auprès de sites internets comme [Open Football](http://openfootball.github.io/), sur **OpenStreetMap** ou d'après le [site officiel de la FIFA](http://fr.fifa.com/worldcup/destination/stadiums/).</t>
  </si>
  <si>
    <t>Script Python pour les données OSM et Open Football ;
Extraction manuelle pour le site de la FIFA.</t>
  </si>
  <si>
    <t>12/06/2014</t>
  </si>
  <si>
    <t>13/07/2014</t>
  </si>
  <si>
    <t>P4Y</t>
  </si>
  <si>
    <t>17/04/2018</t>
  </si>
  <si>
    <t>WGS 84 / World Mercator (3395)</t>
  </si>
  <si>
    <t>[-60.0281593089045, -3.10401929853639]
[-38.522476307594, -3.83285505930591]</t>
  </si>
  <si>
    <t>city (True) ;
city_dens (True) ;
city_popul (True) ;
elevation (True) ;
fifa_fr (True) ;
image (True) ;
lat (True) ;
long (True) ;
metr_popul (True) ;
nb_matches (True) ;
ref_IBGE (True) ;
region (True) ;
seats (True) ;
stadium (True) ;
state (True) ;
type (True) ;
wiki_fr (True)</t>
  </si>
  <si>
    <t>Pas de licence associée .   ;
Licence IGN - Mission de service public .  http://professionnels.ign.fr/sites/default/files/cgu-mission-service-public.pdf ;
Licence ouverte ETALAB 1.0 .  http://www.etalab.gouv.fr/licence-ouverte-open-licence</t>
  </si>
  <si>
    <t>Sécurité .    ;
Légale . Brevet en attente   ;
Légale . Licence La bonne marche de la justice, la possibilité pour toute personne d’être jugée équitablement ou la capacité d’une autorité publique d’effectuer une enquête d’ordre pénal ou disciplinaire. L124-5-II-2 du code de l’environnement (Directive 2007/2/CE (INSPIRE), Article 13.1.c) ;
Légale . Licence Aucun des articles de la loi ne peut être invoqué pour justifier d’une restriction d’accès public. Pas de restriction d’accès public selon INSPIRE ;
Légale . Autre La protection de l’environnement auquel ces informations ont trait, comme par exemple la localisation d’espèces rares. L124-4-I-2 du code de l’environnement (Directive 2007/2/CE (INSPIRE), Article 13.1.h) ;
Légale . Droits de propriété intellectuelle   ;
Légale . Brevet Aucun des articles de la loi ne peut être invoqué pour justifier d’une restriction d’accès public. Pas de restriction d’accès public selon INSPIRE ;
Légale . Limité   ;
Légale . Copyright Les intérêts ou la protection de toute personne qui a fourni les informations demandées sur une base volontaire sans y être contrainte par la loi ou sans que la loi puisse l’y contraindre, à moins que cette personne n’ait consenti à la divulgation de ces données. L124-4-I-3 du code de l’environnement (Directive 2007/2/CE (INSPIRE), Article 13.1.g) ;
Légale . Marque déposée La confidentialité des données à caractère personnel et/ou des fichiers concernant une personne physique lorsque cette personne n’a pas consenti à la divulgation de ces informations au public, lorsque la confidentialité de ce type d’information est prévue par la législation nationale ou communautaire. L124-4-I-1 du code de l’environnement (Directive 2007/2/CE (INSPIRE), Article 13.1.f)</t>
  </si>
  <si>
    <t>56ed291af72f46dc9835fc9ae29fe938</t>
  </si>
  <si>
    <t>13/06/2014 (il y a 4 ans)</t>
  </si>
  <si>
    <t>05/06/2018 (il y a 3 mois)</t>
  </si>
  <si>
    <t>Cantons - France métropolitaine - 2013</t>
  </si>
  <si>
    <t>CANTON</t>
  </si>
  <si>
    <t>GEOFLA® est un produit numérique décrivant le découpage administratif de la France métropolitaine, des départements d'outre mer, ou de la collectivité départementale de Mayotte. Il est dérivé de la **Base de Données Cartographiques** (BD CARTO®) pour sa partie géométrique, et de la **Base de Données Administratives** pour sa partie descriptive.
il s’agit là des limites du découpage cantonal du territoire métropolitain, au sens INSEE (appelés également pseudo-cantons) et non les cantons électoraux.</t>
  </si>
  <si>
    <t>\\TORCY.hq.isogeo.fr\Data\SIG\SIG_DATA_SERVICE\PROJET\REFERENTIEL\IGN\GeoFLA\2013-11-00162\Cantons\CANTON.SHP</t>
  </si>
  <si>
    <t>2013 ;
données ouvertes ;
france métropolitaine ;
géofla ;
ign</t>
  </si>
  <si>
    <t>01/12/2013</t>
  </si>
  <si>
    <t>06/01/2014</t>
  </si>
  <si>
    <t>ESRI Shapefile (1.0 - iso-8859-1)</t>
  </si>
  <si>
    <t>[-5.13901728543322, 48.4509089667581]
[-5.13183663311558, 48.4584211197216]</t>
  </si>
  <si>
    <t>CODE_ARR (True) ;
CODE_CANT (True) ;
CODE_CHF (True) ;
CODE_DEPT (True) ;
CODE_REG (True) ;
ID_GEOFLA (True) ;
NOM_CHF (True) ;
NOM_DEPT (True) ;
NOM_REGION (True) ;
X_CENTROID (True) ;
X_CHF_LIEU (True) ;
Y_CENTROID (True) ;
Y_CHF_LIEU (True)</t>
  </si>
  <si>
    <t xml:space="preserve">Lors de la constitution de GEOFLA®, la géométrie, issue de la BD CARTO®, est simplifiée par
suppression et répartition des points intermédiaires.
Les propriétés de cette opération de "généralisation" sont les suivantes :
* La topologie et les relations de voisinage entre les communes, les cantons, les
arrondissements et les départements sont conservées ;
* Les sommets du graphe des limites communales, cantonales, d’arrondissements et
départementales ne sont pas déplacés ;
* Entre une limite généralisée de la classe Limites (communales, cantonales,
d’arrondissements et départementales) et son homologue non généralisé dans la BD CARTO®,
l’écart maximum est de 500 mètres.
</t>
  </si>
  <si>
    <t>Licence IGN - Mission de service public .  http://professionnels.ign.fr/sites/default/files/cgu-mission-service-public.pdf</t>
  </si>
  <si>
    <t>IGN - BD (sav.bd@ign.fr) ;
Isogeo (contact@isogeo.com)</t>
  </si>
  <si>
    <t>9dc817d4ed0b402697cfe1007a410f0c</t>
  </si>
  <si>
    <t>03/06/2014 (il y a 4 ans)</t>
  </si>
  <si>
    <t>Servitude d'utilité publique catégorie PM3 sur le département de la Corrèze</t>
  </si>
  <si>
    <t>Les servitudes d’utilité publique sont des limitations administratives au droit de propriété, elles sont instituées au bénéfice de personnes publiques, de concessionnaires de services ou de travaux publics, de personnes privées exerçant une activité d’intérêt général. La collecte et la conservation des servitudes d’utilité publique sont une mission régalienne de l’État qui doit les porter à la connaissance des collectivités territoriales afin que celles-ci les annexent à leur document d’urbanisme. Les servitudes d’utilité publique concernées sont celles définies par les articles L. 126-1 et R, 126-1 du code de l’urbanisme et leur annexes.</t>
  </si>
  <si>
    <t>document d'urbanisme ;
données ouvertes ;
gpu ;
planification ;
sup ;
urbanisme</t>
  </si>
  <si>
    <t>Zones de gestion, de restriction ou de réglementation et unités de déclaration</t>
  </si>
  <si>
    <t>Mise au standard CNIG de la servitude PM3 à partir des fichiers Mapinfo utilisé pour la réalisation des PPRT</t>
  </si>
  <si>
    <t>23/10/2012 (il y a 5 ans)</t>
  </si>
  <si>
    <t>NR (NR - utf-8)</t>
  </si>
  <si>
    <t>[1.23760854881202, 45.7651483035062]
[1.2399999999999194, 45.76516173995917]</t>
  </si>
  <si>
    <t>CNIG SUP v2013 19/12/2013 http://cnig.gouv.fr/wp-content/uploads/2014/09/20140930_STANDARD_SUP_V2013.pdf - Conforme</t>
  </si>
  <si>
    <t>Direction Départementale des Territoires de la Corrèze (ddt-planification@correze.gouv.fr)</t>
  </si>
  <si>
    <t>909b7a901ce04829a393806ac654475b</t>
  </si>
  <si>
    <t>Plan d'Occupation des Sols de Les Pieux</t>
  </si>
  <si>
    <t>Plan d'Occupation des Sols (POS) numérisé. Ce lot informe du droit à bâtir sur la commune de Les Pieux. Ce POS est numérisé conformément aux prescriptions nationales du CNIG</t>
  </si>
  <si>
    <t>document d'urbanisme ;
données ouvertes ;
gpu ;
planification ;
pos ;
urbanisme</t>
  </si>
  <si>
    <t>Document d’urbanisme numérisé conformément aux prescriptions nationales du CNIG du 19 avril 2013. Ce lot de données produit en 2013 a été numérisé à partir du PCI Vecteur de 2013</t>
  </si>
  <si>
    <t>05/06/2013 (il y a 5 ans)</t>
  </si>
  <si>
    <t>06/06/2013 (il y a 5 ans)</t>
  </si>
  <si>
    <t>NR (NR - iso-8859-1)</t>
  </si>
  <si>
    <t>[-1.85838247612808, 49.4880360093061]
[-1.85838247612808, 49.5369357179871]</t>
  </si>
  <si>
    <t>CNIG PLU v2014 02/10/2014 http://cnig.gouv.fr/wp-content/uploads/2016/08/141002_Standard_CNIG_PLU.pdf - Conforme ;
Guide INSPIRE sur l'usage des sols 10/12/2013  - Conforme</t>
  </si>
  <si>
    <t>Légale Usage libre sous réserve des mentions obligatoires sur tout document de diffusion : "Source : Communes des Pieux". Licence Aucun des articles de la loi ne peut être invoqué pour justifier d’une restriction d’accès public. Pas de restriction d’accès public selon INSPIRE</t>
  </si>
  <si>
    <t>Mairie Les Pieux (mairie@lespieux.fr)</t>
  </si>
  <si>
    <t>793f0a68c3b8452b8663e4e03157d18f</t>
  </si>
  <si>
    <t>Format (version)</t>
  </si>
  <si>
    <t>Esri Feature Service - Corse</t>
  </si>
  <si>
    <t>IGN</t>
  </si>
  <si>
    <t>Service des données ouvertes de la Corse</t>
  </si>
  <si>
    <t>corse ;
données ouvertes ;
esri feature ;
ign</t>
  </si>
  <si>
    <t>ESRI Feature Service ()</t>
  </si>
  <si>
    <t>2847769d91e943f59b90298c02f2c714</t>
  </si>
  <si>
    <t>ESRI Feature Service - Nanterre</t>
  </si>
  <si>
    <t>Couche_SIG</t>
  </si>
  <si>
    <t>Service de données ouvertes de la Ville de Nanterre publié avec ArcGis Server</t>
  </si>
  <si>
    <t>données ouvertes ;
esri feature ;
service public</t>
  </si>
  <si>
    <t>ESRI Feature Service (10.2.2)</t>
  </si>
  <si>
    <t>947bf521c208434fa333f3ef2fd7dbfb</t>
  </si>
  <si>
    <t>geoportail_numerique</t>
  </si>
  <si>
    <t>Couches relatives au numérique (bornes WiFi de la Ville de Dijon...)</t>
  </si>
  <si>
    <t>démonstration ;
informatique ;
neogeo ;
numérique ;
wifi</t>
  </si>
  <si>
    <t>ESRI Map Service ()</t>
  </si>
  <si>
    <t>[4.872436523437499, 47.210240027362104]
[4.872436523437499, 47.42622912485741]</t>
  </si>
  <si>
    <t>62d114d0fc1c4f04bb36416abbdd6537</t>
  </si>
  <si>
    <t>04/07/2018 (il y a 2 mois)</t>
  </si>
  <si>
    <t>Service de visualisation cartographique (WMS) des jeux de données de pédologie du Département de la Mayenne</t>
  </si>
  <si>
    <t>Service de visualisation cartographique (WMS) des jeux de données de pédologie du Département de la Mayenne diffusés au grand public sur la plateforme "geomayenne.fr".</t>
  </si>
  <si>
    <t>mayenne ;
pédologie ;
service d’accès aux cartes ;
sols ;
visualisation ;
wms</t>
  </si>
  <si>
    <t>WMS (1.3.0)</t>
  </si>
  <si>
    <t>[-1.131591796875, 47.73193447949174]
[-1.131591796875, 48.494767515307295]</t>
  </si>
  <si>
    <t>ebe2c494980b493388a7a76415e1edeb</t>
  </si>
  <si>
    <t>Isogeo - Web Feature Service de démonstration</t>
  </si>
  <si>
    <t>**FR**
Serveur géographique interne à Isogeo et dédié aux tests et aux démonstrations de la plateforme et des outils liés.
**EN**
This is an internal geospatial server owned by Isogeo to demonstrate integration within its platform and related tools.</t>
  </si>
  <si>
    <t>démonstration ;
geoserver ;
isogeo ;
ogc ;
wfs</t>
  </si>
  <si>
    <t>WFS (2.0.0)</t>
  </si>
  <si>
    <t>[-7.734374999999999, 39.90973623453719]
[-7.734374999999999, 52.26815737376817]</t>
  </si>
  <si>
    <t>dafd5560a6f744d49572230c0623c836</t>
  </si>
  <si>
    <t>18/04/2018 (il y a 5 mois)</t>
  </si>
  <si>
    <t>Isogeo - Web Map Service de démonstration</t>
  </si>
  <si>
    <t>geoserver ;
isogeo ;
wms</t>
  </si>
  <si>
    <t>61152083b16240f0a4341ee035ed7100</t>
  </si>
  <si>
    <t>11/06/2018 (il y a 3 mois)</t>
  </si>
  <si>
    <t>Service de visualisation des données Disneyland</t>
  </si>
  <si>
    <t>Decryptageo_2017</t>
  </si>
  <si>
    <t>Service de visualisation WMS des données Disneyland produit pour la master Class d'isogeo au salon Décryptagéo 2017</t>
  </si>
  <si>
    <t>esri ;
osm ;
visualisation ;
wms</t>
  </si>
  <si>
    <t>01/02/2017 (il y a 2 ans)</t>
  </si>
  <si>
    <t>ESRI Map Service (10.5)</t>
  </si>
  <si>
    <t>[2.7352523803710938, 48.83466754148594]
[2.7352523803710938, 48.89293819477081]</t>
  </si>
  <si>
    <t>Spécifications techniques pour la mise en oeuvre d'un service de visualisation INSPIRE - WMS 04/04/2013  - Non conforme</t>
  </si>
  <si>
    <t xml:space="preserve">Pas de licence associée .  </t>
  </si>
  <si>
    <t>68c61a725441499dba1b001a467dd968</t>
  </si>
  <si>
    <t>Service de visualisation (ESRI Map Service) des jeux de données de pédologie du Département de la Mayenne</t>
  </si>
  <si>
    <t>D53_Pedologie</t>
  </si>
  <si>
    <t>Données des études pédologiques par commune de la Mayenne</t>
  </si>
  <si>
    <t>esri map ;
mayenne ;
pédologie ;
service d'accès aux cartes ;
sols ;
visualisation</t>
  </si>
  <si>
    <t>04/02/2015 (il y a 3 ans)</t>
  </si>
  <si>
    <t>ESRI Map Service (10.4.1)</t>
  </si>
  <si>
    <t>[-1.12060546875, 47.720849190702324]
[-1.12060546875, 48.57842428752037]</t>
  </si>
  <si>
    <t>f5ba203d409f45d78f7f64b073ea1649</t>
  </si>
  <si>
    <t>Service de téléchargement direct (WFS) des jeux de données de pédologie du Département de la Mayenne</t>
  </si>
  <si>
    <t>Service de téléchargement direct (WFS) des jeux de données de pédologie du Département de la Mayenne diffusés au grand public sur la plateforme "geomayenne.fr".</t>
  </si>
  <si>
    <t>mayenne ;
pédologie ;
service d’accès aux éléments ;
sols ;
téléchargement ;
wfs</t>
  </si>
  <si>
    <t>Spécifications techniques pour la mise en oeuvre d'un service de téléchargement INSPIRE - WFS 09/08/2013  - Non conforme</t>
  </si>
  <si>
    <t>0f44683c7f664367bc2ac9afd7f4f5ed</t>
  </si>
  <si>
    <t>Service WMS magOSM</t>
  </si>
  <si>
    <t>Ce service WFS du catalogue MagOSM vous propose d'accéder facilement à de la donnée thématique à jour issue de la base de données ouverte et collaborative OpenStreetMap (OSM) [1]
Les services fournis s'appuient sur une base PostgreSQL/PostGIS [2] mise à jour quotidiennement avec Osmosis [3] et Osm2pgsql [4] depuis les fichiers de diffs publiés par Geofabrik [5].
[1] https://wiki.openstreetmap.org/wiki/FR:Page_principale
[2] https://www.postgresql.org/ et http://postgis.net/
[3] https://wiki.openstreetmap.org/wiki/Osmosis
[4] http://wiki.openstreetmap.org/wiki/Osm2pgsql
[5] http://www.geofabrik.de/data/download.html</t>
  </si>
  <si>
    <t>e52aa6f8170741629a70c30fb832e25b</t>
  </si>
  <si>
    <t>04/08/2017 (il y a un an)</t>
  </si>
  <si>
    <t>Service WFS magOSM</t>
  </si>
  <si>
    <t>**magOSM** est un service d'accès aux données [OpenStreetMap (OSM)](https://wiki.openstreetmap.org/wiki/FR:Page_principale) aux formats WFS/WMS. Il permet ainsi d'accéder et travailler directement sous QGIS (ou autres) avec des couches de données vectorielles. Le référencement dans un catalogue Isogeo offre une interface de recherche et le renseignement de métadonnées.
Le service fourni s'appuie notamment sur une base [PostgreSQL](https://www.postgresql.org)/[PostGIS](http://postgis.net/) mise à jour quotidiennement avec [Osmosis](https://wiki.openstreetmap.org/wiki/Osmosis) et [Osm2pgsql](http://wiki.openstreetmap.org/wiki/Osm2pgsql) depuis les fichiers de diffs publiés par [Geofabrik](http://www.geofabrik.de/data/download.html).</t>
  </si>
  <si>
    <t>geoserver</t>
  </si>
  <si>
    <t>03/08/2017 (il y a un an)</t>
  </si>
  <si>
    <t>539a50352c3e4eabb44e41f48b0350f0</t>
  </si>
  <si>
    <t>Service de téléchargement direct (WFS) des jeux de données des réseaux routiers du Département de la Mayenne</t>
  </si>
  <si>
    <t>Service de téléchargement direct (WFS) des jeux de données des réseaux routiers du Département de la Mayenne diffusés au grand public sur la plateforme "geomayenne.fr".</t>
  </si>
  <si>
    <t>geomayenne.fr ;
routes ;
service d’accès aux éléments ;
téléchargement</t>
  </si>
  <si>
    <t>[-1.0338592668995261, 47.85986010647078]
[-1.0338592668995261, 48.28562985999959]</t>
  </si>
  <si>
    <t>5a80801b87a34886acba38e47f0c49c2</t>
  </si>
  <si>
    <t>24/04/2017 (il y a un an)</t>
  </si>
  <si>
    <t>Service de visualisation cartographique (WMS) des jeux de données des réseaux routiers du Département de la Mayenne</t>
  </si>
  <si>
    <t>Service de visualisation cartographique (WMS) des jeux de données des réseaux routiers du Département de la Mayenne diffusés au grand public sur la plateforme "geomayenne.fr".</t>
  </si>
  <si>
    <t>geomayenne.fr ;
grand public ;
routes ;
réseaux routiers ;
services d'accès aux cartes ;
visualisation ;
wms 1.3.0</t>
  </si>
  <si>
    <t>[-0.967369086574763, 47.8586315151218]
[-0.967369086574763, 48.32825658109871]</t>
  </si>
  <si>
    <t>412ad6bf77614f8da8d9c8692b190ecf</t>
  </si>
  <si>
    <t>Service de visualisation cartographique (WMS) de Lorient Agglomération</t>
  </si>
  <si>
    <t>Le service permet de consulter les données de Lorient Agglomération [GéoBretagne] représentées sur des cartes.</t>
  </si>
  <si>
    <t>lorient agglomération ;
service d'accès aux cartes ;
visualisation ;
wms</t>
  </si>
  <si>
    <t>[-3.6147880589123815, 47.586406707521135]
[-3.6147880589123815, 47.89117833749013]</t>
  </si>
  <si>
    <t>GeoBretagne (coprev.dreal-bretagne@developpement-durable.gouv.fr) ;
Lorient Agglomération (sig@agglo-lorient.fr)</t>
  </si>
  <si>
    <t>b51c4197df0245279f0a054e551b79db</t>
  </si>
  <si>
    <t>07/11/2016 (il y a 2 ans)</t>
  </si>
  <si>
    <t>Service de téléchargement direct (WFS) de Lorient Agglomération</t>
  </si>
  <si>
    <t>Le service permet de télécharger les données du partenariat Lorient Agglomération - GéoBretagne selon différents formats SIG.</t>
  </si>
  <si>
    <t>lorient agglomération ;
service d'accès aux éléments ;
téléchargement ;
visualisation ;
wfs</t>
  </si>
  <si>
    <t>[-3.5983085667248815, 47.56973148050935]
[-3.5983085667248815, 47.913273967301905]</t>
  </si>
  <si>
    <t>Spécifications techniques pour la mise en oeuvre d'un service de visualisation INSPIRE - WMS 04/04/2013  - Conforme</t>
  </si>
  <si>
    <t>89eba0ed2c864cc6b6a359c86bc7f3fb</t>
  </si>
  <si>
    <t>11/10/2016 (il y a 2 ans)</t>
  </si>
  <si>
    <t>Carte - Armature urbaine - Normandie - 2017</t>
  </si>
  <si>
    <t>Bref résumé narratif du contenu de la ressource. Il permet de décrire la carte en lui attribuant une définition officielle, quand elle existe, ou une définition commune, pour rendre la carte compréhensible par l’utilisateur.
Nous vous recommandons de reprendre les éléments essentiels de la carte dans une description synthétique et précise :
* Existe-il une définition officielle de la carte ? 
* Quel est l’objectif de la carte ? 
* À quelle(s) compétence(s) de la collectivité répond-elle ?
* Quel est le territoire concerné par cette carte ?
* Existe-t-il une échelle de visualisation optimale ?
Il faut ne pas être trop technique, faire des phrases construites et simples, définir les termes techniques et décrire les informations clés de la carte.
![Texte alternatif](http://sig.normandie.fr/images/previews/PI2017_13_PGE_armature_urbaine_zoom.jpg)</t>
  </si>
  <si>
    <t>2017 ;
Normandie ;
aménagement du territoire ;
cartes ;
démonstration ;
neogeo</t>
  </si>
  <si>
    <t>28/02/2016 (il y a 2 ans)</t>
  </si>
  <si>
    <t>NR (NR - NR)</t>
  </si>
  <si>
    <t xml:space="preserve">Légale Pas de restriction d’accès public selon INSPIRE. Droits de propriété intellectuelle   ;
Sécurité Texte libre précisant les limitations d'accès dues à la sécurité.   </t>
  </si>
  <si>
    <t>296c5d6c394b4a0cb37447cae83c174a</t>
  </si>
  <si>
    <t>15/06/2018 (il y a 3 mois)</t>
  </si>
</sst>
</file>

<file path=xl/styles.xml><?xml version="1.0" encoding="utf-8"?>
<styleSheet xmlns="http://schemas.openxmlformats.org/spreadsheetml/2006/main">
  <numFmts count="1">
    <numFmt formatCode="dd/mm/yyyy" numFmtId="164"/>
  </numFmts>
  <fonts count="4">
    <font>
      <name val="Calibri"/>
      <family val="2"/>
      <color theme="1"/>
      <sz val="11"/>
      <scheme val="minor"/>
    </font>
    <font/>
    <font>
      <name val="Calibri"/>
      <family val="2"/>
      <b val="1"/>
      <color theme="3"/>
      <sz val="13"/>
      <scheme val="minor"/>
    </font>
    <font>
      <name val="Calibri"/>
      <family val="2"/>
      <color theme="10"/>
      <sz val="12"/>
      <scheme val="minor"/>
    </font>
  </fonts>
  <fills count="2">
    <fill>
      <patternFill/>
    </fill>
    <fill>
      <patternFill patternType="gray125"/>
    </fill>
  </fills>
  <borders count="2">
    <border>
      <left/>
      <right/>
      <top/>
      <bottom/>
      <diagonal/>
    </border>
    <border>
      <left/>
      <right/>
      <top/>
      <bottom style="thick">
        <color theme="4" tint="0.5"/>
      </bottom>
      <diagonal/>
    </border>
  </borders>
  <cellStyleXfs count="5">
    <xf borderId="0" fillId="0" fontId="0" numFmtId="0"/>
    <xf borderId="0" fillId="0" fontId="1" numFmtId="164"/>
    <xf applyAlignment="1" borderId="0" fillId="0" fontId="1" numFmtId="0">
      <alignment wrapText="1"/>
    </xf>
    <xf borderId="1" fillId="0" fontId="2" numFmtId="0"/>
    <xf borderId="0" fillId="0" fontId="3" numFmtId="0"/>
  </cellStyleXfs>
  <cellXfs count="5">
    <xf borderId="0" fillId="0" fontId="0" numFmtId="0" pivotButton="0" quotePrefix="0" xfId="0"/>
    <xf borderId="1" fillId="0" fontId="2" numFmtId="0" pivotButton="0" quotePrefix="0" xfId="3"/>
    <xf applyAlignment="1" borderId="0" fillId="0" fontId="1" numFmtId="0" pivotButton="0" quotePrefix="0" xfId="2">
      <alignment wrapText="1"/>
    </xf>
    <xf borderId="0" fillId="0" fontId="1" numFmtId="164" pivotButton="0" quotePrefix="0" xfId="1"/>
    <xf borderId="0" fillId="0" fontId="3" numFmtId="0" pivotButton="0" quotePrefix="0" xfId="4"/>
  </cellXfs>
  <cellStyles count="5">
    <cellStyle builtinId="0" hidden="0" name="Normal" xfId="0"/>
    <cellStyle hidden="0" name="date" xfId="1"/>
    <cellStyle hidden="0" name="wrap" xfId="2"/>
    <cellStyle builtinId="17" hidden="0" name="Headline 2" xfId="3"/>
    <cellStyle builtinId="8" hidden="0" name="Hyperlink" xfId="4"/>
  </cellStyles>
  <tableStyles count="0" defaultPivotStyle="PivotStyleLight16" defaultTableStyle="TableStyleMedium9"/>
</styleSheet>
</file>

<file path=xl/_rels/workbook.xml.rels><Relationships xmlns="http://schemas.openxmlformats.org/package/2006/relationships"><Relationship Id="rId1" Target="/xl/worksheets/sheet1.xml" Type="http://schemas.openxmlformats.org/officeDocument/2006/relationships/worksheet"/><Relationship Id="rId2" Target="/xl/worksheets/sheet2.xml" Type="http://schemas.openxmlformats.org/officeDocument/2006/relationships/worksheet"/><Relationship Id="rId3" Target="/xl/worksheets/sheet3.xml" Type="http://schemas.openxmlformats.org/officeDocument/2006/relationships/worksheet"/><Relationship Id="rId4" Target="/xl/worksheets/sheet4.xml" Type="http://schemas.openxmlformats.org/officeDocument/2006/relationships/worksheet"/><Relationship Id="rId5" Target="/xl/worksheets/sheet5.xml" Type="http://schemas.openxmlformats.org/officeDocument/2006/relationships/worksheet"/><Relationship Id="rId6" Target="/xl/worksheets/sheet6.xml" Type="http://schemas.openxmlformats.org/officeDocument/2006/relationships/worksheet"/><Relationship Id="rId7" Target="sharedStrings.xml" Type="http://schemas.openxmlformats.org/officeDocument/2006/relationships/sharedStrings"/><Relationship Id="rId8" Target="styles.xml" Type="http://schemas.openxmlformats.org/officeDocument/2006/relationships/styles"/><Relationship Id="rId9" Target="theme/theme1.xml" Type="http://schemas.openxmlformats.org/officeDocument/2006/relationships/theme"/></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sheetPr filterMode="1">
    <outlinePr summaryBelow="1" summaryRight="1"/>
    <pageSetUpPr/>
  </sheetPr>
  <dimension ref="B2:B2"/>
  <sheetViews>
    <sheetView workbookViewId="0">
      <pane activePane="bottomRight" state="frozen" topLeftCell="B2" xSplit="1" ySplit="1"/>
      <selection pane="topRight"/>
      <selection pane="bottomLeft"/>
      <selection activeCell="A1" pane="bottomRight" sqref="A1"/>
    </sheetView>
  </sheetViews>
  <sheetFormatPr baseColWidth="8" defaultRowHeight="15"/>
  <sheetData>
    <row r="2" spans="1:2"/>
  </sheetData>
  <autoFilter ref="A1:B2"/>
  <printOptions horizontalCentered="1" verticalCentered="1"/>
  <pageMargins bottom="1" footer="0.5" header="0.5" left="0.75" right="0.75" top="1"/>
  <pageSetup fitToWidth="1" orientation="landscape"/>
</worksheet>
</file>

<file path=xl/worksheets/sheet2.xml><?xml version="1.0" encoding="utf-8"?>
<worksheet xmlns="http://schemas.openxmlformats.org/spreadsheetml/2006/main">
  <sheetPr filterMode="1">
    <outlinePr summaryBelow="1" summaryRight="1"/>
    <pageSetUpPr/>
  </sheetPr>
  <dimension ref="B2:B2"/>
  <sheetViews>
    <sheetView workbookViewId="0">
      <pane activePane="bottomRight" state="frozen" topLeftCell="B2" xSplit="1" ySplit="1"/>
      <selection pane="topRight"/>
      <selection pane="bottomLeft"/>
      <selection activeCell="A1" pane="bottomRight" sqref="A1"/>
    </sheetView>
  </sheetViews>
  <sheetFormatPr baseColWidth="8" defaultRowHeight="15"/>
  <sheetData>
    <row r="2" spans="1:2"/>
  </sheetData>
  <autoFilter ref="A1:B2"/>
  <printOptions horizontalCentered="1" verticalCentered="1"/>
  <pageMargins bottom="1" footer="0.5" header="0.5" left="0.75" right="0.75" top="1"/>
  <pageSetup fitToWidth="1" orientation="landscape"/>
</worksheet>
</file>

<file path=xl/worksheets/sheet3.xml><?xml version="1.0" encoding="utf-8"?>
<worksheet xmlns="http://schemas.openxmlformats.org/spreadsheetml/2006/main">
  <sheetPr filterMode="1">
    <outlinePr summaryBelow="1" summaryRight="1"/>
    <pageSetUpPr/>
  </sheetPr>
  <dimension ref="A1:AQ58"/>
  <sheetViews>
    <sheetView workbookViewId="0">
      <pane activePane="bottomRight" state="frozen" topLeftCell="B2" xSplit="1" ySplit="1"/>
      <selection pane="topRight"/>
      <selection pane="bottomLeft"/>
      <selection activeCell="A1" pane="bottomRight" sqref="A1"/>
    </sheetView>
  </sheetViews>
  <sheetFormatPr baseColWidth="8" defaultRowHeight="15"/>
  <sheetData>
    <row r="1" spans="1:4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row>
    <row r="2" spans="1:43">
      <c r="A2" t="s">
        <v>43</v>
      </c>
      <c r="B2" t="s"/>
      <c r="C2" s="2" t="s"/>
      <c r="D2" t="s"/>
      <c r="E2" t="s">
        <v>44</v>
      </c>
      <c r="F2" s="2" t="s"/>
      <c r="G2" s="2" t="s"/>
      <c r="H2" t="b">
        <v>0</v>
      </c>
      <c r="I2" s="2" t="s"/>
      <c r="J2" s="2" t="s"/>
      <c r="K2" s="3" t="s"/>
      <c r="L2" s="3" t="s"/>
      <c r="M2" t="s"/>
      <c r="N2" t="s"/>
      <c r="O2" t="s"/>
      <c r="P2" t="n">
        <v>0</v>
      </c>
      <c r="Q2" t="s"/>
      <c r="S2" t="s">
        <v>45</v>
      </c>
      <c r="T2" t="s">
        <v>46</v>
      </c>
      <c r="U2" s="2" t="n"/>
      <c r="AA2" s="2" t="n"/>
      <c r="AB2" s="2" t="s"/>
      <c r="AC2" s="2" t="s"/>
      <c r="AD2" s="2" t="s"/>
      <c r="AE2" s="2" t="s"/>
      <c r="AF2" t="n">
        <v>0</v>
      </c>
      <c r="AG2" s="2" t="n"/>
      <c r="AH2" s="2" t="n"/>
      <c r="AI2" t="b">
        <v>1</v>
      </c>
      <c r="AJ2" t="b">
        <v>1</v>
      </c>
      <c r="AK2" t="b">
        <v>0</v>
      </c>
      <c r="AL2" s="4">
        <f>HYPERLINK("https://app.isogeo.com/resources/54141f0f421b46fca21625a9c09cf7e3","Editer")</f>
        <v/>
      </c>
      <c r="AM2" s="4">
        <f>HYPERLINK("https://open.isogeo.com/m/54141f0f421b46fca21625a9c09cf7e3","Version en ligne")</f>
        <v/>
      </c>
      <c r="AN2" t="s">
        <v>47</v>
      </c>
      <c r="AO2" t="s">
        <v>48</v>
      </c>
      <c r="AP2" t="s">
        <v>48</v>
      </c>
    </row>
    <row r="3" spans="1:43">
      <c r="A3" t="s">
        <v>49</v>
      </c>
      <c r="B3" t="s"/>
      <c r="C3" s="2" t="s"/>
      <c r="D3" t="s"/>
      <c r="E3" t="s">
        <v>44</v>
      </c>
      <c r="F3" s="2" t="s"/>
      <c r="G3" s="2" t="s"/>
      <c r="H3" t="b">
        <v>0</v>
      </c>
      <c r="I3" s="2" t="s"/>
      <c r="J3" s="2" t="s"/>
      <c r="K3" s="3" t="s"/>
      <c r="L3" s="3" t="s"/>
      <c r="M3" t="s"/>
      <c r="N3" t="s"/>
      <c r="O3" t="s"/>
      <c r="P3" t="n">
        <v>0</v>
      </c>
      <c r="Q3" t="s"/>
      <c r="S3" t="s">
        <v>45</v>
      </c>
      <c r="T3" t="s">
        <v>46</v>
      </c>
      <c r="U3" s="2" t="n"/>
      <c r="AA3" s="2" t="n"/>
      <c r="AB3" s="2" t="s"/>
      <c r="AC3" s="2" t="s"/>
      <c r="AD3" s="2" t="s"/>
      <c r="AE3" s="2" t="s"/>
      <c r="AF3" t="n">
        <v>0</v>
      </c>
      <c r="AG3" s="2" t="n"/>
      <c r="AH3" s="2" t="n"/>
      <c r="AI3" t="b">
        <v>1</v>
      </c>
      <c r="AJ3" t="b">
        <v>1</v>
      </c>
      <c r="AK3" t="b">
        <v>0</v>
      </c>
      <c r="AL3" s="4">
        <f>HYPERLINK("https://app.isogeo.com/resources/e642c8aeb31e47639c9f0f57a8ce9880","Editer")</f>
        <v/>
      </c>
      <c r="AM3" s="4">
        <f>HYPERLINK("https://open.isogeo.com/m/e642c8aeb31e47639c9f0f57a8ce9880","Version en ligne")</f>
        <v/>
      </c>
      <c r="AN3" t="s">
        <v>50</v>
      </c>
      <c r="AO3" t="s">
        <v>48</v>
      </c>
      <c r="AP3" t="s">
        <v>48</v>
      </c>
    </row>
    <row r="4" spans="1:43">
      <c r="A4" t="s">
        <v>51</v>
      </c>
      <c r="B4" t="s">
        <v>52</v>
      </c>
      <c r="C4" s="2" t="s">
        <v>53</v>
      </c>
      <c r="D4" t="s">
        <v>54</v>
      </c>
      <c r="E4" t="s">
        <v>55</v>
      </c>
      <c r="F4" s="2" t="s">
        <v>56</v>
      </c>
      <c r="G4" s="2" t="s">
        <v>57</v>
      </c>
      <c r="H4" t="b">
        <v>0</v>
      </c>
      <c r="I4" s="2" t="s">
        <v>58</v>
      </c>
      <c r="J4" s="2" t="s"/>
      <c r="K4" s="3" t="s"/>
      <c r="L4" s="3" t="s"/>
      <c r="M4" t="s">
        <v>59</v>
      </c>
      <c r="N4" t="s"/>
      <c r="O4" t="s"/>
      <c r="P4" t="n">
        <v>1</v>
      </c>
      <c r="Q4" t="s">
        <v>60</v>
      </c>
      <c r="S4" t="s">
        <v>45</v>
      </c>
      <c r="T4" t="s">
        <v>61</v>
      </c>
      <c r="U4" s="2" t="s">
        <v>62</v>
      </c>
      <c r="V4" t="s">
        <v>63</v>
      </c>
      <c r="Y4" t="n">
        <v>2129570</v>
      </c>
      <c r="Z4" t="n">
        <v>29</v>
      </c>
      <c r="AA4" s="2" t="s">
        <v>64</v>
      </c>
      <c r="AB4" s="2" t="s"/>
      <c r="AC4" s="2" t="s">
        <v>65</v>
      </c>
      <c r="AD4" s="2" t="s">
        <v>66</v>
      </c>
      <c r="AE4" s="2" t="s"/>
      <c r="AF4" t="n">
        <v>1</v>
      </c>
      <c r="AG4" s="2" t="s">
        <v>67</v>
      </c>
      <c r="AH4" s="2" t="s"/>
      <c r="AI4" t="b">
        <v>1</v>
      </c>
      <c r="AJ4" t="b">
        <v>1</v>
      </c>
      <c r="AK4" t="b">
        <v>0</v>
      </c>
      <c r="AL4" s="4">
        <f>HYPERLINK("https://app.isogeo.com/resources/df1ca395cc2e46b79441a391ea94707c","Editer")</f>
        <v/>
      </c>
      <c r="AM4" s="4">
        <f>HYPERLINK("https://open.isogeo.com/m/df1ca395cc2e46b79441a391ea94707c","Version en ligne")</f>
        <v/>
      </c>
      <c r="AN4" t="s">
        <v>68</v>
      </c>
      <c r="AO4" t="s">
        <v>69</v>
      </c>
      <c r="AP4" t="s">
        <v>69</v>
      </c>
      <c r="AQ4" t="s">
        <v>70</v>
      </c>
    </row>
    <row r="5" spans="1:43">
      <c r="A5" t="s">
        <v>71</v>
      </c>
      <c r="B5" t="s">
        <v>71</v>
      </c>
      <c r="C5" s="2" t="s"/>
      <c r="D5" t="s">
        <v>72</v>
      </c>
      <c r="E5" t="s">
        <v>44</v>
      </c>
      <c r="F5" s="2" t="s">
        <v>73</v>
      </c>
      <c r="G5" s="2" t="s">
        <v>74</v>
      </c>
      <c r="H5" t="b">
        <v>0</v>
      </c>
      <c r="I5" s="2" t="s"/>
      <c r="J5" s="2" t="s"/>
      <c r="K5" s="3" t="s"/>
      <c r="L5" s="3" t="s"/>
      <c r="M5" t="s"/>
      <c r="N5" t="s"/>
      <c r="O5" t="s"/>
      <c r="P5" t="n">
        <v>0</v>
      </c>
      <c r="Q5" t="s"/>
      <c r="S5" t="s">
        <v>75</v>
      </c>
      <c r="T5" t="s">
        <v>46</v>
      </c>
      <c r="U5" s="2" t="s">
        <v>76</v>
      </c>
      <c r="V5" t="s">
        <v>63</v>
      </c>
      <c r="Y5" t="n">
        <v>131</v>
      </c>
      <c r="Z5" t="n">
        <v>37</v>
      </c>
      <c r="AA5" s="2" t="s">
        <v>77</v>
      </c>
      <c r="AB5" s="2" t="s"/>
      <c r="AC5" s="2" t="s"/>
      <c r="AD5" s="2" t="s"/>
      <c r="AE5" s="2" t="s"/>
      <c r="AF5" t="n">
        <v>0</v>
      </c>
      <c r="AG5" s="2" t="n"/>
      <c r="AH5" s="2" t="n"/>
      <c r="AI5" t="b">
        <v>0</v>
      </c>
      <c r="AJ5" t="b">
        <v>0</v>
      </c>
      <c r="AK5" t="b">
        <v>0</v>
      </c>
      <c r="AL5" s="4">
        <f>HYPERLINK("https://app.isogeo.com/resources/c77d7c8a45224ebf8032c43dbde82768","Editer")</f>
        <v/>
      </c>
      <c r="AM5" s="4">
        <f>HYPERLINK("https://open.isogeo.com/m/c77d7c8a45224ebf8032c43dbde82768","Version en ligne")</f>
        <v/>
      </c>
      <c r="AN5" t="s">
        <v>78</v>
      </c>
      <c r="AO5" t="s">
        <v>79</v>
      </c>
      <c r="AP5" t="s">
        <v>80</v>
      </c>
    </row>
    <row r="6" spans="1:43">
      <c r="A6" t="s">
        <v>81</v>
      </c>
      <c r="B6" t="s"/>
      <c r="C6" s="2" t="s">
        <v>82</v>
      </c>
      <c r="D6" t="s"/>
      <c r="E6" t="s">
        <v>44</v>
      </c>
      <c r="F6" s="2" t="s">
        <v>83</v>
      </c>
      <c r="G6" s="2" t="s">
        <v>74</v>
      </c>
      <c r="H6" t="b">
        <v>1</v>
      </c>
      <c r="I6" s="2" t="s">
        <v>84</v>
      </c>
      <c r="J6" s="2" t="s"/>
      <c r="K6" s="3" t="s"/>
      <c r="L6" s="3" t="s"/>
      <c r="M6" t="s"/>
      <c r="N6" t="s"/>
      <c r="O6" t="s">
        <v>85</v>
      </c>
      <c r="P6" t="n">
        <v>2</v>
      </c>
      <c r="Q6" t="s">
        <v>86</v>
      </c>
      <c r="S6" t="s">
        <v>87</v>
      </c>
      <c r="T6" t="s">
        <v>88</v>
      </c>
      <c r="U6" s="2" t="s">
        <v>89</v>
      </c>
      <c r="X6" t="n">
        <v>10000</v>
      </c>
      <c r="Y6" t="n">
        <v>1767</v>
      </c>
      <c r="AA6" s="2" t="n"/>
      <c r="AB6" s="2" t="s">
        <v>90</v>
      </c>
      <c r="AC6" s="2" t="s">
        <v>65</v>
      </c>
      <c r="AD6" s="2" t="s">
        <v>91</v>
      </c>
      <c r="AE6" s="2" t="s">
        <v>92</v>
      </c>
      <c r="AF6" t="n">
        <v>1</v>
      </c>
      <c r="AG6" s="2" t="s"/>
      <c r="AH6" s="2" t="s">
        <v>93</v>
      </c>
      <c r="AI6" t="b">
        <v>1</v>
      </c>
      <c r="AJ6" t="b">
        <v>1</v>
      </c>
      <c r="AK6" t="b">
        <v>1</v>
      </c>
      <c r="AL6" s="4">
        <f>HYPERLINK("https://app.isogeo.com/resources/843a6c6ea9a140d887f834654fdb04bc","Editer")</f>
        <v/>
      </c>
      <c r="AM6" s="4">
        <f>HYPERLINK("https://open.isogeo.com/m/843a6c6ea9a140d887f834654fdb04bc","Version en ligne")</f>
        <v/>
      </c>
      <c r="AN6" t="s">
        <v>94</v>
      </c>
      <c r="AO6" t="s">
        <v>95</v>
      </c>
      <c r="AP6" t="s">
        <v>80</v>
      </c>
      <c r="AQ6" t="s">
        <v>70</v>
      </c>
    </row>
    <row r="7" spans="1:43">
      <c r="A7" t="s">
        <v>96</v>
      </c>
      <c r="B7" t="s"/>
      <c r="C7" s="2" t="s">
        <v>97</v>
      </c>
      <c r="D7" t="s"/>
      <c r="E7" t="s">
        <v>44</v>
      </c>
      <c r="F7" s="2" t="s">
        <v>98</v>
      </c>
      <c r="G7" s="2" t="s"/>
      <c r="H7" t="b">
        <v>0</v>
      </c>
      <c r="I7" s="2" t="s"/>
      <c r="J7" s="2" t="s"/>
      <c r="K7" s="3" t="s"/>
      <c r="L7" s="3" t="s"/>
      <c r="M7" t="s"/>
      <c r="N7" t="s"/>
      <c r="O7" t="s">
        <v>99</v>
      </c>
      <c r="P7" t="n">
        <v>2</v>
      </c>
      <c r="Q7" t="s">
        <v>100</v>
      </c>
      <c r="S7" t="s">
        <v>101</v>
      </c>
      <c r="T7" t="s">
        <v>102</v>
      </c>
      <c r="U7" s="2" t="s">
        <v>103</v>
      </c>
      <c r="Y7" t="n">
        <v>52</v>
      </c>
      <c r="AA7" s="2" t="n"/>
      <c r="AB7" s="2" t="s"/>
      <c r="AC7" s="2" t="s">
        <v>65</v>
      </c>
      <c r="AD7" s="2" t="s">
        <v>104</v>
      </c>
      <c r="AE7" s="2" t="s"/>
      <c r="AF7" t="n">
        <v>1</v>
      </c>
      <c r="AG7" s="2" t="s">
        <v>105</v>
      </c>
      <c r="AH7" s="2" t="s"/>
      <c r="AI7" t="b">
        <v>0</v>
      </c>
      <c r="AJ7" t="b">
        <v>1</v>
      </c>
      <c r="AK7" t="b">
        <v>0</v>
      </c>
      <c r="AL7" s="4">
        <f>HYPERLINK("https://app.isogeo.com/resources/131738aa60d242a78f80ba338cf907cc","Editer")</f>
        <v/>
      </c>
      <c r="AM7" s="4">
        <f>HYPERLINK("https://open.isogeo.com/m/131738aa60d242a78f80ba338cf907cc","Version en ligne")</f>
        <v/>
      </c>
      <c r="AN7" t="s">
        <v>106</v>
      </c>
      <c r="AO7" t="s">
        <v>95</v>
      </c>
      <c r="AP7" t="s">
        <v>80</v>
      </c>
      <c r="AQ7" t="s">
        <v>70</v>
      </c>
    </row>
    <row r="8" spans="1:43">
      <c r="A8" t="s">
        <v>107</v>
      </c>
      <c r="B8" t="s">
        <v>108</v>
      </c>
      <c r="C8" s="2" t="s">
        <v>109</v>
      </c>
      <c r="D8" t="s">
        <v>110</v>
      </c>
      <c r="E8" t="s">
        <v>44</v>
      </c>
      <c r="F8" s="2" t="s">
        <v>111</v>
      </c>
      <c r="G8" s="2" t="s">
        <v>112</v>
      </c>
      <c r="H8" t="b">
        <v>1</v>
      </c>
      <c r="I8" s="2" t="s">
        <v>113</v>
      </c>
      <c r="J8" s="2" t="s"/>
      <c r="K8" s="3" t="s"/>
      <c r="L8" s="3" t="s"/>
      <c r="M8" t="s">
        <v>114</v>
      </c>
      <c r="N8" t="s"/>
      <c r="O8" t="s">
        <v>115</v>
      </c>
      <c r="P8" t="n">
        <v>2</v>
      </c>
      <c r="Q8" t="s">
        <v>116</v>
      </c>
      <c r="S8" t="s">
        <v>117</v>
      </c>
      <c r="T8" t="s">
        <v>88</v>
      </c>
      <c r="U8" s="2" t="s">
        <v>118</v>
      </c>
      <c r="V8" t="s">
        <v>119</v>
      </c>
      <c r="X8" t="n">
        <v>10000</v>
      </c>
      <c r="Y8" t="n">
        <v>628</v>
      </c>
      <c r="Z8" t="n">
        <v>12</v>
      </c>
      <c r="AA8" s="2" t="s">
        <v>120</v>
      </c>
      <c r="AB8" s="2" t="s">
        <v>121</v>
      </c>
      <c r="AC8" s="2" t="s">
        <v>122</v>
      </c>
      <c r="AD8" s="2" t="s">
        <v>91</v>
      </c>
      <c r="AE8" s="2" t="s">
        <v>92</v>
      </c>
      <c r="AF8" t="n">
        <v>1</v>
      </c>
      <c r="AG8" s="2" t="s">
        <v>123</v>
      </c>
      <c r="AH8" s="2" t="s"/>
      <c r="AI8" t="b">
        <v>0</v>
      </c>
      <c r="AJ8" t="b">
        <v>1</v>
      </c>
      <c r="AK8" t="b">
        <v>0</v>
      </c>
      <c r="AL8" s="4">
        <f>HYPERLINK("https://app.isogeo.com/resources/9b463d9c44264b68854a7425020a4671","Editer")</f>
        <v/>
      </c>
      <c r="AM8" s="4">
        <f>HYPERLINK("https://open.isogeo.com/m/9b463d9c44264b68854a7425020a4671","Version en ligne")</f>
        <v/>
      </c>
      <c r="AN8" t="s">
        <v>124</v>
      </c>
      <c r="AO8" t="s">
        <v>125</v>
      </c>
      <c r="AP8" t="s">
        <v>126</v>
      </c>
      <c r="AQ8" t="s">
        <v>70</v>
      </c>
    </row>
    <row r="9" spans="1:43">
      <c r="A9" t="s">
        <v>127</v>
      </c>
      <c r="B9" t="s">
        <v>128</v>
      </c>
      <c r="C9" s="2" t="s">
        <v>129</v>
      </c>
      <c r="D9" t="s">
        <v>130</v>
      </c>
      <c r="E9" t="s">
        <v>44</v>
      </c>
      <c r="F9" s="2" t="s">
        <v>131</v>
      </c>
      <c r="G9" s="2" t="s">
        <v>132</v>
      </c>
      <c r="H9" t="b">
        <v>1</v>
      </c>
      <c r="I9" s="2" t="s">
        <v>133</v>
      </c>
      <c r="J9" s="2" t="s">
        <v>134</v>
      </c>
      <c r="K9" s="3" t="s"/>
      <c r="L9" s="3" t="s"/>
      <c r="M9" t="s">
        <v>135</v>
      </c>
      <c r="N9" t="s"/>
      <c r="O9" t="s">
        <v>136</v>
      </c>
      <c r="P9" t="n">
        <v>2</v>
      </c>
      <c r="Q9" t="s">
        <v>137</v>
      </c>
      <c r="S9" t="s">
        <v>117</v>
      </c>
      <c r="T9" t="s">
        <v>138</v>
      </c>
      <c r="U9" s="2" t="s">
        <v>139</v>
      </c>
      <c r="V9" t="s">
        <v>63</v>
      </c>
      <c r="W9" t="n">
        <v>1</v>
      </c>
      <c r="X9" t="n">
        <v>1000</v>
      </c>
      <c r="Y9" t="n">
        <v>6988</v>
      </c>
      <c r="Z9" t="n">
        <v>11</v>
      </c>
      <c r="AA9" s="2" t="s">
        <v>140</v>
      </c>
      <c r="AB9" s="2" t="s">
        <v>141</v>
      </c>
      <c r="AC9" s="2" t="s">
        <v>65</v>
      </c>
      <c r="AD9" s="2" t="s">
        <v>142</v>
      </c>
      <c r="AE9" s="2" t="s">
        <v>143</v>
      </c>
      <c r="AF9" t="n">
        <v>1</v>
      </c>
      <c r="AG9" s="2" t="s">
        <v>144</v>
      </c>
      <c r="AH9" s="2" t="s"/>
      <c r="AI9" t="b">
        <v>1</v>
      </c>
      <c r="AJ9" t="b">
        <v>1</v>
      </c>
      <c r="AK9" t="b">
        <v>1</v>
      </c>
      <c r="AL9" s="4">
        <f>HYPERLINK("https://app.isogeo.com/resources/1bed96bbd4d7438383c3465ff5429a07","Editer")</f>
        <v/>
      </c>
      <c r="AM9" s="4">
        <f>HYPERLINK("https://open.isogeo.com/m/1bed96bbd4d7438383c3465ff5429a07","Version en ligne")</f>
        <v/>
      </c>
      <c r="AN9" t="s">
        <v>145</v>
      </c>
      <c r="AO9" t="s">
        <v>125</v>
      </c>
      <c r="AP9" t="s">
        <v>125</v>
      </c>
      <c r="AQ9" t="s">
        <v>70</v>
      </c>
    </row>
    <row r="10" spans="1:43">
      <c r="A10" t="s">
        <v>146</v>
      </c>
      <c r="B10" t="s">
        <v>147</v>
      </c>
      <c r="C10" s="2" t="s">
        <v>148</v>
      </c>
      <c r="D10" t="s">
        <v>149</v>
      </c>
      <c r="E10" t="s">
        <v>44</v>
      </c>
      <c r="F10" s="2" t="s">
        <v>150</v>
      </c>
      <c r="G10" s="2" t="s">
        <v>151</v>
      </c>
      <c r="H10" t="b">
        <v>1</v>
      </c>
      <c r="I10" s="2" t="s">
        <v>152</v>
      </c>
      <c r="J10" s="2" t="s">
        <v>153</v>
      </c>
      <c r="K10" s="3" t="s"/>
      <c r="L10" s="3" t="s"/>
      <c r="M10" t="s"/>
      <c r="N10" t="s"/>
      <c r="O10" t="s">
        <v>154</v>
      </c>
      <c r="P10" t="n">
        <v>2</v>
      </c>
      <c r="Q10" t="s">
        <v>137</v>
      </c>
      <c r="S10" t="s">
        <v>117</v>
      </c>
      <c r="T10" t="s">
        <v>138</v>
      </c>
      <c r="U10" s="2" t="s">
        <v>155</v>
      </c>
      <c r="V10" t="s">
        <v>156</v>
      </c>
      <c r="W10" t="n">
        <v>1</v>
      </c>
      <c r="X10" t="n">
        <v>1000</v>
      </c>
      <c r="Y10" t="n">
        <v>598</v>
      </c>
      <c r="Z10" t="n">
        <v>8</v>
      </c>
      <c r="AA10" s="2" t="s">
        <v>157</v>
      </c>
      <c r="AB10" s="2" t="s"/>
      <c r="AC10" s="2" t="s">
        <v>65</v>
      </c>
      <c r="AD10" s="2" t="s">
        <v>104</v>
      </c>
      <c r="AE10" s="2" t="s">
        <v>158</v>
      </c>
      <c r="AF10" t="n">
        <v>1</v>
      </c>
      <c r="AG10" s="2" t="s">
        <v>159</v>
      </c>
      <c r="AH10" s="2" t="s"/>
      <c r="AI10" t="b">
        <v>1</v>
      </c>
      <c r="AJ10" t="b">
        <v>1</v>
      </c>
      <c r="AK10" t="b">
        <v>0</v>
      </c>
      <c r="AL10" s="4">
        <f>HYPERLINK("https://app.isogeo.com/resources/06ab0ac5dfc4444c9c0d15cd42ba33cd","Editer")</f>
        <v/>
      </c>
      <c r="AM10" s="4">
        <f>HYPERLINK("https://open.isogeo.com/m/06ab0ac5dfc4444c9c0d15cd42ba33cd","Version en ligne")</f>
        <v/>
      </c>
      <c r="AN10" t="s">
        <v>160</v>
      </c>
      <c r="AO10" t="s">
        <v>125</v>
      </c>
      <c r="AP10" t="s">
        <v>161</v>
      </c>
      <c r="AQ10" t="s">
        <v>70</v>
      </c>
    </row>
    <row r="11" spans="1:43">
      <c r="A11" t="s">
        <v>162</v>
      </c>
      <c r="B11" t="s">
        <v>163</v>
      </c>
      <c r="C11" s="2" t="s">
        <v>164</v>
      </c>
      <c r="D11" t="s">
        <v>165</v>
      </c>
      <c r="E11" t="s">
        <v>44</v>
      </c>
      <c r="F11" s="2" t="s">
        <v>166</v>
      </c>
      <c r="G11" s="2" t="s">
        <v>112</v>
      </c>
      <c r="H11" t="b">
        <v>1</v>
      </c>
      <c r="I11" s="2" t="s">
        <v>167</v>
      </c>
      <c r="J11" s="2" t="s">
        <v>168</v>
      </c>
      <c r="K11" s="3" t="s"/>
      <c r="L11" s="3" t="s"/>
      <c r="M11" t="s">
        <v>169</v>
      </c>
      <c r="N11" t="s"/>
      <c r="O11" t="s">
        <v>170</v>
      </c>
      <c r="P11" t="n">
        <v>2</v>
      </c>
      <c r="Q11" t="s">
        <v>171</v>
      </c>
      <c r="S11" t="s">
        <v>117</v>
      </c>
      <c r="T11" t="s">
        <v>138</v>
      </c>
      <c r="U11" s="2" t="s">
        <v>172</v>
      </c>
      <c r="V11" t="s">
        <v>156</v>
      </c>
      <c r="W11" t="n">
        <v>1</v>
      </c>
      <c r="X11" t="n">
        <v>200</v>
      </c>
      <c r="Y11" t="n">
        <v>129</v>
      </c>
      <c r="Z11" t="n">
        <v>20</v>
      </c>
      <c r="AA11" s="2" t="s">
        <v>173</v>
      </c>
      <c r="AB11" s="2" t="s"/>
      <c r="AC11" s="2" t="s">
        <v>65</v>
      </c>
      <c r="AD11" s="2" t="s">
        <v>104</v>
      </c>
      <c r="AE11" s="2" t="s">
        <v>174</v>
      </c>
      <c r="AF11" t="n">
        <v>1</v>
      </c>
      <c r="AG11" s="2" t="s">
        <v>159</v>
      </c>
      <c r="AH11" s="2" t="s"/>
      <c r="AI11" t="b">
        <v>1</v>
      </c>
      <c r="AJ11" t="b">
        <v>1</v>
      </c>
      <c r="AK11" t="b">
        <v>0</v>
      </c>
      <c r="AL11" s="4">
        <f>HYPERLINK("https://app.isogeo.com/resources/4a130fe959d6447d9b7dc7a472351da6","Editer")</f>
        <v/>
      </c>
      <c r="AM11" s="4">
        <f>HYPERLINK("https://open.isogeo.com/m/4a130fe959d6447d9b7dc7a472351da6","Version en ligne")</f>
        <v/>
      </c>
      <c r="AN11" t="s">
        <v>175</v>
      </c>
      <c r="AO11" t="s">
        <v>125</v>
      </c>
      <c r="AP11" t="s">
        <v>161</v>
      </c>
      <c r="AQ11" t="s">
        <v>70</v>
      </c>
    </row>
    <row r="12" spans="1:43">
      <c r="A12" t="s">
        <v>176</v>
      </c>
      <c r="B12" t="s">
        <v>177</v>
      </c>
      <c r="C12" s="2" t="s">
        <v>178</v>
      </c>
      <c r="D12" t="s">
        <v>179</v>
      </c>
      <c r="E12" t="s">
        <v>44</v>
      </c>
      <c r="F12" s="2" t="s">
        <v>180</v>
      </c>
      <c r="G12" s="2" t="s">
        <v>112</v>
      </c>
      <c r="H12" t="b">
        <v>1</v>
      </c>
      <c r="I12" s="2" t="s">
        <v>181</v>
      </c>
      <c r="J12" s="2" t="s">
        <v>182</v>
      </c>
      <c r="K12" s="3" t="s"/>
      <c r="L12" s="3" t="s"/>
      <c r="M12" t="s">
        <v>183</v>
      </c>
      <c r="N12" t="s"/>
      <c r="O12" t="s">
        <v>184</v>
      </c>
      <c r="P12" t="n">
        <v>2</v>
      </c>
      <c r="Q12" t="s">
        <v>137</v>
      </c>
      <c r="S12" t="s">
        <v>117</v>
      </c>
      <c r="T12" t="s">
        <v>138</v>
      </c>
      <c r="U12" s="2" t="s">
        <v>185</v>
      </c>
      <c r="V12" t="s">
        <v>119</v>
      </c>
      <c r="W12" t="n">
        <v>1</v>
      </c>
      <c r="X12" t="n">
        <v>500</v>
      </c>
      <c r="Y12" t="n">
        <v>2786</v>
      </c>
      <c r="Z12" t="n">
        <v>10</v>
      </c>
      <c r="AA12" s="2" t="s">
        <v>186</v>
      </c>
      <c r="AB12" s="2" t="s"/>
      <c r="AC12" s="2" t="s">
        <v>65</v>
      </c>
      <c r="AD12" s="2" t="s">
        <v>104</v>
      </c>
      <c r="AE12" s="2" t="s">
        <v>187</v>
      </c>
      <c r="AF12" t="n">
        <v>1</v>
      </c>
      <c r="AG12" s="2" t="s">
        <v>159</v>
      </c>
      <c r="AH12" s="2" t="s"/>
      <c r="AI12" t="b">
        <v>1</v>
      </c>
      <c r="AJ12" t="b">
        <v>1</v>
      </c>
      <c r="AK12" t="b">
        <v>0</v>
      </c>
      <c r="AL12" s="4">
        <f>HYPERLINK("https://app.isogeo.com/resources/e4a1e2277f5f404a8ad6fec8fc042dae","Editer")</f>
        <v/>
      </c>
      <c r="AM12" s="4">
        <f>HYPERLINK("https://open.isogeo.com/m/e4a1e2277f5f404a8ad6fec8fc042dae","Version en ligne")</f>
        <v/>
      </c>
      <c r="AN12" t="s">
        <v>188</v>
      </c>
      <c r="AO12" t="s">
        <v>125</v>
      </c>
      <c r="AP12" t="s">
        <v>161</v>
      </c>
      <c r="AQ12" t="s">
        <v>70</v>
      </c>
    </row>
    <row r="13" spans="1:43">
      <c r="A13" t="s">
        <v>189</v>
      </c>
      <c r="B13" t="s"/>
      <c r="C13" s="2" t="s">
        <v>190</v>
      </c>
      <c r="D13" t="s">
        <v>191</v>
      </c>
      <c r="E13" t="s">
        <v>44</v>
      </c>
      <c r="F13" s="2" t="s">
        <v>192</v>
      </c>
      <c r="G13" s="2" t="s"/>
      <c r="H13" t="b">
        <v>0</v>
      </c>
      <c r="I13" s="2" t="s">
        <v>193</v>
      </c>
      <c r="J13" s="2" t="s">
        <v>194</v>
      </c>
      <c r="K13" s="3" t="s">
        <v>195</v>
      </c>
      <c r="L13" s="3" t="s">
        <v>196</v>
      </c>
      <c r="M13" t="s">
        <v>135</v>
      </c>
      <c r="N13" t="s"/>
      <c r="O13" t="s">
        <v>197</v>
      </c>
      <c r="P13" t="n">
        <v>4</v>
      </c>
      <c r="Q13" t="s">
        <v>196</v>
      </c>
      <c r="S13" t="s">
        <v>198</v>
      </c>
      <c r="T13" t="s">
        <v>88</v>
      </c>
      <c r="U13" s="2" t="s">
        <v>199</v>
      </c>
      <c r="V13" t="s">
        <v>156</v>
      </c>
      <c r="X13" t="n">
        <v>10</v>
      </c>
      <c r="Y13" t="n">
        <v>1</v>
      </c>
      <c r="Z13" t="n">
        <v>4</v>
      </c>
      <c r="AA13" s="2" t="s">
        <v>200</v>
      </c>
      <c r="AB13" s="2" t="s">
        <v>201</v>
      </c>
      <c r="AC13" s="2" t="s"/>
      <c r="AD13" s="2" t="s">
        <v>202</v>
      </c>
      <c r="AE13" s="2" t="s"/>
      <c r="AF13" t="n">
        <v>3</v>
      </c>
      <c r="AG13" s="2" t="s">
        <v>203</v>
      </c>
      <c r="AH13" s="2" t="s">
        <v>204</v>
      </c>
      <c r="AI13" t="b">
        <v>1</v>
      </c>
      <c r="AJ13" t="b">
        <v>1</v>
      </c>
      <c r="AK13" t="b">
        <v>0</v>
      </c>
      <c r="AL13" s="4">
        <f>HYPERLINK("https://app.isogeo.com/resources/438df175d411431d865faa37e46394eb","Editer")</f>
        <v/>
      </c>
      <c r="AM13" s="4">
        <f>HYPERLINK("https://open.isogeo.com/m/438df175d411431d865faa37e46394eb","Version en ligne")</f>
        <v/>
      </c>
      <c r="AN13" t="s">
        <v>205</v>
      </c>
      <c r="AO13" t="s">
        <v>206</v>
      </c>
      <c r="AP13" t="s">
        <v>207</v>
      </c>
      <c r="AQ13" t="s">
        <v>70</v>
      </c>
    </row>
    <row r="14" spans="1:43">
      <c r="A14" t="s">
        <v>208</v>
      </c>
      <c r="B14" t="s"/>
      <c r="C14" s="2" t="s">
        <v>209</v>
      </c>
      <c r="D14" t="s"/>
      <c r="E14" t="s">
        <v>44</v>
      </c>
      <c r="F14" s="2" t="s">
        <v>210</v>
      </c>
      <c r="G14" s="2" t="s">
        <v>74</v>
      </c>
      <c r="H14" t="b">
        <v>1</v>
      </c>
      <c r="I14" s="2" t="s">
        <v>84</v>
      </c>
      <c r="J14" s="2" t="s"/>
      <c r="K14" s="3" t="s"/>
      <c r="L14" s="3" t="s"/>
      <c r="M14" t="s">
        <v>169</v>
      </c>
      <c r="N14" t="s"/>
      <c r="O14" t="s">
        <v>211</v>
      </c>
      <c r="P14" t="n">
        <v>2</v>
      </c>
      <c r="Q14" t="s">
        <v>212</v>
      </c>
      <c r="S14" t="s">
        <v>213</v>
      </c>
      <c r="T14" t="s">
        <v>88</v>
      </c>
      <c r="U14" s="2" t="s">
        <v>214</v>
      </c>
      <c r="V14" t="s">
        <v>63</v>
      </c>
      <c r="X14" t="n">
        <v>10000</v>
      </c>
      <c r="Y14" t="n">
        <v>855</v>
      </c>
      <c r="Z14" t="n">
        <v>7</v>
      </c>
      <c r="AA14" s="2" t="s">
        <v>215</v>
      </c>
      <c r="AB14" s="2" t="s"/>
      <c r="AC14" s="2" t="s">
        <v>65</v>
      </c>
      <c r="AD14" s="2" t="s">
        <v>91</v>
      </c>
      <c r="AE14" s="2" t="s">
        <v>216</v>
      </c>
      <c r="AF14" t="n">
        <v>1</v>
      </c>
      <c r="AG14" s="2" t="s">
        <v>93</v>
      </c>
      <c r="AH14" s="2" t="s"/>
      <c r="AI14" t="b">
        <v>1</v>
      </c>
      <c r="AJ14" t="b">
        <v>1</v>
      </c>
      <c r="AK14" t="b">
        <v>1</v>
      </c>
      <c r="AL14" s="4">
        <f>HYPERLINK("https://app.isogeo.com/resources/21ff7c146e4e4f0d9934311f6d3ef7fe","Editer")</f>
        <v/>
      </c>
      <c r="AM14" s="4">
        <f>HYPERLINK("https://open.isogeo.com/m/21ff7c146e4e4f0d9934311f6d3ef7fe","Version en ligne")</f>
        <v/>
      </c>
      <c r="AN14" t="s">
        <v>217</v>
      </c>
      <c r="AO14" t="s">
        <v>218</v>
      </c>
      <c r="AP14" t="s">
        <v>95</v>
      </c>
      <c r="AQ14" t="s">
        <v>70</v>
      </c>
    </row>
    <row r="15" spans="1:43">
      <c r="A15" t="s">
        <v>219</v>
      </c>
      <c r="B15" t="s"/>
      <c r="C15" s="2" t="s">
        <v>220</v>
      </c>
      <c r="D15" t="s">
        <v>191</v>
      </c>
      <c r="E15" t="s">
        <v>44</v>
      </c>
      <c r="F15" s="2" t="s">
        <v>221</v>
      </c>
      <c r="G15" s="2" t="s"/>
      <c r="H15" t="b">
        <v>0</v>
      </c>
      <c r="I15" s="2" t="s">
        <v>222</v>
      </c>
      <c r="J15" s="2" t="s">
        <v>223</v>
      </c>
      <c r="K15" s="3" t="s">
        <v>224</v>
      </c>
      <c r="L15" s="3" t="s">
        <v>224</v>
      </c>
      <c r="M15" t="s">
        <v>114</v>
      </c>
      <c r="N15" t="s"/>
      <c r="O15" t="s">
        <v>225</v>
      </c>
      <c r="P15" t="n">
        <v>4</v>
      </c>
      <c r="Q15" t="s">
        <v>224</v>
      </c>
      <c r="S15" t="s">
        <v>226</v>
      </c>
      <c r="T15" t="s">
        <v>88</v>
      </c>
      <c r="U15" s="2" t="s">
        <v>227</v>
      </c>
      <c r="V15" t="s">
        <v>156</v>
      </c>
      <c r="X15" t="n">
        <v>10</v>
      </c>
      <c r="Y15" t="n">
        <v>7</v>
      </c>
      <c r="Z15" t="n">
        <v>7</v>
      </c>
      <c r="AA15" s="2" t="s">
        <v>228</v>
      </c>
      <c r="AB15" s="2" t="s">
        <v>201</v>
      </c>
      <c r="AC15" s="2" t="s"/>
      <c r="AD15" s="2" t="s">
        <v>229</v>
      </c>
      <c r="AE15" s="2" t="s">
        <v>230</v>
      </c>
      <c r="AF15" t="n">
        <v>3</v>
      </c>
      <c r="AG15" s="2" t="s">
        <v>203</v>
      </c>
      <c r="AH15" s="2" t="s">
        <v>231</v>
      </c>
      <c r="AI15" t="b">
        <v>0</v>
      </c>
      <c r="AJ15" t="b">
        <v>0</v>
      </c>
      <c r="AK15" t="b">
        <v>0</v>
      </c>
      <c r="AL15" s="4">
        <f>HYPERLINK("https://app.isogeo.com/resources/708efe7f66634b6ca8119b5b083c3746","Editer")</f>
        <v/>
      </c>
      <c r="AM15" s="4">
        <f>HYPERLINK("https://open.isogeo.com/m/708efe7f66634b6ca8119b5b083c3746","Version en ligne")</f>
        <v/>
      </c>
      <c r="AN15" t="s">
        <v>232</v>
      </c>
      <c r="AO15" t="s">
        <v>233</v>
      </c>
      <c r="AP15" t="s">
        <v>234</v>
      </c>
      <c r="AQ15" t="s">
        <v>70</v>
      </c>
    </row>
    <row r="16" spans="1:43">
      <c r="A16" t="s">
        <v>235</v>
      </c>
      <c r="B16" t="s">
        <v>236</v>
      </c>
      <c r="C16" s="2" t="s">
        <v>237</v>
      </c>
      <c r="D16" t="s">
        <v>54</v>
      </c>
      <c r="E16" t="s">
        <v>55</v>
      </c>
      <c r="F16" s="2" t="s">
        <v>238</v>
      </c>
      <c r="G16" s="2" t="s">
        <v>239</v>
      </c>
      <c r="H16" t="b">
        <v>0</v>
      </c>
      <c r="I16" s="2" t="s">
        <v>58</v>
      </c>
      <c r="J16" s="2" t="s"/>
      <c r="K16" s="3" t="s"/>
      <c r="L16" s="3" t="s"/>
      <c r="M16" t="s">
        <v>59</v>
      </c>
      <c r="N16" t="s"/>
      <c r="O16" t="s"/>
      <c r="P16" t="n">
        <v>3</v>
      </c>
      <c r="Q16" t="s">
        <v>240</v>
      </c>
      <c r="S16" t="s">
        <v>45</v>
      </c>
      <c r="T16" t="s">
        <v>61</v>
      </c>
      <c r="U16" s="2" t="s">
        <v>241</v>
      </c>
      <c r="V16" t="s">
        <v>63</v>
      </c>
      <c r="Y16" t="n">
        <v>46291345</v>
      </c>
      <c r="Z16" t="n">
        <v>31</v>
      </c>
      <c r="AA16" s="2" t="s">
        <v>242</v>
      </c>
      <c r="AB16" s="2" t="s"/>
      <c r="AC16" s="2" t="s">
        <v>65</v>
      </c>
      <c r="AD16" s="2" t="s">
        <v>66</v>
      </c>
      <c r="AE16" s="2" t="s"/>
      <c r="AF16" t="n">
        <v>1</v>
      </c>
      <c r="AG16" s="2" t="s">
        <v>67</v>
      </c>
      <c r="AH16" s="2" t="s"/>
      <c r="AI16" t="b">
        <v>1</v>
      </c>
      <c r="AJ16" t="b">
        <v>1</v>
      </c>
      <c r="AK16" t="b">
        <v>1</v>
      </c>
      <c r="AL16" s="4">
        <f>HYPERLINK("https://app.isogeo.com/resources/c2c70bfc443a456d89f169633d74c73d","Editer")</f>
        <v/>
      </c>
      <c r="AM16" s="4">
        <f>HYPERLINK("https://open.isogeo.com/m/c2c70bfc443a456d89f169633d74c73d","Version en ligne")</f>
        <v/>
      </c>
      <c r="AN16" t="s">
        <v>243</v>
      </c>
      <c r="AO16" t="s">
        <v>244</v>
      </c>
      <c r="AP16" t="s">
        <v>245</v>
      </c>
      <c r="AQ16" t="s">
        <v>70</v>
      </c>
    </row>
    <row r="17" spans="1:43">
      <c r="A17" t="s">
        <v>246</v>
      </c>
      <c r="B17" t="s">
        <v>247</v>
      </c>
      <c r="C17" s="2" t="s">
        <v>248</v>
      </c>
      <c r="D17" t="s">
        <v>54</v>
      </c>
      <c r="E17" t="s">
        <v>55</v>
      </c>
      <c r="F17" s="2" t="s">
        <v>249</v>
      </c>
      <c r="G17" s="2" t="s">
        <v>57</v>
      </c>
      <c r="H17" t="b">
        <v>0</v>
      </c>
      <c r="I17" s="2" t="s">
        <v>58</v>
      </c>
      <c r="J17" s="2" t="s"/>
      <c r="K17" s="3" t="s"/>
      <c r="L17" s="3" t="s"/>
      <c r="M17" t="s">
        <v>59</v>
      </c>
      <c r="N17" t="s"/>
      <c r="O17" t="s"/>
      <c r="P17" t="n">
        <v>3</v>
      </c>
      <c r="Q17" t="s">
        <v>250</v>
      </c>
      <c r="S17" t="s">
        <v>45</v>
      </c>
      <c r="T17" t="s">
        <v>61</v>
      </c>
      <c r="U17" s="2" t="s">
        <v>251</v>
      </c>
      <c r="V17" t="s">
        <v>63</v>
      </c>
      <c r="Y17" t="n">
        <v>2335123</v>
      </c>
      <c r="Z17" t="n">
        <v>49</v>
      </c>
      <c r="AA17" s="2" t="s">
        <v>252</v>
      </c>
      <c r="AB17" s="2" t="s"/>
      <c r="AC17" s="2" t="s">
        <v>65</v>
      </c>
      <c r="AD17" s="2" t="s">
        <v>66</v>
      </c>
      <c r="AE17" s="2" t="s"/>
      <c r="AF17" t="n">
        <v>1</v>
      </c>
      <c r="AG17" s="2" t="s">
        <v>67</v>
      </c>
      <c r="AH17" s="2" t="s"/>
      <c r="AI17" t="b">
        <v>1</v>
      </c>
      <c r="AJ17" t="b">
        <v>1</v>
      </c>
      <c r="AK17" t="b">
        <v>0</v>
      </c>
      <c r="AL17" s="4">
        <f>HYPERLINK("https://app.isogeo.com/resources/d14edc3925684255847b0bc155c18bc3","Editer")</f>
        <v/>
      </c>
      <c r="AM17" s="4">
        <f>HYPERLINK("https://open.isogeo.com/m/d14edc3925684255847b0bc155c18bc3","Version en ligne")</f>
        <v/>
      </c>
      <c r="AN17" t="s">
        <v>253</v>
      </c>
      <c r="AO17" t="s">
        <v>244</v>
      </c>
      <c r="AP17" t="s">
        <v>69</v>
      </c>
      <c r="AQ17" t="s">
        <v>70</v>
      </c>
    </row>
    <row r="18" spans="1:43">
      <c r="A18" t="s">
        <v>254</v>
      </c>
      <c r="B18" t="s">
        <v>255</v>
      </c>
      <c r="C18" s="2" t="s">
        <v>256</v>
      </c>
      <c r="D18" t="s">
        <v>54</v>
      </c>
      <c r="E18" t="s">
        <v>55</v>
      </c>
      <c r="F18" s="2" t="s">
        <v>257</v>
      </c>
      <c r="G18" s="2" t="s">
        <v>112</v>
      </c>
      <c r="H18" t="b">
        <v>0</v>
      </c>
      <c r="I18" s="2" t="s">
        <v>58</v>
      </c>
      <c r="J18" s="2" t="s"/>
      <c r="K18" s="3" t="s"/>
      <c r="L18" s="3" t="s"/>
      <c r="M18" t="s">
        <v>59</v>
      </c>
      <c r="N18" t="s"/>
      <c r="O18" t="s"/>
      <c r="P18" t="n">
        <v>6</v>
      </c>
      <c r="Q18" t="s">
        <v>250</v>
      </c>
      <c r="S18" t="s">
        <v>45</v>
      </c>
      <c r="T18" t="s">
        <v>61</v>
      </c>
      <c r="U18" s="2" t="s">
        <v>258</v>
      </c>
      <c r="V18" t="s">
        <v>119</v>
      </c>
      <c r="Y18" t="n">
        <v>5642267</v>
      </c>
      <c r="Z18" t="n">
        <v>35</v>
      </c>
      <c r="AA18" s="2" t="s">
        <v>259</v>
      </c>
      <c r="AB18" s="2" t="s"/>
      <c r="AC18" s="2" t="s">
        <v>65</v>
      </c>
      <c r="AD18" s="2" t="s">
        <v>66</v>
      </c>
      <c r="AE18" s="2" t="s"/>
      <c r="AF18" t="n">
        <v>1</v>
      </c>
      <c r="AG18" s="2" t="s">
        <v>67</v>
      </c>
      <c r="AH18" s="2" t="s"/>
      <c r="AI18" t="b">
        <v>1</v>
      </c>
      <c r="AJ18" t="b">
        <v>1</v>
      </c>
      <c r="AK18" t="b">
        <v>0</v>
      </c>
      <c r="AL18" s="4">
        <f>HYPERLINK("https://app.isogeo.com/resources/62af719c4df84359b6b465105241476f","Editer")</f>
        <v/>
      </c>
      <c r="AM18" s="4">
        <f>HYPERLINK("https://open.isogeo.com/m/62af719c4df84359b6b465105241476f","Version en ligne")</f>
        <v/>
      </c>
      <c r="AN18" t="s">
        <v>260</v>
      </c>
      <c r="AO18" t="s">
        <v>261</v>
      </c>
      <c r="AP18" t="s">
        <v>262</v>
      </c>
      <c r="AQ18" t="s">
        <v>70</v>
      </c>
    </row>
    <row r="19" spans="1:43">
      <c r="A19" t="s">
        <v>263</v>
      </c>
      <c r="B19" t="s">
        <v>264</v>
      </c>
      <c r="C19" s="2" t="s">
        <v>265</v>
      </c>
      <c r="D19" t="s">
        <v>54</v>
      </c>
      <c r="E19" t="s">
        <v>55</v>
      </c>
      <c r="F19" s="2" t="s">
        <v>266</v>
      </c>
      <c r="G19" s="2" t="s">
        <v>112</v>
      </c>
      <c r="H19" t="b">
        <v>0</v>
      </c>
      <c r="I19" s="2" t="s">
        <v>58</v>
      </c>
      <c r="J19" s="2" t="s"/>
      <c r="K19" s="3" t="s"/>
      <c r="L19" s="3" t="s"/>
      <c r="M19" t="s">
        <v>59</v>
      </c>
      <c r="N19" t="s"/>
      <c r="O19" t="s">
        <v>267</v>
      </c>
      <c r="P19" t="n">
        <v>5</v>
      </c>
      <c r="Q19" t="s">
        <v>250</v>
      </c>
      <c r="S19" t="s">
        <v>268</v>
      </c>
      <c r="T19" t="s">
        <v>61</v>
      </c>
      <c r="U19" s="2" t="s">
        <v>269</v>
      </c>
      <c r="V19" t="s">
        <v>119</v>
      </c>
      <c r="Y19" t="n">
        <v>2906</v>
      </c>
      <c r="Z19" t="n">
        <v>35</v>
      </c>
      <c r="AA19" s="2" t="s">
        <v>270</v>
      </c>
      <c r="AB19" s="2" t="s"/>
      <c r="AC19" s="2" t="s">
        <v>65</v>
      </c>
      <c r="AD19" s="2" t="s">
        <v>66</v>
      </c>
      <c r="AE19" s="2" t="s"/>
      <c r="AF19" t="n">
        <v>1</v>
      </c>
      <c r="AG19" s="2" t="s">
        <v>67</v>
      </c>
      <c r="AH19" s="2" t="s"/>
      <c r="AI19" t="b">
        <v>1</v>
      </c>
      <c r="AJ19" t="b">
        <v>1</v>
      </c>
      <c r="AK19" t="b">
        <v>0</v>
      </c>
      <c r="AL19" s="4">
        <f>HYPERLINK("https://app.isogeo.com/resources/9c01b3e617b44fb5a104623425626a03","Editer")</f>
        <v/>
      </c>
      <c r="AM19" s="4">
        <f>HYPERLINK("https://open.isogeo.com/m/9c01b3e617b44fb5a104623425626a03","Version en ligne")</f>
        <v/>
      </c>
      <c r="AN19" t="s">
        <v>271</v>
      </c>
      <c r="AO19" t="s">
        <v>272</v>
      </c>
      <c r="AP19" t="s">
        <v>69</v>
      </c>
      <c r="AQ19" t="s">
        <v>70</v>
      </c>
    </row>
    <row r="20" spans="1:43">
      <c r="A20" t="s">
        <v>273</v>
      </c>
      <c r="B20" t="s">
        <v>274</v>
      </c>
      <c r="C20" s="2" t="s">
        <v>275</v>
      </c>
      <c r="D20" t="s">
        <v>54</v>
      </c>
      <c r="E20" t="s">
        <v>55</v>
      </c>
      <c r="F20" s="2" t="s">
        <v>276</v>
      </c>
      <c r="G20" s="2" t="s">
        <v>112</v>
      </c>
      <c r="H20" t="b">
        <v>0</v>
      </c>
      <c r="I20" s="2" t="s">
        <v>58</v>
      </c>
      <c r="J20" s="2" t="s"/>
      <c r="K20" s="3" t="s"/>
      <c r="L20" s="3" t="s"/>
      <c r="M20" t="s">
        <v>59</v>
      </c>
      <c r="N20" t="s"/>
      <c r="O20" t="s">
        <v>267</v>
      </c>
      <c r="P20" t="n">
        <v>11</v>
      </c>
      <c r="Q20" t="s">
        <v>250</v>
      </c>
      <c r="S20" t="s">
        <v>268</v>
      </c>
      <c r="T20" t="s">
        <v>61</v>
      </c>
      <c r="U20" s="2" t="s">
        <v>277</v>
      </c>
      <c r="V20" t="s">
        <v>119</v>
      </c>
      <c r="Y20" t="n">
        <v>205</v>
      </c>
      <c r="Z20" t="n">
        <v>25</v>
      </c>
      <c r="AA20" s="2" t="s">
        <v>278</v>
      </c>
      <c r="AB20" s="2" t="s"/>
      <c r="AC20" s="2" t="s">
        <v>65</v>
      </c>
      <c r="AD20" s="2" t="s">
        <v>279</v>
      </c>
      <c r="AE20" s="2" t="s"/>
      <c r="AF20" t="n">
        <v>2</v>
      </c>
      <c r="AG20" s="2" t="s">
        <v>280</v>
      </c>
      <c r="AH20" s="2" t="s"/>
      <c r="AI20" t="b">
        <v>1</v>
      </c>
      <c r="AJ20" t="b">
        <v>1</v>
      </c>
      <c r="AK20" t="b">
        <v>0</v>
      </c>
      <c r="AL20" s="4">
        <f>HYPERLINK("https://app.isogeo.com/resources/3404fa23a39745029abac20c78d33cae","Editer")</f>
        <v/>
      </c>
      <c r="AM20" s="4">
        <f>HYPERLINK("https://open.isogeo.com/m/3404fa23a39745029abac20c78d33cae","Version en ligne")</f>
        <v/>
      </c>
      <c r="AN20" t="s">
        <v>281</v>
      </c>
      <c r="AO20" t="s">
        <v>282</v>
      </c>
      <c r="AP20" t="s">
        <v>69</v>
      </c>
      <c r="AQ20" t="s">
        <v>70</v>
      </c>
    </row>
    <row r="21" spans="1:43">
      <c r="A21" t="s">
        <v>283</v>
      </c>
      <c r="B21" t="s">
        <v>284</v>
      </c>
      <c r="C21" s="2" t="s">
        <v>285</v>
      </c>
      <c r="D21" t="s">
        <v>54</v>
      </c>
      <c r="E21" t="s">
        <v>55</v>
      </c>
      <c r="F21" s="2" t="s">
        <v>286</v>
      </c>
      <c r="G21" s="2" t="s">
        <v>287</v>
      </c>
      <c r="H21" t="b">
        <v>0</v>
      </c>
      <c r="I21" s="2" t="s">
        <v>58</v>
      </c>
      <c r="J21" s="2" t="s"/>
      <c r="K21" s="3" t="s"/>
      <c r="L21" s="3" t="s"/>
      <c r="M21" t="s">
        <v>59</v>
      </c>
      <c r="N21" t="s"/>
      <c r="O21" t="s"/>
      <c r="P21" t="n">
        <v>4</v>
      </c>
      <c r="Q21" t="s">
        <v>250</v>
      </c>
      <c r="S21" t="s">
        <v>45</v>
      </c>
      <c r="T21" t="s">
        <v>61</v>
      </c>
      <c r="U21" s="2" t="s">
        <v>288</v>
      </c>
      <c r="V21" t="s">
        <v>156</v>
      </c>
      <c r="Y21" t="n">
        <v>2690</v>
      </c>
      <c r="Z21" t="n">
        <v>40</v>
      </c>
      <c r="AA21" s="2" t="s">
        <v>289</v>
      </c>
      <c r="AB21" s="2" t="s"/>
      <c r="AC21" s="2" t="s"/>
      <c r="AD21" s="2" t="s">
        <v>66</v>
      </c>
      <c r="AE21" s="2" t="s"/>
      <c r="AF21" t="n">
        <v>1</v>
      </c>
      <c r="AG21" s="2" t="s">
        <v>67</v>
      </c>
      <c r="AH21" s="2" t="s"/>
      <c r="AI21" t="b">
        <v>1</v>
      </c>
      <c r="AJ21" t="b">
        <v>1</v>
      </c>
      <c r="AK21" t="b">
        <v>0</v>
      </c>
      <c r="AL21" s="4">
        <f>HYPERLINK("https://app.isogeo.com/resources/2da9b1d7a43343769519d4e7f01c5608","Editer")</f>
        <v/>
      </c>
      <c r="AM21" s="4">
        <f>HYPERLINK("https://open.isogeo.com/m/2da9b1d7a43343769519d4e7f01c5608","Version en ligne")</f>
        <v/>
      </c>
      <c r="AN21" t="s">
        <v>290</v>
      </c>
      <c r="AO21" t="s">
        <v>291</v>
      </c>
      <c r="AP21" t="s">
        <v>69</v>
      </c>
    </row>
    <row r="22" spans="1:43">
      <c r="A22" t="s">
        <v>292</v>
      </c>
      <c r="B22" t="s">
        <v>293</v>
      </c>
      <c r="C22" s="2" t="s">
        <v>285</v>
      </c>
      <c r="D22" t="s">
        <v>54</v>
      </c>
      <c r="E22" t="s">
        <v>55</v>
      </c>
      <c r="F22" s="2" t="s">
        <v>294</v>
      </c>
      <c r="G22" s="2" t="s">
        <v>287</v>
      </c>
      <c r="H22" t="b">
        <v>0</v>
      </c>
      <c r="I22" s="2" t="s">
        <v>58</v>
      </c>
      <c r="J22" s="2" t="s"/>
      <c r="K22" s="3" t="s"/>
      <c r="L22" s="3" t="s"/>
      <c r="M22" t="s">
        <v>59</v>
      </c>
      <c r="N22" t="s"/>
      <c r="O22" t="s"/>
      <c r="P22" t="n">
        <v>6</v>
      </c>
      <c r="Q22" t="s">
        <v>250</v>
      </c>
      <c r="S22" t="s">
        <v>45</v>
      </c>
      <c r="T22" t="s">
        <v>61</v>
      </c>
      <c r="U22" s="2" t="s">
        <v>295</v>
      </c>
      <c r="V22" t="s">
        <v>63</v>
      </c>
      <c r="Y22" t="n">
        <v>1974</v>
      </c>
      <c r="Z22" t="n">
        <v>39</v>
      </c>
      <c r="AA22" s="2" t="s">
        <v>296</v>
      </c>
      <c r="AB22" s="2" t="s"/>
      <c r="AC22" s="2" t="s"/>
      <c r="AD22" s="2" t="s">
        <v>66</v>
      </c>
      <c r="AE22" s="2" t="s"/>
      <c r="AF22" t="n">
        <v>1</v>
      </c>
      <c r="AG22" s="2" t="s">
        <v>67</v>
      </c>
      <c r="AH22" s="2" t="s"/>
      <c r="AI22" t="b">
        <v>1</v>
      </c>
      <c r="AJ22" t="b">
        <v>1</v>
      </c>
      <c r="AK22" t="b">
        <v>0</v>
      </c>
      <c r="AL22" s="4">
        <f>HYPERLINK("https://app.isogeo.com/resources/d6b8ce4969dc46529d53a7bd4d984de8","Editer")</f>
        <v/>
      </c>
      <c r="AM22" s="4">
        <f>HYPERLINK("https://open.isogeo.com/m/d6b8ce4969dc46529d53a7bd4d984de8","Version en ligne")</f>
        <v/>
      </c>
      <c r="AN22" t="s">
        <v>297</v>
      </c>
      <c r="AO22" t="s">
        <v>291</v>
      </c>
      <c r="AP22" t="s">
        <v>69</v>
      </c>
    </row>
    <row r="23" spans="1:43">
      <c r="A23" t="s">
        <v>298</v>
      </c>
      <c r="B23" t="s">
        <v>299</v>
      </c>
      <c r="C23" s="2" t="s">
        <v>300</v>
      </c>
      <c r="D23" t="s">
        <v>54</v>
      </c>
      <c r="E23" t="s">
        <v>55</v>
      </c>
      <c r="F23" s="2" t="s">
        <v>301</v>
      </c>
      <c r="G23" s="2" t="s">
        <v>287</v>
      </c>
      <c r="H23" t="b">
        <v>0</v>
      </c>
      <c r="I23" s="2" t="s">
        <v>58</v>
      </c>
      <c r="J23" s="2" t="s"/>
      <c r="K23" s="3" t="s"/>
      <c r="L23" s="3" t="s"/>
      <c r="M23" t="s">
        <v>59</v>
      </c>
      <c r="N23" t="s"/>
      <c r="O23" t="s"/>
      <c r="P23" t="n">
        <v>4</v>
      </c>
      <c r="Q23" t="s">
        <v>250</v>
      </c>
      <c r="S23" t="s">
        <v>45</v>
      </c>
      <c r="T23" t="s">
        <v>61</v>
      </c>
      <c r="U23" s="2" t="s">
        <v>302</v>
      </c>
      <c r="V23" t="s">
        <v>63</v>
      </c>
      <c r="Y23" t="n">
        <v>1897</v>
      </c>
      <c r="Z23" t="n">
        <v>42</v>
      </c>
      <c r="AA23" s="2" t="s">
        <v>303</v>
      </c>
      <c r="AB23" s="2" t="s"/>
      <c r="AC23" s="2" t="s"/>
      <c r="AD23" s="2" t="s">
        <v>66</v>
      </c>
      <c r="AE23" s="2" t="s"/>
      <c r="AF23" t="n">
        <v>1</v>
      </c>
      <c r="AG23" s="2" t="s">
        <v>67</v>
      </c>
      <c r="AH23" s="2" t="s"/>
      <c r="AI23" t="b">
        <v>1</v>
      </c>
      <c r="AJ23" t="b">
        <v>1</v>
      </c>
      <c r="AK23" t="b">
        <v>0</v>
      </c>
      <c r="AL23" s="4">
        <f>HYPERLINK("https://app.isogeo.com/resources/74e4f376388f4e629ec8806dafedef3f","Editer")</f>
        <v/>
      </c>
      <c r="AM23" s="4">
        <f>HYPERLINK("https://open.isogeo.com/m/74e4f376388f4e629ec8806dafedef3f","Version en ligne")</f>
        <v/>
      </c>
      <c r="AN23" t="s">
        <v>304</v>
      </c>
      <c r="AO23" t="s">
        <v>291</v>
      </c>
      <c r="AP23" t="s">
        <v>69</v>
      </c>
    </row>
    <row r="24" spans="1:43">
      <c r="A24" t="s">
        <v>305</v>
      </c>
      <c r="B24" t="s">
        <v>306</v>
      </c>
      <c r="C24" s="2" t="s">
        <v>307</v>
      </c>
      <c r="D24" t="s">
        <v>54</v>
      </c>
      <c r="E24" t="s">
        <v>55</v>
      </c>
      <c r="F24" s="2" t="s">
        <v>308</v>
      </c>
      <c r="G24" s="2" t="s">
        <v>287</v>
      </c>
      <c r="H24" t="b">
        <v>0</v>
      </c>
      <c r="I24" s="2" t="s">
        <v>58</v>
      </c>
      <c r="J24" s="2" t="s"/>
      <c r="K24" s="3" t="s"/>
      <c r="L24" s="3" t="s"/>
      <c r="M24" t="s">
        <v>59</v>
      </c>
      <c r="N24" t="s"/>
      <c r="O24" t="s"/>
      <c r="P24" t="n">
        <v>5</v>
      </c>
      <c r="Q24" t="s">
        <v>250</v>
      </c>
      <c r="S24" t="s">
        <v>45</v>
      </c>
      <c r="T24" t="s">
        <v>61</v>
      </c>
      <c r="U24" s="2" t="s">
        <v>309</v>
      </c>
      <c r="V24" t="s">
        <v>156</v>
      </c>
      <c r="Y24" t="n">
        <v>482</v>
      </c>
      <c r="Z24" t="n">
        <v>42</v>
      </c>
      <c r="AA24" s="2" t="s">
        <v>310</v>
      </c>
      <c r="AB24" s="2" t="s"/>
      <c r="AC24" s="2" t="s"/>
      <c r="AD24" s="2" t="s">
        <v>66</v>
      </c>
      <c r="AE24" s="2" t="s"/>
      <c r="AF24" t="n">
        <v>1</v>
      </c>
      <c r="AG24" s="2" t="s">
        <v>67</v>
      </c>
      <c r="AH24" s="2" t="s"/>
      <c r="AI24" t="b">
        <v>1</v>
      </c>
      <c r="AJ24" t="b">
        <v>1</v>
      </c>
      <c r="AK24" t="b">
        <v>0</v>
      </c>
      <c r="AL24" s="4">
        <f>HYPERLINK("https://app.isogeo.com/resources/2580de25e8404ce89766192a40d83de6","Editer")</f>
        <v/>
      </c>
      <c r="AM24" s="4">
        <f>HYPERLINK("https://open.isogeo.com/m/2580de25e8404ce89766192a40d83de6","Version en ligne")</f>
        <v/>
      </c>
      <c r="AN24" t="s">
        <v>311</v>
      </c>
      <c r="AO24" t="s">
        <v>291</v>
      </c>
      <c r="AP24" t="s">
        <v>69</v>
      </c>
    </row>
    <row r="25" spans="1:43">
      <c r="A25" t="s">
        <v>312</v>
      </c>
      <c r="B25" t="s">
        <v>313</v>
      </c>
      <c r="C25" s="2" t="s">
        <v>300</v>
      </c>
      <c r="D25" t="s">
        <v>54</v>
      </c>
      <c r="E25" t="s">
        <v>55</v>
      </c>
      <c r="F25" s="2" t="s">
        <v>301</v>
      </c>
      <c r="G25" s="2" t="s">
        <v>287</v>
      </c>
      <c r="H25" t="b">
        <v>0</v>
      </c>
      <c r="I25" s="2" t="s">
        <v>58</v>
      </c>
      <c r="J25" s="2" t="s"/>
      <c r="K25" s="3" t="s"/>
      <c r="L25" s="3" t="s"/>
      <c r="M25" t="s">
        <v>59</v>
      </c>
      <c r="N25" t="s"/>
      <c r="O25" t="s"/>
      <c r="P25" t="n">
        <v>4</v>
      </c>
      <c r="Q25" t="s">
        <v>250</v>
      </c>
      <c r="S25" t="s">
        <v>45</v>
      </c>
      <c r="T25" t="s">
        <v>61</v>
      </c>
      <c r="U25" s="2" t="s">
        <v>314</v>
      </c>
      <c r="V25" t="s">
        <v>156</v>
      </c>
      <c r="Y25" t="n">
        <v>16697</v>
      </c>
      <c r="Z25" t="n">
        <v>43</v>
      </c>
      <c r="AA25" s="2" t="s">
        <v>315</v>
      </c>
      <c r="AB25" s="2" t="s"/>
      <c r="AC25" s="2" t="s"/>
      <c r="AD25" s="2" t="s">
        <v>66</v>
      </c>
      <c r="AE25" s="2" t="s"/>
      <c r="AF25" t="n">
        <v>1</v>
      </c>
      <c r="AG25" s="2" t="s">
        <v>67</v>
      </c>
      <c r="AH25" s="2" t="s"/>
      <c r="AI25" t="b">
        <v>1</v>
      </c>
      <c r="AJ25" t="b">
        <v>1</v>
      </c>
      <c r="AK25" t="b">
        <v>0</v>
      </c>
      <c r="AL25" s="4">
        <f>HYPERLINK("https://app.isogeo.com/resources/c2df2791ee8a45b8b42ad89e9e997157","Editer")</f>
        <v/>
      </c>
      <c r="AM25" s="4">
        <f>HYPERLINK("https://open.isogeo.com/m/c2df2791ee8a45b8b42ad89e9e997157","Version en ligne")</f>
        <v/>
      </c>
      <c r="AN25" t="s">
        <v>316</v>
      </c>
      <c r="AO25" t="s">
        <v>291</v>
      </c>
      <c r="AP25" t="s">
        <v>69</v>
      </c>
    </row>
    <row r="26" spans="1:43">
      <c r="A26" t="s">
        <v>317</v>
      </c>
      <c r="B26" t="s">
        <v>318</v>
      </c>
      <c r="C26" s="2" t="s">
        <v>319</v>
      </c>
      <c r="D26" t="s">
        <v>54</v>
      </c>
      <c r="E26" t="s">
        <v>55</v>
      </c>
      <c r="F26" s="2" t="s">
        <v>320</v>
      </c>
      <c r="G26" s="2" t="s"/>
      <c r="H26" t="b">
        <v>0</v>
      </c>
      <c r="I26" s="2" t="s">
        <v>58</v>
      </c>
      <c r="J26" s="2" t="s"/>
      <c r="K26" s="3" t="s"/>
      <c r="L26" s="3" t="s"/>
      <c r="M26" t="s">
        <v>59</v>
      </c>
      <c r="N26" t="s"/>
      <c r="O26" t="s"/>
      <c r="P26" t="n">
        <v>5</v>
      </c>
      <c r="Q26" t="s">
        <v>250</v>
      </c>
      <c r="S26" t="s">
        <v>45</v>
      </c>
      <c r="T26" t="s">
        <v>61</v>
      </c>
      <c r="U26" s="2" t="s">
        <v>321</v>
      </c>
      <c r="V26" t="s">
        <v>63</v>
      </c>
      <c r="Y26" t="n">
        <v>42990</v>
      </c>
      <c r="Z26" t="n">
        <v>38</v>
      </c>
      <c r="AA26" s="2" t="s">
        <v>322</v>
      </c>
      <c r="AB26" s="2" t="s"/>
      <c r="AC26" s="2" t="s"/>
      <c r="AD26" s="2" t="s">
        <v>66</v>
      </c>
      <c r="AE26" s="2" t="s"/>
      <c r="AF26" t="n">
        <v>1</v>
      </c>
      <c r="AG26" s="2" t="s">
        <v>67</v>
      </c>
      <c r="AH26" s="2" t="s"/>
      <c r="AI26" t="b">
        <v>1</v>
      </c>
      <c r="AJ26" t="b">
        <v>1</v>
      </c>
      <c r="AK26" t="b">
        <v>0</v>
      </c>
      <c r="AL26" s="4">
        <f>HYPERLINK("https://app.isogeo.com/resources/4913a0fb01ef47d2ae415607d635162f","Editer")</f>
        <v/>
      </c>
      <c r="AM26" s="4">
        <f>HYPERLINK("https://open.isogeo.com/m/4913a0fb01ef47d2ae415607d635162f","Version en ligne")</f>
        <v/>
      </c>
      <c r="AN26" t="s">
        <v>323</v>
      </c>
      <c r="AO26" t="s">
        <v>291</v>
      </c>
      <c r="AP26" t="s">
        <v>69</v>
      </c>
    </row>
    <row r="27" spans="1:43">
      <c r="A27" t="s">
        <v>324</v>
      </c>
      <c r="B27" t="s">
        <v>325</v>
      </c>
      <c r="C27" s="2" t="s">
        <v>319</v>
      </c>
      <c r="D27" t="s">
        <v>54</v>
      </c>
      <c r="E27" t="s">
        <v>55</v>
      </c>
      <c r="F27" s="2" t="s">
        <v>326</v>
      </c>
      <c r="G27" s="2" t="s"/>
      <c r="H27" t="b">
        <v>0</v>
      </c>
      <c r="I27" s="2" t="s">
        <v>58</v>
      </c>
      <c r="J27" s="2" t="s"/>
      <c r="K27" s="3" t="s"/>
      <c r="L27" s="3" t="s"/>
      <c r="M27" t="s">
        <v>59</v>
      </c>
      <c r="N27" t="s"/>
      <c r="O27" t="s"/>
      <c r="P27" t="n">
        <v>5</v>
      </c>
      <c r="Q27" t="s">
        <v>250</v>
      </c>
      <c r="S27" t="s">
        <v>45</v>
      </c>
      <c r="T27" t="s">
        <v>61</v>
      </c>
      <c r="U27" s="2" t="s">
        <v>327</v>
      </c>
      <c r="V27" t="s">
        <v>156</v>
      </c>
      <c r="Y27" t="n">
        <v>192364</v>
      </c>
      <c r="Z27" t="n">
        <v>38</v>
      </c>
      <c r="AA27" s="2" t="s">
        <v>328</v>
      </c>
      <c r="AB27" s="2" t="s"/>
      <c r="AC27" s="2" t="s"/>
      <c r="AD27" s="2" t="s">
        <v>66</v>
      </c>
      <c r="AE27" s="2" t="s"/>
      <c r="AF27" t="n">
        <v>1</v>
      </c>
      <c r="AG27" s="2" t="s">
        <v>67</v>
      </c>
      <c r="AH27" s="2" t="s"/>
      <c r="AI27" t="b">
        <v>1</v>
      </c>
      <c r="AJ27" t="b">
        <v>1</v>
      </c>
      <c r="AK27" t="b">
        <v>0</v>
      </c>
      <c r="AL27" s="4">
        <f>HYPERLINK("https://app.isogeo.com/resources/946bd9cdf20f4b368abb4e19c195cd02","Editer")</f>
        <v/>
      </c>
      <c r="AM27" s="4">
        <f>HYPERLINK("https://open.isogeo.com/m/946bd9cdf20f4b368abb4e19c195cd02","Version en ligne")</f>
        <v/>
      </c>
      <c r="AN27" t="s">
        <v>329</v>
      </c>
      <c r="AO27" t="s">
        <v>291</v>
      </c>
      <c r="AP27" t="s">
        <v>69</v>
      </c>
    </row>
    <row r="28" spans="1:43">
      <c r="A28" t="s">
        <v>330</v>
      </c>
      <c r="B28" t="s">
        <v>331</v>
      </c>
      <c r="C28" s="2" t="s">
        <v>332</v>
      </c>
      <c r="D28" t="s">
        <v>54</v>
      </c>
      <c r="E28" t="s">
        <v>55</v>
      </c>
      <c r="F28" s="2" t="s">
        <v>333</v>
      </c>
      <c r="G28" s="2" t="s"/>
      <c r="H28" t="b">
        <v>0</v>
      </c>
      <c r="I28" s="2" t="s">
        <v>58</v>
      </c>
      <c r="J28" s="2" t="s"/>
      <c r="K28" s="3" t="s"/>
      <c r="L28" s="3" t="s"/>
      <c r="M28" t="s">
        <v>59</v>
      </c>
      <c r="N28" t="s"/>
      <c r="O28" t="s"/>
      <c r="P28" t="n">
        <v>4</v>
      </c>
      <c r="Q28" t="s">
        <v>250</v>
      </c>
      <c r="S28" t="s">
        <v>45</v>
      </c>
      <c r="T28" t="s">
        <v>61</v>
      </c>
      <c r="U28" s="2" t="s">
        <v>334</v>
      </c>
      <c r="V28" t="s">
        <v>119</v>
      </c>
      <c r="Y28" t="n">
        <v>4645</v>
      </c>
      <c r="Z28" t="n">
        <v>32</v>
      </c>
      <c r="AA28" s="2" t="s">
        <v>335</v>
      </c>
      <c r="AB28" s="2" t="s"/>
      <c r="AC28" s="2" t="s"/>
      <c r="AD28" s="2" t="s">
        <v>66</v>
      </c>
      <c r="AE28" s="2" t="s"/>
      <c r="AF28" t="n">
        <v>1</v>
      </c>
      <c r="AG28" s="2" t="s">
        <v>67</v>
      </c>
      <c r="AH28" s="2" t="s"/>
      <c r="AI28" t="b">
        <v>1</v>
      </c>
      <c r="AJ28" t="b">
        <v>1</v>
      </c>
      <c r="AK28" t="b">
        <v>0</v>
      </c>
      <c r="AL28" s="4">
        <f>HYPERLINK("https://app.isogeo.com/resources/800bfaf2559a4e928e051d3d55c5f3b5","Editer")</f>
        <v/>
      </c>
      <c r="AM28" s="4">
        <f>HYPERLINK("https://open.isogeo.com/m/800bfaf2559a4e928e051d3d55c5f3b5","Version en ligne")</f>
        <v/>
      </c>
      <c r="AN28" t="s">
        <v>336</v>
      </c>
      <c r="AO28" t="s">
        <v>291</v>
      </c>
      <c r="AP28" t="s">
        <v>69</v>
      </c>
    </row>
    <row r="29" spans="1:43">
      <c r="A29" t="s">
        <v>337</v>
      </c>
      <c r="B29" t="s">
        <v>338</v>
      </c>
      <c r="C29" s="2" t="s">
        <v>307</v>
      </c>
      <c r="D29" t="s">
        <v>54</v>
      </c>
      <c r="E29" t="s">
        <v>55</v>
      </c>
      <c r="F29" s="2" t="s">
        <v>308</v>
      </c>
      <c r="G29" s="2" t="s">
        <v>287</v>
      </c>
      <c r="H29" t="b">
        <v>0</v>
      </c>
      <c r="I29" s="2" t="s">
        <v>58</v>
      </c>
      <c r="J29" s="2" t="s"/>
      <c r="K29" s="3" t="s"/>
      <c r="L29" s="3" t="s"/>
      <c r="M29" t="s">
        <v>59</v>
      </c>
      <c r="N29" t="s"/>
      <c r="O29" t="s"/>
      <c r="P29" t="n">
        <v>4</v>
      </c>
      <c r="Q29" t="s">
        <v>250</v>
      </c>
      <c r="S29" t="s">
        <v>45</v>
      </c>
      <c r="T29" t="s">
        <v>61</v>
      </c>
      <c r="U29" s="2" t="s">
        <v>339</v>
      </c>
      <c r="V29" t="s">
        <v>63</v>
      </c>
      <c r="Y29" t="n">
        <v>247</v>
      </c>
      <c r="Z29" t="n">
        <v>41</v>
      </c>
      <c r="AA29" s="2" t="s">
        <v>340</v>
      </c>
      <c r="AB29" s="2" t="s"/>
      <c r="AC29" s="2" t="s"/>
      <c r="AD29" s="2" t="s">
        <v>66</v>
      </c>
      <c r="AE29" s="2" t="s"/>
      <c r="AF29" t="n">
        <v>1</v>
      </c>
      <c r="AG29" s="2" t="s">
        <v>67</v>
      </c>
      <c r="AH29" s="2" t="s"/>
      <c r="AI29" t="b">
        <v>1</v>
      </c>
      <c r="AJ29" t="b">
        <v>1</v>
      </c>
      <c r="AK29" t="b">
        <v>0</v>
      </c>
      <c r="AL29" s="4">
        <f>HYPERLINK("https://app.isogeo.com/resources/c442df1b427e438bac25903f81bdf936","Editer")</f>
        <v/>
      </c>
      <c r="AM29" s="4">
        <f>HYPERLINK("https://open.isogeo.com/m/c442df1b427e438bac25903f81bdf936","Version en ligne")</f>
        <v/>
      </c>
      <c r="AN29" t="s">
        <v>341</v>
      </c>
      <c r="AO29" t="s">
        <v>291</v>
      </c>
      <c r="AP29" t="s">
        <v>69</v>
      </c>
    </row>
    <row r="30" spans="1:43">
      <c r="A30" t="s">
        <v>342</v>
      </c>
      <c r="B30" t="s">
        <v>343</v>
      </c>
      <c r="C30" s="2" t="s">
        <v>344</v>
      </c>
      <c r="D30" t="s">
        <v>54</v>
      </c>
      <c r="E30" t="s">
        <v>55</v>
      </c>
      <c r="F30" s="2" t="s">
        <v>345</v>
      </c>
      <c r="G30" s="2" t="s">
        <v>112</v>
      </c>
      <c r="H30" t="b">
        <v>0</v>
      </c>
      <c r="I30" s="2" t="s">
        <v>58</v>
      </c>
      <c r="J30" s="2" t="s"/>
      <c r="K30" s="3" t="s"/>
      <c r="L30" s="3" t="s"/>
      <c r="M30" t="s">
        <v>59</v>
      </c>
      <c r="N30" t="s"/>
      <c r="O30" t="s"/>
      <c r="P30" t="n">
        <v>10</v>
      </c>
      <c r="Q30" t="s">
        <v>250</v>
      </c>
      <c r="S30" t="s">
        <v>45</v>
      </c>
      <c r="T30" t="s">
        <v>61</v>
      </c>
      <c r="U30" s="2" t="s">
        <v>346</v>
      </c>
      <c r="V30" t="s">
        <v>119</v>
      </c>
      <c r="Y30" t="n">
        <v>138632</v>
      </c>
      <c r="Z30" t="n">
        <v>32</v>
      </c>
      <c r="AA30" s="2" t="s">
        <v>347</v>
      </c>
      <c r="AB30" s="2" t="s"/>
      <c r="AC30" s="2" t="s">
        <v>65</v>
      </c>
      <c r="AD30" s="2" t="s">
        <v>66</v>
      </c>
      <c r="AE30" s="2" t="s"/>
      <c r="AF30" t="n">
        <v>1</v>
      </c>
      <c r="AG30" s="2" t="s">
        <v>67</v>
      </c>
      <c r="AH30" s="2" t="s"/>
      <c r="AI30" t="b">
        <v>1</v>
      </c>
      <c r="AJ30" t="b">
        <v>1</v>
      </c>
      <c r="AK30" t="b">
        <v>0</v>
      </c>
      <c r="AL30" s="4">
        <f>HYPERLINK("https://app.isogeo.com/resources/cef59d77b3154d6490f3cb084a196f4b","Editer")</f>
        <v/>
      </c>
      <c r="AM30" s="4">
        <f>HYPERLINK("https://open.isogeo.com/m/cef59d77b3154d6490f3cb084a196f4b","Version en ligne")</f>
        <v/>
      </c>
      <c r="AN30" t="s">
        <v>348</v>
      </c>
      <c r="AO30" t="s">
        <v>349</v>
      </c>
      <c r="AP30" t="s">
        <v>69</v>
      </c>
      <c r="AQ30" t="s">
        <v>70</v>
      </c>
    </row>
    <row r="31" spans="1:43">
      <c r="A31" t="s">
        <v>350</v>
      </c>
      <c r="B31" t="s">
        <v>351</v>
      </c>
      <c r="C31" s="2" t="s">
        <v>352</v>
      </c>
      <c r="D31" t="s">
        <v>54</v>
      </c>
      <c r="E31" t="s">
        <v>55</v>
      </c>
      <c r="F31" s="2" t="s">
        <v>353</v>
      </c>
      <c r="G31" s="2" t="s">
        <v>112</v>
      </c>
      <c r="H31" t="b">
        <v>0</v>
      </c>
      <c r="I31" s="2" t="s">
        <v>58</v>
      </c>
      <c r="J31" s="2" t="s"/>
      <c r="K31" s="3" t="s"/>
      <c r="L31" s="3" t="s"/>
      <c r="M31" t="s">
        <v>59</v>
      </c>
      <c r="N31" t="s"/>
      <c r="O31" t="s"/>
      <c r="P31" t="n">
        <v>10</v>
      </c>
      <c r="Q31" t="s">
        <v>250</v>
      </c>
      <c r="S31" t="s">
        <v>45</v>
      </c>
      <c r="T31" t="s">
        <v>61</v>
      </c>
      <c r="U31" s="2" t="s">
        <v>354</v>
      </c>
      <c r="V31" t="s">
        <v>119</v>
      </c>
      <c r="Y31" t="n">
        <v>41805</v>
      </c>
      <c r="Z31" t="n">
        <v>29</v>
      </c>
      <c r="AA31" s="2" t="s">
        <v>355</v>
      </c>
      <c r="AB31" s="2" t="s"/>
      <c r="AC31" s="2" t="s"/>
      <c r="AD31" s="2" t="s">
        <v>66</v>
      </c>
      <c r="AE31" s="2" t="s"/>
      <c r="AF31" t="n">
        <v>1</v>
      </c>
      <c r="AG31" s="2" t="s">
        <v>67</v>
      </c>
      <c r="AH31" s="2" t="s"/>
      <c r="AI31" t="b">
        <v>1</v>
      </c>
      <c r="AJ31" t="b">
        <v>1</v>
      </c>
      <c r="AK31" t="b">
        <v>0</v>
      </c>
      <c r="AL31" s="4">
        <f>HYPERLINK("https://app.isogeo.com/resources/bf7507c1a2b545ec941c98dbe02d6b0c","Editer")</f>
        <v/>
      </c>
      <c r="AM31" s="4">
        <f>HYPERLINK("https://open.isogeo.com/m/bf7507c1a2b545ec941c98dbe02d6b0c","Version en ligne")</f>
        <v/>
      </c>
      <c r="AN31" t="s">
        <v>356</v>
      </c>
      <c r="AO31" t="s">
        <v>349</v>
      </c>
      <c r="AP31" t="s">
        <v>69</v>
      </c>
    </row>
    <row r="32" spans="1:43">
      <c r="A32" t="s">
        <v>357</v>
      </c>
      <c r="B32" t="s">
        <v>358</v>
      </c>
      <c r="C32" s="2" t="s">
        <v>359</v>
      </c>
      <c r="D32" t="s">
        <v>54</v>
      </c>
      <c r="E32" t="s">
        <v>55</v>
      </c>
      <c r="F32" s="2" t="s">
        <v>360</v>
      </c>
      <c r="G32" s="2" t="s">
        <v>112</v>
      </c>
      <c r="H32" t="b">
        <v>0</v>
      </c>
      <c r="I32" s="2" t="s">
        <v>58</v>
      </c>
      <c r="J32" s="2" t="s"/>
      <c r="K32" s="3" t="s"/>
      <c r="L32" s="3" t="s"/>
      <c r="M32" t="s">
        <v>59</v>
      </c>
      <c r="N32" t="s"/>
      <c r="O32" t="s">
        <v>267</v>
      </c>
      <c r="P32" t="n">
        <v>9</v>
      </c>
      <c r="Q32" t="s">
        <v>250</v>
      </c>
      <c r="S32" t="s">
        <v>268</v>
      </c>
      <c r="T32" t="s">
        <v>61</v>
      </c>
      <c r="U32" s="2" t="s">
        <v>361</v>
      </c>
      <c r="V32" t="s">
        <v>119</v>
      </c>
      <c r="Y32" t="n">
        <v>59</v>
      </c>
      <c r="Z32" t="n">
        <v>25</v>
      </c>
      <c r="AA32" s="2" t="s">
        <v>362</v>
      </c>
      <c r="AB32" s="2" t="s"/>
      <c r="AC32" s="2" t="s">
        <v>65</v>
      </c>
      <c r="AD32" s="2" t="s">
        <v>66</v>
      </c>
      <c r="AE32" s="2" t="s"/>
      <c r="AF32" t="n">
        <v>1</v>
      </c>
      <c r="AG32" s="2" t="s">
        <v>67</v>
      </c>
      <c r="AH32" s="2" t="s"/>
      <c r="AI32" t="b">
        <v>1</v>
      </c>
      <c r="AJ32" t="b">
        <v>1</v>
      </c>
      <c r="AK32" t="b">
        <v>0</v>
      </c>
      <c r="AL32" s="4">
        <f>HYPERLINK("https://app.isogeo.com/resources/e6c675fbea814ed4abcc7d58ad01e694","Editer")</f>
        <v/>
      </c>
      <c r="AM32" s="4">
        <f>HYPERLINK("https://open.isogeo.com/m/e6c675fbea814ed4abcc7d58ad01e694","Version en ligne")</f>
        <v/>
      </c>
      <c r="AN32" t="s">
        <v>363</v>
      </c>
      <c r="AO32" t="s">
        <v>349</v>
      </c>
      <c r="AP32" t="s">
        <v>69</v>
      </c>
      <c r="AQ32" t="s">
        <v>70</v>
      </c>
    </row>
    <row r="33" spans="1:43">
      <c r="A33" t="s">
        <v>364</v>
      </c>
      <c r="B33" t="s">
        <v>365</v>
      </c>
      <c r="C33" s="2" t="s">
        <v>366</v>
      </c>
      <c r="D33" t="s">
        <v>54</v>
      </c>
      <c r="E33" t="s">
        <v>55</v>
      </c>
      <c r="F33" s="2" t="s">
        <v>367</v>
      </c>
      <c r="G33" s="2" t="s">
        <v>112</v>
      </c>
      <c r="H33" t="b">
        <v>0</v>
      </c>
      <c r="I33" s="2" t="s">
        <v>58</v>
      </c>
      <c r="J33" s="2" t="s"/>
      <c r="K33" s="3" t="s"/>
      <c r="L33" s="3" t="s"/>
      <c r="M33" t="s">
        <v>59</v>
      </c>
      <c r="N33" t="s"/>
      <c r="O33" t="s">
        <v>267</v>
      </c>
      <c r="P33" t="n">
        <v>7</v>
      </c>
      <c r="Q33" t="s">
        <v>250</v>
      </c>
      <c r="S33" t="s">
        <v>45</v>
      </c>
      <c r="T33" t="s">
        <v>61</v>
      </c>
      <c r="U33" s="2" t="s">
        <v>368</v>
      </c>
      <c r="V33" t="s">
        <v>119</v>
      </c>
      <c r="Y33" t="n">
        <v>9711</v>
      </c>
      <c r="Z33" t="n">
        <v>23</v>
      </c>
      <c r="AA33" s="2" t="s">
        <v>369</v>
      </c>
      <c r="AB33" s="2" t="s"/>
      <c r="AC33" s="2" t="s">
        <v>65</v>
      </c>
      <c r="AD33" s="2" t="s">
        <v>66</v>
      </c>
      <c r="AE33" s="2" t="s"/>
      <c r="AF33" t="n">
        <v>2</v>
      </c>
      <c r="AG33" s="2" t="s">
        <v>280</v>
      </c>
      <c r="AH33" s="2" t="s"/>
      <c r="AI33" t="b">
        <v>1</v>
      </c>
      <c r="AJ33" t="b">
        <v>1</v>
      </c>
      <c r="AK33" t="b">
        <v>0</v>
      </c>
      <c r="AL33" s="4">
        <f>HYPERLINK("https://app.isogeo.com/resources/234a9be4cc5f496984926f421df952a3","Editer")</f>
        <v/>
      </c>
      <c r="AM33" s="4">
        <f>HYPERLINK("https://open.isogeo.com/m/234a9be4cc5f496984926f421df952a3","Version en ligne")</f>
        <v/>
      </c>
      <c r="AN33" t="s">
        <v>370</v>
      </c>
      <c r="AO33" t="s">
        <v>349</v>
      </c>
      <c r="AP33" t="s">
        <v>69</v>
      </c>
      <c r="AQ33" t="s">
        <v>70</v>
      </c>
    </row>
    <row r="34" spans="1:43">
      <c r="A34" t="s">
        <v>371</v>
      </c>
      <c r="B34" t="s">
        <v>372</v>
      </c>
      <c r="C34" s="2" t="s">
        <v>373</v>
      </c>
      <c r="D34" t="s">
        <v>54</v>
      </c>
      <c r="E34" t="s">
        <v>55</v>
      </c>
      <c r="F34" s="2" t="s">
        <v>374</v>
      </c>
      <c r="G34" s="2" t="s">
        <v>112</v>
      </c>
      <c r="H34" t="b">
        <v>0</v>
      </c>
      <c r="I34" s="2" t="s">
        <v>58</v>
      </c>
      <c r="J34" s="2" t="s"/>
      <c r="K34" s="3" t="s"/>
      <c r="L34" s="3" t="s"/>
      <c r="M34" t="s">
        <v>59</v>
      </c>
      <c r="N34" t="s"/>
      <c r="O34" t="s"/>
      <c r="P34" t="n">
        <v>7</v>
      </c>
      <c r="Q34" t="s">
        <v>250</v>
      </c>
      <c r="S34" t="s">
        <v>45</v>
      </c>
      <c r="T34" t="s">
        <v>61</v>
      </c>
      <c r="U34" s="2" t="s">
        <v>375</v>
      </c>
      <c r="V34" t="s">
        <v>119</v>
      </c>
      <c r="Y34" t="n">
        <v>110830</v>
      </c>
      <c r="Z34" t="n">
        <v>25</v>
      </c>
      <c r="AA34" s="2" t="s">
        <v>376</v>
      </c>
      <c r="AB34" s="2" t="s"/>
      <c r="AC34" s="2" t="s"/>
      <c r="AD34" s="2" t="s">
        <v>66</v>
      </c>
      <c r="AE34" s="2" t="s"/>
      <c r="AF34" t="n">
        <v>1</v>
      </c>
      <c r="AG34" s="2" t="s">
        <v>67</v>
      </c>
      <c r="AH34" s="2" t="s"/>
      <c r="AI34" t="b">
        <v>1</v>
      </c>
      <c r="AJ34" t="b">
        <v>1</v>
      </c>
      <c r="AK34" t="b">
        <v>0</v>
      </c>
      <c r="AL34" s="4">
        <f>HYPERLINK("https://app.isogeo.com/resources/778ed1a0c08f4d238b665957195e826f","Editer")</f>
        <v/>
      </c>
      <c r="AM34" s="4">
        <f>HYPERLINK("https://open.isogeo.com/m/778ed1a0c08f4d238b665957195e826f","Version en ligne")</f>
        <v/>
      </c>
      <c r="AN34" t="s">
        <v>377</v>
      </c>
      <c r="AO34" t="s">
        <v>378</v>
      </c>
      <c r="AP34" t="s">
        <v>69</v>
      </c>
    </row>
    <row r="35" spans="1:43">
      <c r="A35" t="s">
        <v>379</v>
      </c>
      <c r="B35" t="s">
        <v>380</v>
      </c>
      <c r="C35" s="2" t="s">
        <v>381</v>
      </c>
      <c r="D35" t="s">
        <v>54</v>
      </c>
      <c r="E35" t="s">
        <v>55</v>
      </c>
      <c r="F35" s="2" t="s">
        <v>382</v>
      </c>
      <c r="G35" s="2" t="s">
        <v>151</v>
      </c>
      <c r="H35" t="b">
        <v>0</v>
      </c>
      <c r="I35" s="2" t="s">
        <v>58</v>
      </c>
      <c r="J35" s="2" t="s"/>
      <c r="K35" s="3" t="s"/>
      <c r="L35" s="3" t="s"/>
      <c r="M35" t="s">
        <v>59</v>
      </c>
      <c r="N35" t="s"/>
      <c r="O35" t="s"/>
      <c r="P35" t="n">
        <v>6</v>
      </c>
      <c r="Q35" t="s">
        <v>250</v>
      </c>
      <c r="S35" t="s">
        <v>45</v>
      </c>
      <c r="T35" t="s">
        <v>61</v>
      </c>
      <c r="U35" s="2" t="s">
        <v>383</v>
      </c>
      <c r="V35" t="s">
        <v>63</v>
      </c>
      <c r="Y35" t="n">
        <v>30997</v>
      </c>
      <c r="Z35" t="n">
        <v>36</v>
      </c>
      <c r="AA35" s="2" t="s">
        <v>384</v>
      </c>
      <c r="AB35" s="2" t="s"/>
      <c r="AC35" s="2" t="s"/>
      <c r="AD35" s="2" t="s">
        <v>66</v>
      </c>
      <c r="AE35" s="2" t="s"/>
      <c r="AF35" t="n">
        <v>1</v>
      </c>
      <c r="AG35" s="2" t="s">
        <v>67</v>
      </c>
      <c r="AH35" s="2" t="s"/>
      <c r="AI35" t="b">
        <v>1</v>
      </c>
      <c r="AJ35" t="b">
        <v>1</v>
      </c>
      <c r="AK35" t="b">
        <v>0</v>
      </c>
      <c r="AL35" s="4">
        <f>HYPERLINK("https://app.isogeo.com/resources/016f7a8bc66a4e8aaa04ea277b61223e","Editer")</f>
        <v/>
      </c>
      <c r="AM35" s="4">
        <f>HYPERLINK("https://open.isogeo.com/m/016f7a8bc66a4e8aaa04ea277b61223e","Version en ligne")</f>
        <v/>
      </c>
      <c r="AN35" t="s">
        <v>385</v>
      </c>
      <c r="AO35" t="s">
        <v>378</v>
      </c>
      <c r="AP35" t="s">
        <v>69</v>
      </c>
    </row>
    <row r="36" spans="1:43">
      <c r="A36" t="s">
        <v>386</v>
      </c>
      <c r="B36" t="s">
        <v>387</v>
      </c>
      <c r="C36" s="2" t="s">
        <v>388</v>
      </c>
      <c r="D36" t="s">
        <v>54</v>
      </c>
      <c r="E36" t="s">
        <v>55</v>
      </c>
      <c r="F36" s="2" t="s">
        <v>389</v>
      </c>
      <c r="G36" s="2" t="s">
        <v>151</v>
      </c>
      <c r="H36" t="b">
        <v>0</v>
      </c>
      <c r="I36" s="2" t="s">
        <v>58</v>
      </c>
      <c r="J36" s="2" t="s"/>
      <c r="K36" s="3" t="s"/>
      <c r="L36" s="3" t="s"/>
      <c r="M36" t="s">
        <v>59</v>
      </c>
      <c r="N36" t="s"/>
      <c r="O36" t="s"/>
      <c r="P36" t="n">
        <v>7</v>
      </c>
      <c r="Q36" t="s">
        <v>250</v>
      </c>
      <c r="S36" t="s">
        <v>45</v>
      </c>
      <c r="T36" t="s">
        <v>61</v>
      </c>
      <c r="U36" s="2" t="s">
        <v>390</v>
      </c>
      <c r="V36" t="s">
        <v>156</v>
      </c>
      <c r="Y36" t="n">
        <v>52562</v>
      </c>
      <c r="Z36" t="n">
        <v>38</v>
      </c>
      <c r="AA36" s="2" t="s">
        <v>391</v>
      </c>
      <c r="AB36" s="2" t="s"/>
      <c r="AC36" s="2" t="s"/>
      <c r="AD36" s="2" t="s">
        <v>392</v>
      </c>
      <c r="AE36" s="2" t="s"/>
      <c r="AF36" t="n">
        <v>1</v>
      </c>
      <c r="AG36" s="2" t="s">
        <v>67</v>
      </c>
      <c r="AH36" s="2" t="s"/>
      <c r="AI36" t="b">
        <v>1</v>
      </c>
      <c r="AJ36" t="b">
        <v>1</v>
      </c>
      <c r="AK36" t="b">
        <v>0</v>
      </c>
      <c r="AL36" s="4">
        <f>HYPERLINK("https://app.isogeo.com/resources/18548cfe66dc4cabba4e671abe8438c9","Editer")</f>
        <v/>
      </c>
      <c r="AM36" s="4">
        <f>HYPERLINK("https://open.isogeo.com/m/18548cfe66dc4cabba4e671abe8438c9","Version en ligne")</f>
        <v/>
      </c>
      <c r="AN36" t="s">
        <v>393</v>
      </c>
      <c r="AO36" t="s">
        <v>378</v>
      </c>
      <c r="AP36" t="s">
        <v>69</v>
      </c>
    </row>
    <row r="37" spans="1:43">
      <c r="A37" t="s">
        <v>394</v>
      </c>
      <c r="B37" t="s">
        <v>395</v>
      </c>
      <c r="C37" s="2" t="s">
        <v>396</v>
      </c>
      <c r="D37" t="s">
        <v>397</v>
      </c>
      <c r="E37" t="s">
        <v>44</v>
      </c>
      <c r="F37" s="2" t="s">
        <v>398</v>
      </c>
      <c r="G37" s="2" t="s"/>
      <c r="H37" t="b">
        <v>0</v>
      </c>
      <c r="I37" s="2" t="s"/>
      <c r="J37" s="2" t="s"/>
      <c r="K37" s="3" t="s">
        <v>399</v>
      </c>
      <c r="L37" s="3" t="s">
        <v>400</v>
      </c>
      <c r="M37" t="s">
        <v>114</v>
      </c>
      <c r="N37" t="s"/>
      <c r="O37" t="s">
        <v>399</v>
      </c>
      <c r="P37" t="n">
        <v>2</v>
      </c>
      <c r="Q37" t="s">
        <v>401</v>
      </c>
      <c r="S37" t="s">
        <v>402</v>
      </c>
      <c r="T37" t="s">
        <v>403</v>
      </c>
      <c r="U37" s="2" t="s">
        <v>404</v>
      </c>
      <c r="V37" t="s">
        <v>63</v>
      </c>
      <c r="W37" t="n">
        <v>2</v>
      </c>
      <c r="X37" t="n">
        <v>10000</v>
      </c>
      <c r="Y37" t="n">
        <v>50</v>
      </c>
      <c r="Z37" t="n">
        <v>53</v>
      </c>
      <c r="AA37" s="2" t="s">
        <v>405</v>
      </c>
      <c r="AB37" s="2" t="s"/>
      <c r="AC37" s="2" t="s"/>
      <c r="AD37" s="2" t="s">
        <v>104</v>
      </c>
      <c r="AE37" s="2" t="s"/>
      <c r="AF37" t="n">
        <v>1</v>
      </c>
      <c r="AG37" s="2" t="s">
        <v>406</v>
      </c>
      <c r="AH37" s="2" t="s"/>
      <c r="AI37" t="b">
        <v>1</v>
      </c>
      <c r="AJ37" t="b">
        <v>1</v>
      </c>
      <c r="AK37" t="b">
        <v>1</v>
      </c>
      <c r="AL37" s="4">
        <f>HYPERLINK("https://app.isogeo.com/resources/4c0c6c63442e41569df3ee3465786f46","Editer")</f>
        <v/>
      </c>
      <c r="AM37" s="4">
        <f>HYPERLINK("https://open.isogeo.com/m/4c0c6c63442e41569df3ee3465786f46","Version en ligne")</f>
        <v/>
      </c>
      <c r="AN37" t="s">
        <v>407</v>
      </c>
      <c r="AO37" t="s">
        <v>408</v>
      </c>
      <c r="AP37" t="s">
        <v>126</v>
      </c>
      <c r="AQ37" t="s">
        <v>70</v>
      </c>
    </row>
    <row r="38" spans="1:43">
      <c r="A38" t="s">
        <v>409</v>
      </c>
      <c r="B38" t="s">
        <v>410</v>
      </c>
      <c r="C38" s="2" t="s">
        <v>411</v>
      </c>
      <c r="D38" t="s">
        <v>412</v>
      </c>
      <c r="E38" t="s">
        <v>44</v>
      </c>
      <c r="F38" s="2" t="s">
        <v>413</v>
      </c>
      <c r="G38" s="2" t="s"/>
      <c r="H38" t="b">
        <v>0</v>
      </c>
      <c r="I38" s="2" t="s"/>
      <c r="J38" s="2" t="s"/>
      <c r="K38" s="3" t="s"/>
      <c r="L38" s="3" t="s"/>
      <c r="M38" t="s"/>
      <c r="N38" t="s"/>
      <c r="O38" t="s"/>
      <c r="P38" t="n">
        <v>3</v>
      </c>
      <c r="Q38" t="s">
        <v>414</v>
      </c>
      <c r="S38" t="s">
        <v>415</v>
      </c>
      <c r="T38" t="s">
        <v>403</v>
      </c>
      <c r="U38" s="2" t="s">
        <v>416</v>
      </c>
      <c r="V38" t="s">
        <v>156</v>
      </c>
      <c r="X38" t="n">
        <v>10000</v>
      </c>
      <c r="Y38" t="n">
        <v>10</v>
      </c>
      <c r="Z38" t="n">
        <v>11</v>
      </c>
      <c r="AA38" s="2" t="s">
        <v>417</v>
      </c>
      <c r="AB38" s="2" t="s"/>
      <c r="AC38" s="2" t="s"/>
      <c r="AD38" s="2" t="s"/>
      <c r="AE38" s="2" t="s"/>
      <c r="AF38" t="n">
        <v>0</v>
      </c>
      <c r="AG38" s="2" t="n"/>
      <c r="AH38" s="2" t="n"/>
      <c r="AI38" t="b">
        <v>0</v>
      </c>
      <c r="AJ38" t="b">
        <v>1</v>
      </c>
      <c r="AK38" t="b">
        <v>0</v>
      </c>
      <c r="AL38" s="4">
        <f>HYPERLINK("https://app.isogeo.com/resources/f068144e0d3e41118a4bfaed0eb2ca00","Editer")</f>
        <v/>
      </c>
      <c r="AM38" s="4">
        <f>HYPERLINK("https://open.isogeo.com/m/f068144e0d3e41118a4bfaed0eb2ca00","Version en ligne")</f>
        <v/>
      </c>
      <c r="AN38" t="s">
        <v>418</v>
      </c>
      <c r="AO38" t="s">
        <v>408</v>
      </c>
      <c r="AP38" t="s">
        <v>161</v>
      </c>
    </row>
    <row r="39" spans="1:43">
      <c r="A39" t="s">
        <v>419</v>
      </c>
      <c r="B39" t="s">
        <v>420</v>
      </c>
      <c r="C39" s="2" t="s">
        <v>421</v>
      </c>
      <c r="D39" t="s">
        <v>422</v>
      </c>
      <c r="E39" t="s">
        <v>44</v>
      </c>
      <c r="F39" s="2" t="s">
        <v>423</v>
      </c>
      <c r="G39" s="2" t="s"/>
      <c r="H39" t="b">
        <v>0</v>
      </c>
      <c r="I39" s="2" t="s"/>
      <c r="J39" s="2" t="s"/>
      <c r="K39" s="3" t="s"/>
      <c r="L39" s="3" t="s"/>
      <c r="M39" t="s"/>
      <c r="N39" t="s"/>
      <c r="O39" t="s"/>
      <c r="P39" t="n">
        <v>1</v>
      </c>
      <c r="Q39" t="s">
        <v>401</v>
      </c>
      <c r="S39" t="s">
        <v>415</v>
      </c>
      <c r="T39" t="s">
        <v>46</v>
      </c>
      <c r="U39" s="2" t="s">
        <v>424</v>
      </c>
      <c r="V39" t="s">
        <v>156</v>
      </c>
      <c r="X39" t="n">
        <v>10000</v>
      </c>
      <c r="Y39" t="n">
        <v>4</v>
      </c>
      <c r="Z39" t="n">
        <v>8</v>
      </c>
      <c r="AA39" s="2" t="s">
        <v>425</v>
      </c>
      <c r="AB39" s="2" t="s"/>
      <c r="AC39" s="2" t="s"/>
      <c r="AD39" s="2" t="s"/>
      <c r="AE39" s="2" t="s"/>
      <c r="AF39" t="n">
        <v>0</v>
      </c>
      <c r="AG39" s="2" t="n"/>
      <c r="AH39" s="2" t="n"/>
      <c r="AI39" t="b">
        <v>0</v>
      </c>
      <c r="AJ39" t="b">
        <v>1</v>
      </c>
      <c r="AK39" t="b">
        <v>0</v>
      </c>
      <c r="AL39" s="4">
        <f>HYPERLINK("https://app.isogeo.com/resources/68ef0be73c8c4a89a0c7c6dd1beb0377","Editer")</f>
        <v/>
      </c>
      <c r="AM39" s="4">
        <f>HYPERLINK("https://open.isogeo.com/m/68ef0be73c8c4a89a0c7c6dd1beb0377","Version en ligne")</f>
        <v/>
      </c>
      <c r="AN39" t="s">
        <v>426</v>
      </c>
      <c r="AO39" t="s">
        <v>408</v>
      </c>
      <c r="AP39" t="s">
        <v>427</v>
      </c>
    </row>
    <row r="40" spans="1:43">
      <c r="A40" t="s">
        <v>428</v>
      </c>
      <c r="B40" t="s">
        <v>429</v>
      </c>
      <c r="C40" s="2" t="s">
        <v>430</v>
      </c>
      <c r="D40" t="s">
        <v>431</v>
      </c>
      <c r="E40" t="s">
        <v>44</v>
      </c>
      <c r="F40" s="2" t="s">
        <v>432</v>
      </c>
      <c r="G40" s="2" t="s"/>
      <c r="H40" t="b">
        <v>0</v>
      </c>
      <c r="I40" s="2" t="s"/>
      <c r="J40" s="2" t="s"/>
      <c r="K40" s="3" t="s"/>
      <c r="L40" s="3" t="s"/>
      <c r="M40" t="s"/>
      <c r="N40" t="s"/>
      <c r="O40" t="s"/>
      <c r="P40" t="n">
        <v>3</v>
      </c>
      <c r="Q40" t="s">
        <v>414</v>
      </c>
      <c r="S40" t="s">
        <v>415</v>
      </c>
      <c r="T40" t="s">
        <v>46</v>
      </c>
      <c r="U40" s="2" t="s">
        <v>433</v>
      </c>
      <c r="V40" t="s">
        <v>156</v>
      </c>
      <c r="X40" t="n">
        <v>10000</v>
      </c>
      <c r="Y40" t="n">
        <v>3</v>
      </c>
      <c r="Z40" t="n">
        <v>6</v>
      </c>
      <c r="AA40" s="2" t="s">
        <v>434</v>
      </c>
      <c r="AB40" s="2" t="s"/>
      <c r="AC40" s="2" t="s"/>
      <c r="AD40" s="2" t="s"/>
      <c r="AE40" s="2" t="s"/>
      <c r="AF40" t="n">
        <v>0</v>
      </c>
      <c r="AG40" s="2" t="n"/>
      <c r="AH40" s="2" t="n"/>
      <c r="AI40" t="b">
        <v>0</v>
      </c>
      <c r="AJ40" t="b">
        <v>1</v>
      </c>
      <c r="AK40" t="b">
        <v>0</v>
      </c>
      <c r="AL40" s="4">
        <f>HYPERLINK("https://app.isogeo.com/resources/cc3bb0f9d0cb412d9621de3e0dc96fd4","Editer")</f>
        <v/>
      </c>
      <c r="AM40" s="4">
        <f>HYPERLINK("https://open.isogeo.com/m/cc3bb0f9d0cb412d9621de3e0dc96fd4","Version en ligne")</f>
        <v/>
      </c>
      <c r="AN40" t="s">
        <v>435</v>
      </c>
      <c r="AO40" t="s">
        <v>408</v>
      </c>
      <c r="AP40" t="s">
        <v>161</v>
      </c>
    </row>
    <row r="41" spans="1:43">
      <c r="A41" t="s">
        <v>436</v>
      </c>
      <c r="B41" t="s">
        <v>437</v>
      </c>
      <c r="C41" s="2" t="s">
        <v>438</v>
      </c>
      <c r="D41" t="s">
        <v>439</v>
      </c>
      <c r="E41" t="s">
        <v>44</v>
      </c>
      <c r="F41" s="2" t="s">
        <v>440</v>
      </c>
      <c r="G41" s="2" t="s">
        <v>132</v>
      </c>
      <c r="H41" t="b">
        <v>1</v>
      </c>
      <c r="I41" s="2" t="s">
        <v>441</v>
      </c>
      <c r="J41" s="2" t="s"/>
      <c r="K41" s="3" t="s"/>
      <c r="L41" s="3" t="s"/>
      <c r="M41" t="s"/>
      <c r="N41" t="s"/>
      <c r="O41" t="s">
        <v>442</v>
      </c>
      <c r="P41" t="n">
        <v>2</v>
      </c>
      <c r="Q41" t="s"/>
      <c r="S41" t="s">
        <v>117</v>
      </c>
      <c r="T41" t="s">
        <v>88</v>
      </c>
      <c r="U41" s="2" t="s">
        <v>443</v>
      </c>
      <c r="V41" t="s">
        <v>63</v>
      </c>
      <c r="X41" t="n">
        <v>5000</v>
      </c>
      <c r="Y41" t="n">
        <v>2</v>
      </c>
      <c r="Z41" t="n">
        <v>9</v>
      </c>
      <c r="AA41" s="2" t="s">
        <v>444</v>
      </c>
      <c r="AB41" s="2" t="s">
        <v>445</v>
      </c>
      <c r="AC41" s="2" t="s"/>
      <c r="AD41" s="2" t="s">
        <v>142</v>
      </c>
      <c r="AE41" s="2" t="s">
        <v>446</v>
      </c>
      <c r="AF41" t="n">
        <v>1</v>
      </c>
      <c r="AG41" s="2" t="s">
        <v>447</v>
      </c>
      <c r="AH41" s="2" t="s"/>
      <c r="AI41" t="b">
        <v>1</v>
      </c>
      <c r="AJ41" t="b">
        <v>1</v>
      </c>
      <c r="AK41" t="b">
        <v>0</v>
      </c>
      <c r="AL41" s="4">
        <f>HYPERLINK("https://app.isogeo.com/resources/3ee9097bff474c9cab8523a0aa5e6e5e","Editer")</f>
        <v/>
      </c>
      <c r="AM41" s="4">
        <f>HYPERLINK("https://open.isogeo.com/m/3ee9097bff474c9cab8523a0aa5e6e5e","Version en ligne")</f>
        <v/>
      </c>
      <c r="AN41" t="s">
        <v>448</v>
      </c>
      <c r="AO41" t="s">
        <v>449</v>
      </c>
      <c r="AP41" t="s">
        <v>125</v>
      </c>
      <c r="AQ41" t="s">
        <v>70</v>
      </c>
    </row>
    <row r="42" spans="1:43">
      <c r="A42" t="s">
        <v>450</v>
      </c>
      <c r="B42" t="s">
        <v>451</v>
      </c>
      <c r="C42" s="2" t="s">
        <v>452</v>
      </c>
      <c r="D42" t="s">
        <v>453</v>
      </c>
      <c r="E42" t="s">
        <v>44</v>
      </c>
      <c r="F42" s="2" t="s">
        <v>454</v>
      </c>
      <c r="G42" s="2" t="s">
        <v>132</v>
      </c>
      <c r="H42" t="b">
        <v>1</v>
      </c>
      <c r="I42" s="2" t="s">
        <v>455</v>
      </c>
      <c r="J42" s="2" t="s">
        <v>456</v>
      </c>
      <c r="K42" s="3" t="s"/>
      <c r="L42" s="3" t="s"/>
      <c r="M42" t="s"/>
      <c r="N42" t="s"/>
      <c r="O42" t="s">
        <v>457</v>
      </c>
      <c r="P42" t="n">
        <v>3</v>
      </c>
      <c r="Q42" t="s">
        <v>458</v>
      </c>
      <c r="S42" t="s">
        <v>402</v>
      </c>
      <c r="T42" t="s">
        <v>102</v>
      </c>
      <c r="U42" s="2" t="s">
        <v>459</v>
      </c>
      <c r="V42" t="s">
        <v>63</v>
      </c>
      <c r="X42" t="n">
        <v>2500</v>
      </c>
      <c r="Y42" t="n">
        <v>80</v>
      </c>
      <c r="Z42" t="n">
        <v>11</v>
      </c>
      <c r="AA42" s="2" t="s">
        <v>460</v>
      </c>
      <c r="AB42" s="2" t="s">
        <v>141</v>
      </c>
      <c r="AC42" s="2" t="s"/>
      <c r="AD42" s="2" t="s">
        <v>142</v>
      </c>
      <c r="AE42" s="2" t="s">
        <v>446</v>
      </c>
      <c r="AF42" t="n">
        <v>1</v>
      </c>
      <c r="AG42" s="2" t="s">
        <v>461</v>
      </c>
      <c r="AH42" s="2" t="s"/>
      <c r="AI42" t="b">
        <v>1</v>
      </c>
      <c r="AJ42" t="b">
        <v>0</v>
      </c>
      <c r="AK42" t="b">
        <v>1</v>
      </c>
      <c r="AL42" s="4">
        <f>HYPERLINK("https://app.isogeo.com/resources/e354fa43d72e4310953b186d7fa7099c","Editer")</f>
        <v/>
      </c>
      <c r="AM42" s="4">
        <f>HYPERLINK("https://open.isogeo.com/m/e354fa43d72e4310953b186d7fa7099c","Version en ligne")</f>
        <v/>
      </c>
      <c r="AN42" t="s">
        <v>462</v>
      </c>
      <c r="AO42" t="s">
        <v>463</v>
      </c>
      <c r="AP42" t="s">
        <v>464</v>
      </c>
      <c r="AQ42" t="s">
        <v>70</v>
      </c>
    </row>
    <row r="43" spans="1:43">
      <c r="A43" t="s">
        <v>465</v>
      </c>
      <c r="B43" t="s">
        <v>466</v>
      </c>
      <c r="C43" s="2" t="s">
        <v>467</v>
      </c>
      <c r="D43" t="s">
        <v>468</v>
      </c>
      <c r="E43" t="s">
        <v>44</v>
      </c>
      <c r="F43" s="2" t="s">
        <v>469</v>
      </c>
      <c r="G43" s="2" t="s">
        <v>470</v>
      </c>
      <c r="H43" t="b">
        <v>1</v>
      </c>
      <c r="I43" s="2" t="s">
        <v>471</v>
      </c>
      <c r="J43" s="2" t="s">
        <v>472</v>
      </c>
      <c r="K43" s="3" t="s">
        <v>473</v>
      </c>
      <c r="L43" s="3" t="s">
        <v>474</v>
      </c>
      <c r="M43" t="s">
        <v>114</v>
      </c>
      <c r="N43" t="s"/>
      <c r="O43" t="s">
        <v>473</v>
      </c>
      <c r="P43" t="n">
        <v>2</v>
      </c>
      <c r="Q43" t="s">
        <v>475</v>
      </c>
      <c r="S43" t="s">
        <v>117</v>
      </c>
      <c r="T43" t="s">
        <v>403</v>
      </c>
      <c r="U43" s="2" t="s">
        <v>476</v>
      </c>
      <c r="V43" t="s">
        <v>63</v>
      </c>
      <c r="W43" t="n">
        <v>50</v>
      </c>
      <c r="Y43" t="n">
        <v>2134</v>
      </c>
      <c r="Z43" t="n">
        <v>11</v>
      </c>
      <c r="AA43" s="2" t="s">
        <v>477</v>
      </c>
      <c r="AB43" s="2" t="s"/>
      <c r="AC43" s="2" t="s">
        <v>478</v>
      </c>
      <c r="AD43" s="2" t="s">
        <v>479</v>
      </c>
      <c r="AE43" s="2" t="s">
        <v>216</v>
      </c>
      <c r="AF43" t="n">
        <v>2</v>
      </c>
      <c r="AG43" s="2" t="s">
        <v>480</v>
      </c>
      <c r="AH43" s="2" t="s">
        <v>481</v>
      </c>
      <c r="AI43" t="b">
        <v>1</v>
      </c>
      <c r="AJ43" t="b">
        <v>0</v>
      </c>
      <c r="AK43" t="b">
        <v>1</v>
      </c>
      <c r="AL43" s="4">
        <f>HYPERLINK("https://app.isogeo.com/resources/5dbf638e0da048fc82ddc4cd615ef168","Editer")</f>
        <v/>
      </c>
      <c r="AM43" s="4">
        <f>HYPERLINK("https://open.isogeo.com/m/5dbf638e0da048fc82ddc4cd615ef168","Version en ligne")</f>
        <v/>
      </c>
      <c r="AN43" t="s">
        <v>482</v>
      </c>
      <c r="AO43" t="s">
        <v>483</v>
      </c>
      <c r="AP43" t="s">
        <v>161</v>
      </c>
      <c r="AQ43" t="s">
        <v>70</v>
      </c>
    </row>
    <row r="44" spans="1:43">
      <c r="A44" t="s">
        <v>484</v>
      </c>
      <c r="B44" t="s">
        <v>485</v>
      </c>
      <c r="C44" s="2" t="s">
        <v>486</v>
      </c>
      <c r="D44" t="s">
        <v>487</v>
      </c>
      <c r="E44" t="s">
        <v>44</v>
      </c>
      <c r="F44" s="2" t="s">
        <v>488</v>
      </c>
      <c r="G44" s="2" t="s"/>
      <c r="H44" t="b">
        <v>0</v>
      </c>
      <c r="I44" s="2" t="s">
        <v>489</v>
      </c>
      <c r="J44" s="2" t="s">
        <v>490</v>
      </c>
      <c r="K44" s="3" t="s">
        <v>491</v>
      </c>
      <c r="L44" s="3" t="s">
        <v>492</v>
      </c>
      <c r="M44" t="s">
        <v>114</v>
      </c>
      <c r="N44" t="s"/>
      <c r="O44" t="s">
        <v>493</v>
      </c>
      <c r="P44" t="n">
        <v>5</v>
      </c>
      <c r="Q44" t="s">
        <v>494</v>
      </c>
      <c r="S44" t="s">
        <v>495</v>
      </c>
      <c r="T44" t="s">
        <v>403</v>
      </c>
      <c r="U44" s="2" t="s">
        <v>496</v>
      </c>
      <c r="V44" t="s">
        <v>156</v>
      </c>
      <c r="W44" t="n">
        <v>50</v>
      </c>
      <c r="X44" t="n">
        <v>20000</v>
      </c>
      <c r="Y44" t="n">
        <v>119</v>
      </c>
      <c r="Z44" t="n">
        <v>5</v>
      </c>
      <c r="AA44" s="2" t="s">
        <v>497</v>
      </c>
      <c r="AB44" s="2" t="s"/>
      <c r="AC44" s="2" t="s"/>
      <c r="AD44" s="2" t="s">
        <v>104</v>
      </c>
      <c r="AE44" s="2" t="s">
        <v>216</v>
      </c>
      <c r="AF44" t="n">
        <v>3</v>
      </c>
      <c r="AG44" s="2" t="s">
        <v>406</v>
      </c>
      <c r="AH44" s="2" t="s">
        <v>231</v>
      </c>
      <c r="AI44" t="b">
        <v>1</v>
      </c>
      <c r="AJ44" t="b">
        <v>1</v>
      </c>
      <c r="AK44" t="b">
        <v>1</v>
      </c>
      <c r="AL44" s="4">
        <f>HYPERLINK("https://app.isogeo.com/resources/eeeb7a31c27145e2a3c0f08415f38aed","Editer")</f>
        <v/>
      </c>
      <c r="AM44" s="4">
        <f>HYPERLINK("https://open.isogeo.com/m/eeeb7a31c27145e2a3c0f08415f38aed","Version en ligne")</f>
        <v/>
      </c>
      <c r="AN44" t="s">
        <v>498</v>
      </c>
      <c r="AO44" t="s">
        <v>499</v>
      </c>
      <c r="AP44" t="s">
        <v>125</v>
      </c>
      <c r="AQ44" t="s">
        <v>70</v>
      </c>
    </row>
    <row r="45" spans="1:43">
      <c r="A45" t="s">
        <v>500</v>
      </c>
      <c r="B45" t="s">
        <v>501</v>
      </c>
      <c r="C45" s="2" t="s">
        <v>502</v>
      </c>
      <c r="D45" t="s">
        <v>487</v>
      </c>
      <c r="E45" t="s">
        <v>44</v>
      </c>
      <c r="F45" s="2" t="s">
        <v>488</v>
      </c>
      <c r="G45" s="2" t="s"/>
      <c r="H45" t="b">
        <v>0</v>
      </c>
      <c r="I45" s="2" t="s">
        <v>503</v>
      </c>
      <c r="J45" s="2" t="s">
        <v>504</v>
      </c>
      <c r="K45" s="3" t="s">
        <v>505</v>
      </c>
      <c r="L45" s="3" t="s">
        <v>492</v>
      </c>
      <c r="M45" t="s"/>
      <c r="N45" t="s"/>
      <c r="O45" t="s">
        <v>493</v>
      </c>
      <c r="P45" t="n">
        <v>3</v>
      </c>
      <c r="Q45" t="s">
        <v>494</v>
      </c>
      <c r="S45" t="s">
        <v>495</v>
      </c>
      <c r="T45" t="s">
        <v>403</v>
      </c>
      <c r="U45" s="2" t="s">
        <v>506</v>
      </c>
      <c r="V45" t="s">
        <v>156</v>
      </c>
      <c r="W45" t="n">
        <v>50</v>
      </c>
      <c r="Y45" t="n">
        <v>29</v>
      </c>
      <c r="Z45" t="n">
        <v>16</v>
      </c>
      <c r="AA45" s="2" t="s">
        <v>507</v>
      </c>
      <c r="AB45" s="2" t="s"/>
      <c r="AC45" s="2" t="s"/>
      <c r="AD45" s="2" t="s">
        <v>142</v>
      </c>
      <c r="AE45" s="2" t="s">
        <v>216</v>
      </c>
      <c r="AF45" t="n">
        <v>3</v>
      </c>
      <c r="AG45" s="2" t="s">
        <v>406</v>
      </c>
      <c r="AH45" s="2" t="s">
        <v>231</v>
      </c>
      <c r="AI45" t="b">
        <v>1</v>
      </c>
      <c r="AJ45" t="b">
        <v>1</v>
      </c>
      <c r="AK45" t="b">
        <v>1</v>
      </c>
      <c r="AL45" s="4">
        <f>HYPERLINK("https://app.isogeo.com/resources/92115642a6234bf2a3379b9be9bedd83","Editer")</f>
        <v/>
      </c>
      <c r="AM45" s="4">
        <f>HYPERLINK("https://open.isogeo.com/m/92115642a6234bf2a3379b9be9bedd83","Version en ligne")</f>
        <v/>
      </c>
      <c r="AN45" t="s">
        <v>508</v>
      </c>
      <c r="AO45" t="s">
        <v>499</v>
      </c>
      <c r="AP45" t="s">
        <v>125</v>
      </c>
      <c r="AQ45" t="s">
        <v>70</v>
      </c>
    </row>
    <row r="46" spans="1:43">
      <c r="A46" t="s">
        <v>509</v>
      </c>
      <c r="B46" t="s">
        <v>510</v>
      </c>
      <c r="C46" s="2" t="s">
        <v>511</v>
      </c>
      <c r="D46" t="s">
        <v>487</v>
      </c>
      <c r="E46" t="s">
        <v>44</v>
      </c>
      <c r="F46" s="2" t="s">
        <v>488</v>
      </c>
      <c r="G46" s="2" t="s"/>
      <c r="H46" t="b">
        <v>0</v>
      </c>
      <c r="I46" s="2" t="s">
        <v>512</v>
      </c>
      <c r="J46" s="2" t="s">
        <v>513</v>
      </c>
      <c r="K46" s="3" t="s">
        <v>505</v>
      </c>
      <c r="L46" s="3" t="s">
        <v>492</v>
      </c>
      <c r="M46" t="s">
        <v>114</v>
      </c>
      <c r="N46" t="s"/>
      <c r="O46" t="s">
        <v>493</v>
      </c>
      <c r="P46" t="n">
        <v>4</v>
      </c>
      <c r="Q46" t="s">
        <v>494</v>
      </c>
      <c r="S46" t="s">
        <v>495</v>
      </c>
      <c r="T46" t="s">
        <v>403</v>
      </c>
      <c r="U46" s="2" t="s">
        <v>514</v>
      </c>
      <c r="V46" t="s">
        <v>156</v>
      </c>
      <c r="W46" t="n">
        <v>50</v>
      </c>
      <c r="Y46" t="n">
        <v>141</v>
      </c>
      <c r="Z46" t="n">
        <v>19</v>
      </c>
      <c r="AA46" s="2" t="s">
        <v>515</v>
      </c>
      <c r="AB46" s="2" t="s"/>
      <c r="AC46" s="2" t="s"/>
      <c r="AD46" s="2" t="s">
        <v>142</v>
      </c>
      <c r="AE46" s="2" t="s">
        <v>216</v>
      </c>
      <c r="AF46" t="n">
        <v>3</v>
      </c>
      <c r="AG46" s="2" t="s">
        <v>406</v>
      </c>
      <c r="AH46" s="2" t="s">
        <v>231</v>
      </c>
      <c r="AI46" t="b">
        <v>1</v>
      </c>
      <c r="AJ46" t="b">
        <v>1</v>
      </c>
      <c r="AK46" t="b">
        <v>1</v>
      </c>
      <c r="AL46" s="4">
        <f>HYPERLINK("https://app.isogeo.com/resources/cc9d1de9f1164159bea1465ef9826eb0","Editer")</f>
        <v/>
      </c>
      <c r="AM46" s="4">
        <f>HYPERLINK("https://open.isogeo.com/m/cc9d1de9f1164159bea1465ef9826eb0","Version en ligne")</f>
        <v/>
      </c>
      <c r="AN46" t="s">
        <v>516</v>
      </c>
      <c r="AO46" t="s">
        <v>499</v>
      </c>
      <c r="AP46" t="s">
        <v>125</v>
      </c>
      <c r="AQ46" t="s">
        <v>70</v>
      </c>
    </row>
    <row r="47" spans="1:43">
      <c r="A47" t="s">
        <v>517</v>
      </c>
      <c r="B47" t="s">
        <v>518</v>
      </c>
      <c r="C47" s="2" t="s">
        <v>519</v>
      </c>
      <c r="D47" t="s">
        <v>520</v>
      </c>
      <c r="E47" t="s">
        <v>44</v>
      </c>
      <c r="F47" s="2" t="s">
        <v>521</v>
      </c>
      <c r="G47" s="2" t="s">
        <v>470</v>
      </c>
      <c r="H47" t="b">
        <v>1</v>
      </c>
      <c r="I47" s="2" t="s">
        <v>471</v>
      </c>
      <c r="J47" s="2" t="s">
        <v>522</v>
      </c>
      <c r="K47" s="3" t="s">
        <v>523</v>
      </c>
      <c r="L47" s="3" t="s">
        <v>524</v>
      </c>
      <c r="M47" t="s">
        <v>114</v>
      </c>
      <c r="N47" t="s"/>
      <c r="O47" t="s">
        <v>525</v>
      </c>
      <c r="P47" t="n">
        <v>5</v>
      </c>
      <c r="Q47" t="s">
        <v>523</v>
      </c>
      <c r="S47" t="s">
        <v>117</v>
      </c>
      <c r="T47" t="s">
        <v>403</v>
      </c>
      <c r="U47" s="2" t="s">
        <v>476</v>
      </c>
      <c r="V47" t="s">
        <v>63</v>
      </c>
      <c r="W47" t="n">
        <v>5</v>
      </c>
      <c r="Y47" t="n">
        <v>2145</v>
      </c>
      <c r="Z47" t="n">
        <v>10</v>
      </c>
      <c r="AA47" s="2" t="s">
        <v>526</v>
      </c>
      <c r="AB47" s="2" t="s"/>
      <c r="AC47" s="2" t="s">
        <v>478</v>
      </c>
      <c r="AD47" s="2" t="s">
        <v>479</v>
      </c>
      <c r="AE47" s="2" t="s">
        <v>446</v>
      </c>
      <c r="AF47" t="n">
        <v>1</v>
      </c>
      <c r="AG47" s="2" t="s">
        <v>480</v>
      </c>
      <c r="AH47" s="2" t="s"/>
      <c r="AI47" t="b">
        <v>1</v>
      </c>
      <c r="AJ47" t="b">
        <v>1</v>
      </c>
      <c r="AK47" t="b">
        <v>1</v>
      </c>
      <c r="AL47" s="4">
        <f>HYPERLINK("https://app.isogeo.com/resources/78e4a2ce9a7d4b09a80eecd131130166","Editer")</f>
        <v/>
      </c>
      <c r="AM47" s="4">
        <f>HYPERLINK("https://open.isogeo.com/m/78e4a2ce9a7d4b09a80eecd131130166","Version en ligne")</f>
        <v/>
      </c>
      <c r="AN47" t="s">
        <v>527</v>
      </c>
      <c r="AO47" t="s">
        <v>528</v>
      </c>
      <c r="AP47" t="s">
        <v>161</v>
      </c>
      <c r="AQ47" t="s">
        <v>70</v>
      </c>
    </row>
    <row r="48" spans="1:43">
      <c r="A48" t="s">
        <v>529</v>
      </c>
      <c r="B48" t="s">
        <v>530</v>
      </c>
      <c r="C48" s="2" t="s">
        <v>531</v>
      </c>
      <c r="D48" t="s">
        <v>532</v>
      </c>
      <c r="E48" t="s">
        <v>44</v>
      </c>
      <c r="F48" s="2" t="s">
        <v>533</v>
      </c>
      <c r="G48" s="2" t="s">
        <v>470</v>
      </c>
      <c r="H48" t="b">
        <v>1</v>
      </c>
      <c r="I48" s="2" t="s">
        <v>471</v>
      </c>
      <c r="J48" s="2" t="s">
        <v>534</v>
      </c>
      <c r="K48" s="3" t="s">
        <v>535</v>
      </c>
      <c r="L48" s="3" t="s">
        <v>536</v>
      </c>
      <c r="M48" t="s">
        <v>114</v>
      </c>
      <c r="N48" t="s"/>
      <c r="O48" t="s">
        <v>525</v>
      </c>
      <c r="P48" t="n">
        <v>2</v>
      </c>
      <c r="Q48" t="s">
        <v>537</v>
      </c>
      <c r="S48" t="s">
        <v>117</v>
      </c>
      <c r="T48" t="s">
        <v>403</v>
      </c>
      <c r="U48" s="2" t="s">
        <v>538</v>
      </c>
      <c r="V48" t="s">
        <v>63</v>
      </c>
      <c r="W48" t="n">
        <v>5</v>
      </c>
      <c r="Y48" t="n">
        <v>2456</v>
      </c>
      <c r="Z48" t="n">
        <v>4</v>
      </c>
      <c r="AA48" s="2" t="s">
        <v>539</v>
      </c>
      <c r="AB48" s="2" t="s"/>
      <c r="AC48" s="2" t="s">
        <v>478</v>
      </c>
      <c r="AD48" s="2" t="s">
        <v>479</v>
      </c>
      <c r="AE48" s="2" t="s">
        <v>446</v>
      </c>
      <c r="AF48" t="n">
        <v>1</v>
      </c>
      <c r="AG48" s="2" t="s">
        <v>480</v>
      </c>
      <c r="AH48" s="2" t="s"/>
      <c r="AI48" t="b">
        <v>1</v>
      </c>
      <c r="AJ48" t="b">
        <v>1</v>
      </c>
      <c r="AK48" t="b">
        <v>1</v>
      </c>
      <c r="AL48" s="4">
        <f>HYPERLINK("https://app.isogeo.com/resources/b3a38267fce44879b7f5682097045540","Editer")</f>
        <v/>
      </c>
      <c r="AM48" s="4">
        <f>HYPERLINK("https://open.isogeo.com/m/b3a38267fce44879b7f5682097045540","Version en ligne")</f>
        <v/>
      </c>
      <c r="AN48" t="s">
        <v>540</v>
      </c>
      <c r="AO48" t="s">
        <v>528</v>
      </c>
      <c r="AP48" t="s">
        <v>161</v>
      </c>
    </row>
    <row r="49" spans="1:43">
      <c r="A49" t="s">
        <v>541</v>
      </c>
      <c r="B49" t="s">
        <v>542</v>
      </c>
      <c r="C49" s="2" t="s">
        <v>543</v>
      </c>
      <c r="D49" t="s">
        <v>544</v>
      </c>
      <c r="E49" t="s">
        <v>44</v>
      </c>
      <c r="F49" s="2" t="s">
        <v>545</v>
      </c>
      <c r="G49" s="2" t="s">
        <v>470</v>
      </c>
      <c r="H49" t="b">
        <v>1</v>
      </c>
      <c r="I49" s="2" t="s">
        <v>546</v>
      </c>
      <c r="J49" s="2" t="s">
        <v>547</v>
      </c>
      <c r="K49" s="3" t="s">
        <v>548</v>
      </c>
      <c r="L49" s="3" t="s">
        <v>474</v>
      </c>
      <c r="M49" t="s">
        <v>114</v>
      </c>
      <c r="N49" t="s"/>
      <c r="O49" t="s">
        <v>549</v>
      </c>
      <c r="P49" t="n">
        <v>3</v>
      </c>
      <c r="Q49" t="s">
        <v>550</v>
      </c>
      <c r="S49" t="s">
        <v>117</v>
      </c>
      <c r="T49" t="s">
        <v>88</v>
      </c>
      <c r="U49" s="2" t="s">
        <v>551</v>
      </c>
      <c r="V49" t="s">
        <v>63</v>
      </c>
      <c r="X49" t="n">
        <v>1000000</v>
      </c>
      <c r="Y49" t="n">
        <v>36595</v>
      </c>
      <c r="Z49" t="n">
        <v>18</v>
      </c>
      <c r="AA49" s="2" t="s">
        <v>552</v>
      </c>
      <c r="AB49" s="2" t="s">
        <v>553</v>
      </c>
      <c r="AC49" s="2" t="s">
        <v>554</v>
      </c>
      <c r="AD49" s="2" t="s">
        <v>555</v>
      </c>
      <c r="AE49" s="2" t="s">
        <v>556</v>
      </c>
      <c r="AF49" t="n">
        <v>1</v>
      </c>
      <c r="AG49" s="2" t="s">
        <v>557</v>
      </c>
      <c r="AH49" s="2" t="s"/>
      <c r="AI49" t="b">
        <v>1</v>
      </c>
      <c r="AJ49" t="b">
        <v>1</v>
      </c>
      <c r="AK49" t="b">
        <v>1</v>
      </c>
      <c r="AL49" s="4">
        <f>HYPERLINK("https://app.isogeo.com/resources/fa079cbb63cd4099bf249e572dbf4563","Editer")</f>
        <v/>
      </c>
      <c r="AM49" s="4">
        <f>HYPERLINK("https://open.isogeo.com/m/fa079cbb63cd4099bf249e572dbf4563","Version en ligne")</f>
        <v/>
      </c>
      <c r="AN49" t="s">
        <v>558</v>
      </c>
      <c r="AO49" t="s">
        <v>559</v>
      </c>
      <c r="AP49" t="s">
        <v>161</v>
      </c>
      <c r="AQ49" t="s">
        <v>70</v>
      </c>
    </row>
    <row r="50" spans="1:43">
      <c r="A50" t="s">
        <v>560</v>
      </c>
      <c r="B50" t="s">
        <v>561</v>
      </c>
      <c r="C50" s="2" t="s">
        <v>562</v>
      </c>
      <c r="D50" t="s">
        <v>563</v>
      </c>
      <c r="E50" t="s">
        <v>44</v>
      </c>
      <c r="F50" s="2" t="s">
        <v>564</v>
      </c>
      <c r="G50" s="2" t="s">
        <v>470</v>
      </c>
      <c r="H50" t="b">
        <v>1</v>
      </c>
      <c r="I50" s="2" t="s">
        <v>565</v>
      </c>
      <c r="J50" s="2" t="s">
        <v>566</v>
      </c>
      <c r="K50" s="3" t="s">
        <v>548</v>
      </c>
      <c r="L50" s="3" t="s">
        <v>474</v>
      </c>
      <c r="M50" t="s">
        <v>567</v>
      </c>
      <c r="N50" t="s"/>
      <c r="O50" t="s">
        <v>549</v>
      </c>
      <c r="P50" t="n">
        <v>4</v>
      </c>
      <c r="Q50" t="s">
        <v>568</v>
      </c>
      <c r="S50" t="s">
        <v>117</v>
      </c>
      <c r="T50" t="s">
        <v>88</v>
      </c>
      <c r="U50" s="2" t="s">
        <v>569</v>
      </c>
      <c r="V50" t="s">
        <v>63</v>
      </c>
      <c r="W50" t="n">
        <v>100</v>
      </c>
      <c r="X50" t="n">
        <v>1000000</v>
      </c>
      <c r="Y50" t="n">
        <v>96</v>
      </c>
      <c r="Z50" t="n">
        <v>12</v>
      </c>
      <c r="AA50" s="2" t="s">
        <v>570</v>
      </c>
      <c r="AB50" s="2" t="s">
        <v>571</v>
      </c>
      <c r="AC50" s="2" t="s">
        <v>554</v>
      </c>
      <c r="AD50" s="2" t="s">
        <v>555</v>
      </c>
      <c r="AE50" s="2" t="s">
        <v>556</v>
      </c>
      <c r="AF50" t="n">
        <v>2</v>
      </c>
      <c r="AG50" s="2" t="s">
        <v>557</v>
      </c>
      <c r="AH50" s="2" t="s">
        <v>406</v>
      </c>
      <c r="AI50" t="b">
        <v>1</v>
      </c>
      <c r="AJ50" t="b">
        <v>1</v>
      </c>
      <c r="AK50" t="b">
        <v>1</v>
      </c>
      <c r="AL50" s="4">
        <f>HYPERLINK("https://app.isogeo.com/resources/754209f115c040a48d43ffc262b16500","Editer")</f>
        <v/>
      </c>
      <c r="AM50" s="4">
        <f>HYPERLINK("https://open.isogeo.com/m/754209f115c040a48d43ffc262b16500","Version en ligne")</f>
        <v/>
      </c>
      <c r="AN50" t="s">
        <v>572</v>
      </c>
      <c r="AO50" t="s">
        <v>559</v>
      </c>
      <c r="AP50" t="s">
        <v>161</v>
      </c>
      <c r="AQ50" t="s">
        <v>70</v>
      </c>
    </row>
    <row r="51" spans="1:43">
      <c r="A51" t="s">
        <v>573</v>
      </c>
      <c r="B51" t="s">
        <v>542</v>
      </c>
      <c r="C51" s="2" t="s">
        <v>543</v>
      </c>
      <c r="D51" t="s">
        <v>574</v>
      </c>
      <c r="E51" t="s">
        <v>44</v>
      </c>
      <c r="F51" s="2" t="s">
        <v>575</v>
      </c>
      <c r="G51" s="2" t="s">
        <v>470</v>
      </c>
      <c r="H51" t="b">
        <v>1</v>
      </c>
      <c r="I51" s="2" t="s">
        <v>546</v>
      </c>
      <c r="J51" s="2" t="s">
        <v>547</v>
      </c>
      <c r="K51" s="3" t="s">
        <v>548</v>
      </c>
      <c r="L51" s="3" t="s">
        <v>474</v>
      </c>
      <c r="M51" t="s">
        <v>114</v>
      </c>
      <c r="N51" t="s"/>
      <c r="O51" t="s">
        <v>549</v>
      </c>
      <c r="P51" t="n">
        <v>1</v>
      </c>
      <c r="Q51" t="s"/>
      <c r="S51" t="s">
        <v>117</v>
      </c>
      <c r="T51" t="s">
        <v>576</v>
      </c>
      <c r="U51" s="2" t="s">
        <v>577</v>
      </c>
      <c r="V51" t="s">
        <v>63</v>
      </c>
      <c r="X51" t="n">
        <v>1000000</v>
      </c>
      <c r="Y51" t="n">
        <v>22</v>
      </c>
      <c r="Z51" t="n">
        <v>18</v>
      </c>
      <c r="AA51" s="2" t="s">
        <v>552</v>
      </c>
      <c r="AB51" s="2" t="s"/>
      <c r="AC51" s="2" t="s">
        <v>554</v>
      </c>
      <c r="AD51" s="2" t="s">
        <v>555</v>
      </c>
      <c r="AE51" s="2" t="s">
        <v>556</v>
      </c>
      <c r="AF51" t="n">
        <v>1</v>
      </c>
      <c r="AG51" s="2" t="s">
        <v>557</v>
      </c>
      <c r="AH51" s="2" t="s"/>
      <c r="AI51" t="b">
        <v>1</v>
      </c>
      <c r="AJ51" t="b">
        <v>1</v>
      </c>
      <c r="AK51" t="b">
        <v>1</v>
      </c>
      <c r="AL51" s="4">
        <f>HYPERLINK("https://app.isogeo.com/resources/ba9883af618e4baebf41c4a0082521cb","Editer")</f>
        <v/>
      </c>
      <c r="AM51" s="4">
        <f>HYPERLINK("https://open.isogeo.com/m/ba9883af618e4baebf41c4a0082521cb","Version en ligne")</f>
        <v/>
      </c>
      <c r="AN51" t="s">
        <v>578</v>
      </c>
      <c r="AO51" t="s">
        <v>559</v>
      </c>
      <c r="AP51" t="s">
        <v>161</v>
      </c>
      <c r="AQ51" t="s">
        <v>70</v>
      </c>
    </row>
    <row r="52" spans="1:43">
      <c r="A52" t="s">
        <v>579</v>
      </c>
      <c r="B52" t="s">
        <v>542</v>
      </c>
      <c r="C52" s="2" t="s">
        <v>543</v>
      </c>
      <c r="D52" t="s">
        <v>580</v>
      </c>
      <c r="E52" t="s">
        <v>44</v>
      </c>
      <c r="F52" s="2" t="s">
        <v>581</v>
      </c>
      <c r="G52" s="2" t="s">
        <v>470</v>
      </c>
      <c r="H52" t="b">
        <v>1</v>
      </c>
      <c r="I52" s="2" t="s">
        <v>546</v>
      </c>
      <c r="J52" s="2" t="s">
        <v>547</v>
      </c>
      <c r="K52" s="3" t="s">
        <v>548</v>
      </c>
      <c r="L52" s="3" t="s">
        <v>474</v>
      </c>
      <c r="M52" t="s">
        <v>114</v>
      </c>
      <c r="N52" t="s"/>
      <c r="O52" t="s">
        <v>549</v>
      </c>
      <c r="P52" t="n">
        <v>1</v>
      </c>
      <c r="Q52" t="s"/>
      <c r="S52" t="s">
        <v>117</v>
      </c>
      <c r="T52" t="s">
        <v>582</v>
      </c>
      <c r="U52" s="2" t="s">
        <v>583</v>
      </c>
      <c r="V52" t="s">
        <v>63</v>
      </c>
      <c r="X52" t="n">
        <v>1000000</v>
      </c>
      <c r="Y52" t="n">
        <v>34</v>
      </c>
      <c r="Z52" t="n">
        <v>18</v>
      </c>
      <c r="AA52" s="2" t="s">
        <v>552</v>
      </c>
      <c r="AB52" s="2" t="s"/>
      <c r="AC52" s="2" t="s">
        <v>554</v>
      </c>
      <c r="AD52" s="2" t="s">
        <v>555</v>
      </c>
      <c r="AE52" s="2" t="s">
        <v>556</v>
      </c>
      <c r="AF52" t="n">
        <v>2</v>
      </c>
      <c r="AG52" s="2" t="s">
        <v>584</v>
      </c>
      <c r="AH52" s="2" t="s"/>
      <c r="AI52" t="b">
        <v>1</v>
      </c>
      <c r="AJ52" t="b">
        <v>1</v>
      </c>
      <c r="AK52" t="b">
        <v>1</v>
      </c>
      <c r="AL52" s="4">
        <f>HYPERLINK("https://app.isogeo.com/resources/7fd4f6a1b7694b5b87d1c4b4160cb733","Editer")</f>
        <v/>
      </c>
      <c r="AM52" s="4">
        <f>HYPERLINK("https://open.isogeo.com/m/7fd4f6a1b7694b5b87d1c4b4160cb733","Version en ligne")</f>
        <v/>
      </c>
      <c r="AN52" t="s">
        <v>585</v>
      </c>
      <c r="AO52" t="s">
        <v>559</v>
      </c>
      <c r="AP52" t="s">
        <v>161</v>
      </c>
      <c r="AQ52" t="s">
        <v>70</v>
      </c>
    </row>
    <row r="53" spans="1:43">
      <c r="A53" t="s">
        <v>586</v>
      </c>
      <c r="B53" t="s">
        <v>542</v>
      </c>
      <c r="C53" s="2" t="s">
        <v>543</v>
      </c>
      <c r="D53" t="s">
        <v>587</v>
      </c>
      <c r="E53" t="s">
        <v>44</v>
      </c>
      <c r="F53" s="2" t="s">
        <v>588</v>
      </c>
      <c r="G53" s="2" t="s">
        <v>470</v>
      </c>
      <c r="H53" t="b">
        <v>1</v>
      </c>
      <c r="I53" s="2" t="s">
        <v>546</v>
      </c>
      <c r="J53" s="2" t="s">
        <v>547</v>
      </c>
      <c r="K53" s="3" t="s">
        <v>548</v>
      </c>
      <c r="L53" s="3" t="s">
        <v>474</v>
      </c>
      <c r="M53" t="s">
        <v>114</v>
      </c>
      <c r="N53" t="s"/>
      <c r="O53" t="s">
        <v>549</v>
      </c>
      <c r="P53" t="n">
        <v>1</v>
      </c>
      <c r="Q53" t="s"/>
      <c r="S53" t="s">
        <v>117</v>
      </c>
      <c r="T53" t="s">
        <v>589</v>
      </c>
      <c r="U53" s="2" t="s">
        <v>590</v>
      </c>
      <c r="V53" t="s">
        <v>63</v>
      </c>
      <c r="X53" t="n">
        <v>1000000</v>
      </c>
      <c r="Y53" t="n">
        <v>24</v>
      </c>
      <c r="Z53" t="n">
        <v>18</v>
      </c>
      <c r="AA53" s="2" t="s">
        <v>552</v>
      </c>
      <c r="AB53" s="2" t="s"/>
      <c r="AC53" s="2" t="s">
        <v>554</v>
      </c>
      <c r="AD53" s="2" t="s">
        <v>555</v>
      </c>
      <c r="AE53" s="2" t="s">
        <v>446</v>
      </c>
      <c r="AF53" t="n">
        <v>2</v>
      </c>
      <c r="AG53" s="2" t="s">
        <v>584</v>
      </c>
      <c r="AH53" s="2" t="s"/>
      <c r="AI53" t="b">
        <v>1</v>
      </c>
      <c r="AJ53" t="b">
        <v>1</v>
      </c>
      <c r="AK53" t="b">
        <v>1</v>
      </c>
      <c r="AL53" s="4">
        <f>HYPERLINK("https://app.isogeo.com/resources/ea84dc434f284962a9e0b6972c10d315","Editer")</f>
        <v/>
      </c>
      <c r="AM53" s="4">
        <f>HYPERLINK("https://open.isogeo.com/m/ea84dc434f284962a9e0b6972c10d315","Version en ligne")</f>
        <v/>
      </c>
      <c r="AN53" t="s">
        <v>591</v>
      </c>
      <c r="AO53" t="s">
        <v>559</v>
      </c>
      <c r="AP53" t="s">
        <v>161</v>
      </c>
      <c r="AQ53" t="s">
        <v>70</v>
      </c>
    </row>
    <row r="54" spans="1:43">
      <c r="A54" t="s">
        <v>592</v>
      </c>
      <c r="B54" t="s">
        <v>542</v>
      </c>
      <c r="C54" s="2" t="s">
        <v>543</v>
      </c>
      <c r="D54" t="s">
        <v>593</v>
      </c>
      <c r="E54" t="s">
        <v>44</v>
      </c>
      <c r="F54" s="2" t="s">
        <v>594</v>
      </c>
      <c r="G54" s="2" t="s">
        <v>470</v>
      </c>
      <c r="H54" t="b">
        <v>1</v>
      </c>
      <c r="I54" s="2" t="s">
        <v>546</v>
      </c>
      <c r="J54" s="2" t="s">
        <v>547</v>
      </c>
      <c r="K54" s="3" t="s">
        <v>548</v>
      </c>
      <c r="L54" s="3" t="s">
        <v>474</v>
      </c>
      <c r="M54" t="s">
        <v>114</v>
      </c>
      <c r="N54" t="s"/>
      <c r="O54" t="s"/>
      <c r="P54" t="n">
        <v>0</v>
      </c>
      <c r="Q54" t="s"/>
      <c r="S54" t="s">
        <v>117</v>
      </c>
      <c r="T54" t="s">
        <v>595</v>
      </c>
      <c r="U54" s="2" t="s">
        <v>596</v>
      </c>
      <c r="V54" t="s">
        <v>63</v>
      </c>
      <c r="X54" t="n">
        <v>1000000</v>
      </c>
      <c r="Y54" t="n">
        <v>17</v>
      </c>
      <c r="Z54" t="n">
        <v>18</v>
      </c>
      <c r="AA54" s="2" t="s">
        <v>597</v>
      </c>
      <c r="AB54" s="2" t="s"/>
      <c r="AC54" s="2" t="s">
        <v>554</v>
      </c>
      <c r="AD54" s="2" t="s">
        <v>555</v>
      </c>
      <c r="AE54" s="2" t="s">
        <v>556</v>
      </c>
      <c r="AF54" t="n">
        <v>2</v>
      </c>
      <c r="AG54" s="2" t="s">
        <v>584</v>
      </c>
      <c r="AH54" s="2" t="s"/>
      <c r="AI54" t="b">
        <v>1</v>
      </c>
      <c r="AJ54" t="b">
        <v>1</v>
      </c>
      <c r="AK54" t="b">
        <v>1</v>
      </c>
      <c r="AL54" s="4">
        <f>HYPERLINK("https://app.isogeo.com/resources/e631f4197f744a1eb06892c8f3f9a264","Editer")</f>
        <v/>
      </c>
      <c r="AM54" s="4">
        <f>HYPERLINK("https://open.isogeo.com/m/e631f4197f744a1eb06892c8f3f9a264","Version en ligne")</f>
        <v/>
      </c>
      <c r="AN54" t="s">
        <v>598</v>
      </c>
      <c r="AO54" t="s">
        <v>559</v>
      </c>
      <c r="AP54" t="s">
        <v>161</v>
      </c>
      <c r="AQ54" t="s">
        <v>70</v>
      </c>
    </row>
    <row r="55" spans="1:43">
      <c r="A55" t="s">
        <v>599</v>
      </c>
      <c r="B55" t="s">
        <v>600</v>
      </c>
      <c r="C55" s="2" t="s">
        <v>601</v>
      </c>
      <c r="D55" t="s">
        <v>602</v>
      </c>
      <c r="E55" t="s">
        <v>44</v>
      </c>
      <c r="F55" s="2" t="s">
        <v>603</v>
      </c>
      <c r="G55" s="2" t="s">
        <v>604</v>
      </c>
      <c r="H55" t="b">
        <v>1</v>
      </c>
      <c r="I55" s="2" t="s">
        <v>605</v>
      </c>
      <c r="J55" s="2" t="s"/>
      <c r="K55" s="3" t="s"/>
      <c r="L55" s="3" t="s"/>
      <c r="M55" t="s"/>
      <c r="N55" t="s"/>
      <c r="O55" t="s">
        <v>606</v>
      </c>
      <c r="P55" t="n">
        <v>3</v>
      </c>
      <c r="Q55" t="s">
        <v>607</v>
      </c>
      <c r="S55" t="s">
        <v>117</v>
      </c>
      <c r="T55" t="s">
        <v>88</v>
      </c>
      <c r="U55" s="2" t="s">
        <v>608</v>
      </c>
      <c r="V55" t="s">
        <v>63</v>
      </c>
      <c r="X55" t="n">
        <v>100000</v>
      </c>
      <c r="Y55" t="n">
        <v>108</v>
      </c>
      <c r="Z55" t="n">
        <v>23</v>
      </c>
      <c r="AA55" s="2" t="s">
        <v>609</v>
      </c>
      <c r="AB55" s="2" t="s"/>
      <c r="AC55" s="2" t="s"/>
      <c r="AD55" s="2" t="s">
        <v>610</v>
      </c>
      <c r="AE55" s="2" t="s">
        <v>611</v>
      </c>
      <c r="AF55" t="n">
        <v>2</v>
      </c>
      <c r="AG55" s="2" t="s"/>
      <c r="AH55" s="2" t="s">
        <v>612</v>
      </c>
      <c r="AI55" t="b">
        <v>1</v>
      </c>
      <c r="AJ55" t="b">
        <v>1</v>
      </c>
      <c r="AK55" t="b">
        <v>1</v>
      </c>
      <c r="AL55" s="4">
        <f>HYPERLINK("https://app.isogeo.com/resources/cb71d8f42ba44788b348b5bc9f79e58c","Editer")</f>
        <v/>
      </c>
      <c r="AM55" s="4">
        <f>HYPERLINK("https://open.isogeo.com/m/cb71d8f42ba44788b348b5bc9f79e58c","Version en ligne")</f>
        <v/>
      </c>
      <c r="AN55" t="s">
        <v>613</v>
      </c>
      <c r="AO55" t="s">
        <v>614</v>
      </c>
      <c r="AP55" t="s">
        <v>464</v>
      </c>
      <c r="AQ55" t="s">
        <v>70</v>
      </c>
    </row>
    <row r="56" spans="1:43">
      <c r="A56" t="s">
        <v>615</v>
      </c>
      <c r="B56" t="s">
        <v>616</v>
      </c>
      <c r="C56" s="2" t="s">
        <v>617</v>
      </c>
      <c r="D56" t="s">
        <v>618</v>
      </c>
      <c r="E56" t="s">
        <v>44</v>
      </c>
      <c r="F56" s="2" t="s">
        <v>619</v>
      </c>
      <c r="G56" s="2" t="s">
        <v>620</v>
      </c>
      <c r="H56" t="b">
        <v>1</v>
      </c>
      <c r="I56" s="2" t="s">
        <v>621</v>
      </c>
      <c r="J56" s="2" t="s"/>
      <c r="K56" s="3" t="s"/>
      <c r="L56" s="3" t="s"/>
      <c r="M56" t="s"/>
      <c r="N56" t="s"/>
      <c r="O56" t="s">
        <v>622</v>
      </c>
      <c r="P56" t="n">
        <v>3</v>
      </c>
      <c r="Q56" t="s">
        <v>494</v>
      </c>
      <c r="S56" t="s">
        <v>495</v>
      </c>
      <c r="T56" t="s">
        <v>88</v>
      </c>
      <c r="U56" s="2" t="s">
        <v>623</v>
      </c>
      <c r="V56" t="s">
        <v>119</v>
      </c>
      <c r="X56" t="n">
        <v>1000</v>
      </c>
      <c r="Y56" t="n">
        <v>14</v>
      </c>
      <c r="Z56" t="n">
        <v>6</v>
      </c>
      <c r="AA56" s="2" t="s">
        <v>624</v>
      </c>
      <c r="AB56" s="2" t="s"/>
      <c r="AC56" s="2" t="s"/>
      <c r="AD56" s="2" t="s">
        <v>625</v>
      </c>
      <c r="AE56" s="2" t="s">
        <v>611</v>
      </c>
      <c r="AF56" t="n">
        <v>2</v>
      </c>
      <c r="AG56" s="2" t="s"/>
      <c r="AH56" s="2" t="s">
        <v>626</v>
      </c>
      <c r="AI56" t="b">
        <v>1</v>
      </c>
      <c r="AJ56" t="b">
        <v>1</v>
      </c>
      <c r="AK56" t="b">
        <v>1</v>
      </c>
      <c r="AL56" s="4">
        <f>HYPERLINK("https://app.isogeo.com/resources/bcd4a239d26c479f96d2906240b185dc","Editer")</f>
        <v/>
      </c>
      <c r="AM56" s="4">
        <f>HYPERLINK("https://open.isogeo.com/m/bcd4a239d26c479f96d2906240b185dc","Version en ligne")</f>
        <v/>
      </c>
      <c r="AN56" t="s">
        <v>627</v>
      </c>
      <c r="AO56" t="s">
        <v>628</v>
      </c>
      <c r="AP56" t="s">
        <v>629</v>
      </c>
    </row>
    <row r="57" spans="1:43">
      <c r="A57" t="s">
        <v>630</v>
      </c>
      <c r="B57" t="s">
        <v>631</v>
      </c>
      <c r="C57" s="2" t="s">
        <v>632</v>
      </c>
      <c r="D57" t="s">
        <v>633</v>
      </c>
      <c r="E57" t="s">
        <v>44</v>
      </c>
      <c r="F57" s="2" t="s">
        <v>634</v>
      </c>
      <c r="G57" s="2" t="s"/>
      <c r="H57" t="b">
        <v>0</v>
      </c>
      <c r="I57" s="2" t="s">
        <v>635</v>
      </c>
      <c r="J57" s="2" t="s">
        <v>636</v>
      </c>
      <c r="K57" s="3" t="s">
        <v>637</v>
      </c>
      <c r="L57" s="3" t="s">
        <v>638</v>
      </c>
      <c r="M57" t="s">
        <v>639</v>
      </c>
      <c r="N57" t="s"/>
      <c r="O57" t="s">
        <v>637</v>
      </c>
      <c r="P57" t="n">
        <v>3</v>
      </c>
      <c r="Q57" t="s">
        <v>640</v>
      </c>
      <c r="S57" t="s">
        <v>117</v>
      </c>
      <c r="T57" t="s">
        <v>641</v>
      </c>
      <c r="U57" s="2" t="s">
        <v>642</v>
      </c>
      <c r="V57" t="s">
        <v>156</v>
      </c>
      <c r="W57" t="n">
        <v>100</v>
      </c>
      <c r="Y57" t="n">
        <v>12</v>
      </c>
      <c r="Z57" t="n">
        <v>17</v>
      </c>
      <c r="AA57" s="2" t="s">
        <v>643</v>
      </c>
      <c r="AB57" s="2" t="s"/>
      <c r="AC57" s="2" t="s"/>
      <c r="AD57" s="2" t="s">
        <v>644</v>
      </c>
      <c r="AE57" s="2" t="s">
        <v>645</v>
      </c>
      <c r="AF57" t="n">
        <v>1</v>
      </c>
      <c r="AG57" s="2" t="s">
        <v>406</v>
      </c>
      <c r="AH57" s="2" t="s"/>
      <c r="AI57" t="b">
        <v>1</v>
      </c>
      <c r="AJ57" t="b">
        <v>1</v>
      </c>
      <c r="AK57" t="b">
        <v>1</v>
      </c>
      <c r="AL57" s="4">
        <f>HYPERLINK("https://app.isogeo.com/resources/56ed291af72f46dc9835fc9ae29fe938","Editer")</f>
        <v/>
      </c>
      <c r="AM57" s="4">
        <f>HYPERLINK("https://open.isogeo.com/m/56ed291af72f46dc9835fc9ae29fe938","Version en ligne")</f>
        <v/>
      </c>
      <c r="AN57" t="s">
        <v>646</v>
      </c>
      <c r="AO57" t="s">
        <v>647</v>
      </c>
      <c r="AP57" t="s">
        <v>648</v>
      </c>
    </row>
    <row r="58" spans="1:43">
      <c r="A58" t="s">
        <v>649</v>
      </c>
      <c r="B58" t="s">
        <v>650</v>
      </c>
      <c r="C58" s="2" t="s">
        <v>651</v>
      </c>
      <c r="D58" t="s">
        <v>652</v>
      </c>
      <c r="E58" t="s">
        <v>44</v>
      </c>
      <c r="F58" s="2" t="s">
        <v>653</v>
      </c>
      <c r="G58" s="2" t="s">
        <v>470</v>
      </c>
      <c r="H58" t="b">
        <v>1</v>
      </c>
      <c r="I58" s="2" t="s">
        <v>565</v>
      </c>
      <c r="J58" s="2" t="s">
        <v>566</v>
      </c>
      <c r="K58" s="3" t="s">
        <v>535</v>
      </c>
      <c r="L58" s="3" t="s">
        <v>536</v>
      </c>
      <c r="M58" t="s">
        <v>114</v>
      </c>
      <c r="N58" t="s"/>
      <c r="O58" t="s">
        <v>654</v>
      </c>
      <c r="P58" t="n">
        <v>3</v>
      </c>
      <c r="Q58" t="s">
        <v>655</v>
      </c>
      <c r="S58" t="s">
        <v>656</v>
      </c>
      <c r="T58" t="s">
        <v>88</v>
      </c>
      <c r="U58" s="2" t="s">
        <v>657</v>
      </c>
      <c r="V58" t="s">
        <v>63</v>
      </c>
      <c r="X58" t="n">
        <v>1000000</v>
      </c>
      <c r="Y58" t="n">
        <v>3708</v>
      </c>
      <c r="Z58" t="n">
        <v>13</v>
      </c>
      <c r="AA58" s="2" t="s">
        <v>658</v>
      </c>
      <c r="AB58" s="2" t="s">
        <v>553</v>
      </c>
      <c r="AC58" s="2" t="s">
        <v>659</v>
      </c>
      <c r="AD58" s="2" t="s">
        <v>660</v>
      </c>
      <c r="AE58" s="2" t="s">
        <v>216</v>
      </c>
      <c r="AF58" t="n">
        <v>2</v>
      </c>
      <c r="AG58" s="2" t="s">
        <v>661</v>
      </c>
      <c r="AH58" s="2" t="s"/>
      <c r="AI58" t="b">
        <v>1</v>
      </c>
      <c r="AJ58" t="b">
        <v>1</v>
      </c>
      <c r="AK58" t="b">
        <v>1</v>
      </c>
      <c r="AL58" s="4">
        <f>HYPERLINK("https://app.isogeo.com/resources/9dc817d4ed0b402697cfe1007a410f0c","Editer")</f>
        <v/>
      </c>
      <c r="AM58" s="4">
        <f>HYPERLINK("https://open.isogeo.com/m/9dc817d4ed0b402697cfe1007a410f0c","Version en ligne")</f>
        <v/>
      </c>
      <c r="AN58" t="s">
        <v>662</v>
      </c>
      <c r="AO58" t="s">
        <v>663</v>
      </c>
      <c r="AP58" t="s">
        <v>161</v>
      </c>
      <c r="AQ58" t="s">
        <v>70</v>
      </c>
    </row>
  </sheetData>
  <autoFilter ref="A1:AQ58"/>
  <printOptions horizontalCentered="1" verticalCentered="1"/>
  <pageMargins bottom="1" footer="0.5" header="0.5" left="0.75" right="0.75" top="1"/>
  <pageSetup fitToWidth="1" orientation="landscape"/>
</worksheet>
</file>

<file path=xl/worksheets/sheet4.xml><?xml version="1.0" encoding="utf-8"?>
<worksheet xmlns="http://schemas.openxmlformats.org/spreadsheetml/2006/main">
  <sheetPr filterMode="1">
    <outlinePr summaryBelow="1" summaryRight="1"/>
    <pageSetUpPr/>
  </sheetPr>
  <dimension ref="A1:AM3"/>
  <sheetViews>
    <sheetView workbookViewId="0">
      <pane activePane="bottomRight" state="frozen" topLeftCell="B2" xSplit="1" ySplit="1"/>
      <selection pane="topRight"/>
      <selection pane="bottomLeft"/>
      <selection activeCell="A1" pane="bottomRight" sqref="A1"/>
    </sheetView>
  </sheetViews>
  <sheetFormatPr baseColWidth="8" defaultRowHeight="15"/>
  <sheetData>
    <row r="1" spans="1:39">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22</v>
      </c>
      <c r="W1" s="1" t="s">
        <v>23</v>
      </c>
      <c r="X1" s="1" t="s">
        <v>27</v>
      </c>
      <c r="Y1" s="1" t="s">
        <v>28</v>
      </c>
      <c r="Z1" s="1" t="s">
        <v>29</v>
      </c>
      <c r="AA1" s="1" t="s">
        <v>30</v>
      </c>
      <c r="AB1" s="1" t="s">
        <v>31</v>
      </c>
      <c r="AC1" s="1" t="s">
        <v>32</v>
      </c>
      <c r="AD1" s="1" t="s">
        <v>33</v>
      </c>
      <c r="AE1" s="1" t="s">
        <v>34</v>
      </c>
      <c r="AF1" s="1" t="s">
        <v>35</v>
      </c>
      <c r="AG1" s="1" t="s">
        <v>36</v>
      </c>
      <c r="AH1" s="1" t="s">
        <v>37</v>
      </c>
      <c r="AI1" s="1" t="s">
        <v>38</v>
      </c>
      <c r="AJ1" s="1" t="s">
        <v>39</v>
      </c>
      <c r="AK1" s="1" t="s">
        <v>40</v>
      </c>
      <c r="AL1" s="1" t="s">
        <v>41</v>
      </c>
      <c r="AM1" s="1" t="s">
        <v>42</v>
      </c>
    </row>
    <row r="2" spans="1:39">
      <c r="A2" t="s">
        <v>664</v>
      </c>
      <c r="C2" s="2" t="s">
        <v>665</v>
      </c>
      <c r="D2" t="s"/>
      <c r="E2" t="s">
        <v>44</v>
      </c>
      <c r="F2" s="2" t="s">
        <v>666</v>
      </c>
      <c r="G2" s="2" t="s">
        <v>667</v>
      </c>
      <c r="H2" t="b">
        <v>1</v>
      </c>
      <c r="I2" s="2" t="s">
        <v>668</v>
      </c>
      <c r="J2" s="2" t="s"/>
      <c r="K2" s="3" t="s"/>
      <c r="L2" s="3" t="s"/>
      <c r="M2" t="s"/>
      <c r="N2" t="s"/>
      <c r="O2" t="s">
        <v>669</v>
      </c>
      <c r="P2" t="n">
        <v>1</v>
      </c>
      <c r="Q2" t="s"/>
      <c r="S2" t="s">
        <v>670</v>
      </c>
      <c r="T2" t="s">
        <v>88</v>
      </c>
      <c r="U2" s="2" t="s">
        <v>671</v>
      </c>
      <c r="W2" t="n">
        <v>5000</v>
      </c>
      <c r="X2" s="2" t="s">
        <v>672</v>
      </c>
      <c r="Y2" s="2" t="s"/>
      <c r="Z2" s="2" t="s">
        <v>142</v>
      </c>
      <c r="AA2" s="2" t="s">
        <v>446</v>
      </c>
      <c r="AB2" t="n">
        <v>1</v>
      </c>
      <c r="AC2" s="2" t="s">
        <v>673</v>
      </c>
      <c r="AD2" s="2" t="s"/>
      <c r="AE2" t="b">
        <v>1</v>
      </c>
      <c r="AF2" t="b">
        <v>0</v>
      </c>
      <c r="AG2" t="b">
        <v>0</v>
      </c>
      <c r="AH2" s="4">
        <f>HYPERLINK("https://app.isogeo.com/resources/909b7a901ce04829a393806ac654475b","Editer")</f>
        <v/>
      </c>
      <c r="AI2" s="4">
        <f>HYPERLINK("https://open.isogeo.com/m/909b7a901ce04829a393806ac654475b","Version en ligne")</f>
        <v/>
      </c>
      <c r="AJ2" t="s">
        <v>674</v>
      </c>
      <c r="AK2" t="s">
        <v>449</v>
      </c>
      <c r="AL2" t="s">
        <v>125</v>
      </c>
    </row>
    <row r="3" spans="1:39">
      <c r="A3" t="s">
        <v>675</v>
      </c>
      <c r="C3" s="2" t="s">
        <v>676</v>
      </c>
      <c r="D3" t="s"/>
      <c r="E3" t="s">
        <v>44</v>
      </c>
      <c r="F3" s="2" t="s">
        <v>677</v>
      </c>
      <c r="G3" s="2" t="s">
        <v>132</v>
      </c>
      <c r="H3" t="b">
        <v>1</v>
      </c>
      <c r="I3" s="2" t="s">
        <v>678</v>
      </c>
      <c r="J3" s="2" t="s"/>
      <c r="K3" s="3" t="s"/>
      <c r="L3" s="3" t="s"/>
      <c r="M3" t="s"/>
      <c r="N3" t="s"/>
      <c r="O3" t="s">
        <v>679</v>
      </c>
      <c r="P3" t="n">
        <v>2</v>
      </c>
      <c r="Q3" t="s">
        <v>680</v>
      </c>
      <c r="S3" t="s">
        <v>681</v>
      </c>
      <c r="T3" t="s">
        <v>88</v>
      </c>
      <c r="U3" s="2" t="s">
        <v>682</v>
      </c>
      <c r="W3" t="n">
        <v>5000</v>
      </c>
      <c r="X3" s="2" t="s">
        <v>683</v>
      </c>
      <c r="Y3" s="2" t="s"/>
      <c r="Z3" s="2" t="s">
        <v>142</v>
      </c>
      <c r="AA3" s="2" t="s">
        <v>684</v>
      </c>
      <c r="AB3" t="n">
        <v>1</v>
      </c>
      <c r="AC3" s="2" t="s">
        <v>685</v>
      </c>
      <c r="AD3" s="2" t="s"/>
      <c r="AE3" t="b">
        <v>1</v>
      </c>
      <c r="AF3" t="b">
        <v>0</v>
      </c>
      <c r="AG3" t="b">
        <v>0</v>
      </c>
      <c r="AH3" s="4">
        <f>HYPERLINK("https://app.isogeo.com/resources/793f0a68c3b8452b8663e4e03157d18f","Editer")</f>
        <v/>
      </c>
      <c r="AI3" s="4">
        <f>HYPERLINK("https://open.isogeo.com/m/793f0a68c3b8452b8663e4e03157d18f","Version en ligne")</f>
        <v/>
      </c>
      <c r="AJ3" t="s">
        <v>686</v>
      </c>
      <c r="AK3" t="s">
        <v>449</v>
      </c>
      <c r="AL3" t="s">
        <v>125</v>
      </c>
      <c r="AM3" t="s">
        <v>70</v>
      </c>
    </row>
  </sheetData>
  <autoFilter ref="A1:AM3"/>
  <printOptions horizontalCentered="1" verticalCentered="1"/>
  <pageMargins bottom="1" footer="0.5" header="0.5" left="0.75" right="0.75" top="1"/>
  <pageSetup fitToWidth="1" orientation="landscape"/>
</worksheet>
</file>

<file path=xl/worksheets/sheet5.xml><?xml version="1.0" encoding="utf-8"?>
<worksheet xmlns="http://schemas.openxmlformats.org/spreadsheetml/2006/main">
  <sheetPr filterMode="1">
    <outlinePr summaryBelow="1" summaryRight="1"/>
    <pageSetUpPr/>
  </sheetPr>
  <dimension ref="A1:AB16"/>
  <sheetViews>
    <sheetView workbookViewId="0">
      <pane activePane="bottomRight" state="frozen" topLeftCell="B2" xSplit="1" ySplit="1"/>
      <selection pane="topRight"/>
      <selection pane="bottomLeft"/>
      <selection activeCell="A1" pane="bottomRight" sqref="A1"/>
    </sheetView>
  </sheetViews>
  <sheetFormatPr baseColWidth="8" defaultRowHeight="15"/>
  <sheetData>
    <row r="1" spans="1:28">
      <c r="A1" s="1" t="s">
        <v>0</v>
      </c>
      <c r="B1" s="1" t="s">
        <v>1</v>
      </c>
      <c r="C1" s="1" t="s">
        <v>2</v>
      </c>
      <c r="D1" s="1" t="s">
        <v>3</v>
      </c>
      <c r="E1" s="1" t="s">
        <v>4</v>
      </c>
      <c r="F1" s="1" t="s">
        <v>5</v>
      </c>
      <c r="G1" s="1" t="s">
        <v>7</v>
      </c>
      <c r="H1" s="1" t="s">
        <v>14</v>
      </c>
      <c r="I1" s="1" t="s">
        <v>15</v>
      </c>
      <c r="J1" s="1" t="s">
        <v>16</v>
      </c>
      <c r="K1" s="1" t="s">
        <v>17</v>
      </c>
      <c r="L1" s="1" t="s">
        <v>687</v>
      </c>
      <c r="M1" s="1" t="s">
        <v>20</v>
      </c>
      <c r="N1" s="1" t="s">
        <v>27</v>
      </c>
      <c r="O1" s="1" t="s">
        <v>29</v>
      </c>
      <c r="P1" s="1" t="s">
        <v>30</v>
      </c>
      <c r="Q1" s="1" t="s">
        <v>31</v>
      </c>
      <c r="R1" s="1" t="s">
        <v>32</v>
      </c>
      <c r="S1" s="1" t="s">
        <v>33</v>
      </c>
      <c r="T1" s="1" t="s">
        <v>34</v>
      </c>
      <c r="U1" s="1" t="s">
        <v>35</v>
      </c>
      <c r="V1" s="1" t="s">
        <v>36</v>
      </c>
      <c r="W1" s="1" t="s">
        <v>37</v>
      </c>
      <c r="X1" s="1" t="s">
        <v>38</v>
      </c>
      <c r="Y1" s="1" t="s">
        <v>39</v>
      </c>
      <c r="Z1" s="1" t="s">
        <v>40</v>
      </c>
      <c r="AA1" s="1" t="s">
        <v>41</v>
      </c>
      <c r="AB1" s="1" t="s">
        <v>42</v>
      </c>
    </row>
    <row r="2" spans="1:28">
      <c r="A2" t="s">
        <v>688</v>
      </c>
      <c r="B2" t="s">
        <v>689</v>
      </c>
      <c r="C2" s="2" t="s">
        <v>690</v>
      </c>
      <c r="D2">
        <f>HYPERLINK("http://infogeo.ct-corse.fr/arcgis/rest/services/basemap/IGN/FeatureServer","http://infogeo.ct-corse.fr/arcgis/rest/services/basemap/IGN/FeatureServer")</f>
        <v/>
      </c>
      <c r="E2" t="s">
        <v>44</v>
      </c>
      <c r="F2" s="2" t="s">
        <v>691</v>
      </c>
      <c r="G2" t="b">
        <v>0</v>
      </c>
      <c r="H2" t="s"/>
      <c r="I2" t="n">
        <v>0</v>
      </c>
      <c r="J2" t="s"/>
      <c r="L2" t="s">
        <v>692</v>
      </c>
      <c r="M2" s="2" t="n"/>
      <c r="N2" s="2" t="s"/>
      <c r="O2" s="2" t="s"/>
      <c r="P2" s="2" t="s"/>
      <c r="Q2" t="n">
        <v>0</v>
      </c>
      <c r="R2" s="2" t="n"/>
      <c r="S2" s="2" t="n"/>
      <c r="T2" t="b">
        <v>0</v>
      </c>
      <c r="U2" t="b">
        <v>0</v>
      </c>
      <c r="V2" t="b">
        <v>0</v>
      </c>
      <c r="W2" s="4">
        <f>HYPERLINK("https://app.isogeo.com/resources/2847769d91e943f59b90298c02f2c714","Editer")</f>
        <v/>
      </c>
      <c r="X2" s="4">
        <f>HYPERLINK("https://open.isogeo.com/m/2847769d91e943f59b90298c02f2c714","Version en ligne")</f>
        <v/>
      </c>
      <c r="Y2" t="s">
        <v>693</v>
      </c>
      <c r="Z2" t="s">
        <v>48</v>
      </c>
      <c r="AA2" t="s">
        <v>48</v>
      </c>
    </row>
    <row r="3" spans="1:28">
      <c r="A3" t="s">
        <v>694</v>
      </c>
      <c r="B3" t="s">
        <v>695</v>
      </c>
      <c r="C3" s="2" t="s">
        <v>696</v>
      </c>
      <c r="D3">
        <f>HYPERLINK("http://geodata.nanterre.fr/arcgis/rest/services/Couche_SIG/FeatureServer","http://geodata.nanterre.fr/arcgis/rest/services/Couche_SIG/FeatureServer")</f>
        <v/>
      </c>
      <c r="E3" t="s">
        <v>44</v>
      </c>
      <c r="F3" s="2" t="s">
        <v>697</v>
      </c>
      <c r="G3" t="b">
        <v>0</v>
      </c>
      <c r="H3" t="s"/>
      <c r="I3" t="n">
        <v>0</v>
      </c>
      <c r="J3" t="s"/>
      <c r="L3" t="s">
        <v>698</v>
      </c>
      <c r="M3" s="2" t="n"/>
      <c r="N3" s="2" t="s"/>
      <c r="O3" s="2" t="s"/>
      <c r="P3" s="2" t="s"/>
      <c r="Q3" t="n">
        <v>0</v>
      </c>
      <c r="R3" s="2" t="n"/>
      <c r="S3" s="2" t="n"/>
      <c r="T3" t="b">
        <v>0</v>
      </c>
      <c r="U3" t="b">
        <v>0</v>
      </c>
      <c r="V3" t="b">
        <v>0</v>
      </c>
      <c r="W3" s="4">
        <f>HYPERLINK("https://app.isogeo.com/resources/947bf521c208434fa333f3ef2fd7dbfb","Editer")</f>
        <v/>
      </c>
      <c r="X3" s="4">
        <f>HYPERLINK("https://open.isogeo.com/m/947bf521c208434fa333f3ef2fd7dbfb","Version en ligne")</f>
        <v/>
      </c>
      <c r="Y3" t="s">
        <v>699</v>
      </c>
      <c r="Z3" t="s">
        <v>48</v>
      </c>
      <c r="AA3" t="s">
        <v>48</v>
      </c>
    </row>
    <row r="4" spans="1:28">
      <c r="A4" t="s">
        <v>700</v>
      </c>
      <c r="B4" t="s">
        <v>700</v>
      </c>
      <c r="C4" s="2" t="s">
        <v>701</v>
      </c>
      <c r="D4">
        <f>HYPERLINK("https://api-carto.dijon.fr/arcgis/rest/services/GEOPORTAIL/geoportail_numerique/MapServer","https://api-carto.dijon.fr/arcgis/rest/services/GEOPORTAIL/geoportail_numerique/MapServer")</f>
        <v/>
      </c>
      <c r="E4" t="s">
        <v>44</v>
      </c>
      <c r="F4" s="2" t="s">
        <v>702</v>
      </c>
      <c r="G4" t="b">
        <v>0</v>
      </c>
      <c r="H4" t="s"/>
      <c r="I4" t="n">
        <v>0</v>
      </c>
      <c r="J4" t="s"/>
      <c r="L4" t="s">
        <v>703</v>
      </c>
      <c r="M4" s="2" t="s">
        <v>704</v>
      </c>
      <c r="N4" s="2" t="s"/>
      <c r="O4" s="2" t="s"/>
      <c r="P4" s="2" t="s"/>
      <c r="Q4" t="n">
        <v>0</v>
      </c>
      <c r="R4" s="2" t="n"/>
      <c r="S4" s="2" t="n"/>
      <c r="T4" t="b">
        <v>0</v>
      </c>
      <c r="U4" t="b">
        <v>0</v>
      </c>
      <c r="V4" t="b">
        <v>0</v>
      </c>
      <c r="W4" s="4">
        <f>HYPERLINK("https://app.isogeo.com/resources/62d114d0fc1c4f04bb36416abbdd6537","Editer")</f>
        <v/>
      </c>
      <c r="X4" s="4">
        <f>HYPERLINK("https://open.isogeo.com/m/62d114d0fc1c4f04bb36416abbdd6537","Version en ligne")</f>
        <v/>
      </c>
      <c r="Y4" t="s">
        <v>705</v>
      </c>
      <c r="Z4" t="s">
        <v>95</v>
      </c>
      <c r="AA4" t="s">
        <v>706</v>
      </c>
    </row>
    <row r="5" spans="1:28">
      <c r="A5" t="s">
        <v>707</v>
      </c>
      <c r="C5" s="2" t="s">
        <v>708</v>
      </c>
      <c r="D5">
        <f>HYPERLINK("https://www.geomayenne.fr/arcgis/services/D53_Pedologie/MapServer/WMSServer","https://www.geomayenne.fr/arcgis/services/D53_Pedologie/MapServer/WMSServer")</f>
        <v/>
      </c>
      <c r="E5" t="s">
        <v>44</v>
      </c>
      <c r="F5" s="2" t="s">
        <v>709</v>
      </c>
      <c r="G5" t="b">
        <v>0</v>
      </c>
      <c r="H5" t="s"/>
      <c r="I5" t="n">
        <v>0</v>
      </c>
      <c r="J5" t="s"/>
      <c r="L5" t="s">
        <v>710</v>
      </c>
      <c r="M5" s="2" t="s">
        <v>711</v>
      </c>
      <c r="N5" s="2" t="s"/>
      <c r="O5" s="2" t="s"/>
      <c r="P5" s="2" t="s"/>
      <c r="Q5" t="n">
        <v>1</v>
      </c>
      <c r="R5" s="2" t="s">
        <v>93</v>
      </c>
      <c r="S5" s="2" t="s"/>
      <c r="T5" t="b">
        <v>0</v>
      </c>
      <c r="U5" t="b">
        <v>0</v>
      </c>
      <c r="V5" t="b">
        <v>0</v>
      </c>
      <c r="W5" s="4">
        <f>HYPERLINK("https://app.isogeo.com/resources/ebe2c494980b493388a7a76415e1edeb","Editer")</f>
        <v/>
      </c>
      <c r="X5" s="4">
        <f>HYPERLINK("https://open.isogeo.com/m/ebe2c494980b493388a7a76415e1edeb","Version en ligne")</f>
        <v/>
      </c>
      <c r="Y5" t="s">
        <v>712</v>
      </c>
      <c r="Z5" t="s">
        <v>125</v>
      </c>
      <c r="AA5" t="s">
        <v>48</v>
      </c>
    </row>
    <row r="6" spans="1:28">
      <c r="A6" t="s">
        <v>713</v>
      </c>
      <c r="C6" s="2" t="s">
        <v>714</v>
      </c>
      <c r="D6">
        <f>HYPERLINK("http://noisy.hq.isogeo.fr:6090/geoserver/ows","http://noisy.hq.isogeo.fr:6090/geoserver/ows")</f>
        <v/>
      </c>
      <c r="E6" t="s">
        <v>44</v>
      </c>
      <c r="F6" s="2" t="s">
        <v>715</v>
      </c>
      <c r="G6" t="b">
        <v>0</v>
      </c>
      <c r="H6" t="s"/>
      <c r="I6" t="n">
        <v>0</v>
      </c>
      <c r="J6" t="s"/>
      <c r="L6" t="s">
        <v>716</v>
      </c>
      <c r="M6" s="2" t="s">
        <v>717</v>
      </c>
      <c r="N6" s="2" t="s"/>
      <c r="O6" s="2" t="s"/>
      <c r="P6" s="2" t="s"/>
      <c r="Q6" t="n">
        <v>0</v>
      </c>
      <c r="R6" s="2" t="n"/>
      <c r="S6" s="2" t="n"/>
      <c r="T6" t="b">
        <v>0</v>
      </c>
      <c r="U6" t="b">
        <v>0</v>
      </c>
      <c r="V6" t="b">
        <v>0</v>
      </c>
      <c r="W6" s="4">
        <f>HYPERLINK("https://app.isogeo.com/resources/dafd5560a6f744d49572230c0623c836","Editer")</f>
        <v/>
      </c>
      <c r="X6" s="4">
        <f>HYPERLINK("https://open.isogeo.com/m/dafd5560a6f744d49572230c0623c836","Version en ligne")</f>
        <v/>
      </c>
      <c r="Y6" t="s">
        <v>718</v>
      </c>
      <c r="Z6" t="s">
        <v>125</v>
      </c>
      <c r="AA6" t="s">
        <v>719</v>
      </c>
    </row>
    <row r="7" spans="1:28">
      <c r="A7" t="s">
        <v>720</v>
      </c>
      <c r="C7" s="2" t="s">
        <v>714</v>
      </c>
      <c r="D7">
        <f>HYPERLINK("http://noisy.hq.isogeo.fr:6090/geoserver/ows","http://noisy.hq.isogeo.fr:6090/geoserver/ows")</f>
        <v/>
      </c>
      <c r="E7" t="s">
        <v>44</v>
      </c>
      <c r="F7" s="2" t="s">
        <v>721</v>
      </c>
      <c r="G7" t="b">
        <v>0</v>
      </c>
      <c r="H7" t="s"/>
      <c r="I7" t="n">
        <v>0</v>
      </c>
      <c r="J7" t="s"/>
      <c r="L7" t="s">
        <v>710</v>
      </c>
      <c r="M7" s="2" t="s">
        <v>717</v>
      </c>
      <c r="N7" s="2" t="s"/>
      <c r="O7" s="2" t="s"/>
      <c r="P7" s="2" t="s"/>
      <c r="Q7" t="n">
        <v>0</v>
      </c>
      <c r="R7" s="2" t="n"/>
      <c r="S7" s="2" t="n"/>
      <c r="T7" t="b">
        <v>0</v>
      </c>
      <c r="U7" t="b">
        <v>0</v>
      </c>
      <c r="V7" t="b">
        <v>0</v>
      </c>
      <c r="W7" s="4">
        <f>HYPERLINK("https://app.isogeo.com/resources/61152083b16240f0a4341ee035ed7100","Editer")</f>
        <v/>
      </c>
      <c r="X7" s="4">
        <f>HYPERLINK("https://open.isogeo.com/m/61152083b16240f0a4341ee035ed7100","Version en ligne")</f>
        <v/>
      </c>
      <c r="Y7" t="s">
        <v>722</v>
      </c>
      <c r="Z7" t="s">
        <v>125</v>
      </c>
      <c r="AA7" t="s">
        <v>723</v>
      </c>
    </row>
    <row r="8" spans="1:28">
      <c r="A8" t="s">
        <v>724</v>
      </c>
      <c r="B8" t="s">
        <v>725</v>
      </c>
      <c r="C8" s="2" t="s">
        <v>726</v>
      </c>
      <c r="D8">
        <f>HYPERLINK("http://noisy.hq.isogeo.fr:6080/arcgis/rest/services/Decryptageo_2017/Decryptageo_2017/MapServer","http://noisy.hq.isogeo.fr:6080/arcgis/rest/services/Decryptageo_2017/Decryptageo_2017/MapServer")</f>
        <v/>
      </c>
      <c r="E8" t="s">
        <v>44</v>
      </c>
      <c r="F8" s="2" t="s">
        <v>727</v>
      </c>
      <c r="G8" t="b">
        <v>0</v>
      </c>
      <c r="H8" t="s">
        <v>728</v>
      </c>
      <c r="I8" t="n">
        <v>1</v>
      </c>
      <c r="J8" t="s"/>
      <c r="L8" t="s">
        <v>729</v>
      </c>
      <c r="M8" s="2" t="s">
        <v>730</v>
      </c>
      <c r="N8" s="2" t="s">
        <v>731</v>
      </c>
      <c r="O8" s="2" t="s">
        <v>732</v>
      </c>
      <c r="P8" s="2" t="s">
        <v>216</v>
      </c>
      <c r="Q8" t="n">
        <v>1</v>
      </c>
      <c r="R8" s="2" t="s"/>
      <c r="S8" s="2" t="s">
        <v>406</v>
      </c>
      <c r="T8" t="b">
        <v>0</v>
      </c>
      <c r="U8" t="b">
        <v>0</v>
      </c>
      <c r="V8" t="b">
        <v>0</v>
      </c>
      <c r="W8" s="4">
        <f>HYPERLINK("https://app.isogeo.com/resources/68c61a725441499dba1b001a467dd968","Editer")</f>
        <v/>
      </c>
      <c r="X8" s="4">
        <f>HYPERLINK("https://open.isogeo.com/m/68c61a725441499dba1b001a467dd968","Version en ligne")</f>
        <v/>
      </c>
      <c r="Y8" t="s">
        <v>733</v>
      </c>
      <c r="Z8" t="s">
        <v>125</v>
      </c>
      <c r="AA8" t="s">
        <v>95</v>
      </c>
      <c r="AB8" t="s">
        <v>70</v>
      </c>
    </row>
    <row r="9" spans="1:28">
      <c r="A9" t="s">
        <v>734</v>
      </c>
      <c r="B9" t="s">
        <v>735</v>
      </c>
      <c r="C9" s="2" t="s">
        <v>736</v>
      </c>
      <c r="D9">
        <f>HYPERLINK("https://www.geomayenne.fr/arcgis/rest/services/D53_Pedologie/MapServer","https://www.geomayenne.fr/arcgis/rest/services/D53_Pedologie/MapServer")</f>
        <v/>
      </c>
      <c r="E9" t="s">
        <v>44</v>
      </c>
      <c r="F9" s="2" t="s">
        <v>737</v>
      </c>
      <c r="G9" t="b">
        <v>0</v>
      </c>
      <c r="H9" t="s">
        <v>738</v>
      </c>
      <c r="I9" t="n">
        <v>1</v>
      </c>
      <c r="J9" t="s"/>
      <c r="L9" t="s">
        <v>739</v>
      </c>
      <c r="M9" s="2" t="s">
        <v>740</v>
      </c>
      <c r="N9" s="2" t="s">
        <v>731</v>
      </c>
      <c r="O9" s="2" t="s">
        <v>732</v>
      </c>
      <c r="P9" s="2" t="s">
        <v>216</v>
      </c>
      <c r="Q9" t="n">
        <v>1</v>
      </c>
      <c r="R9" s="2" t="s"/>
      <c r="S9" s="2" t="s">
        <v>93</v>
      </c>
      <c r="T9" t="b">
        <v>0</v>
      </c>
      <c r="U9" t="b">
        <v>0</v>
      </c>
      <c r="V9" t="b">
        <v>0</v>
      </c>
      <c r="W9" s="4">
        <f>HYPERLINK("https://app.isogeo.com/resources/f5ba203d409f45d78f7f64b073ea1649","Editer")</f>
        <v/>
      </c>
      <c r="X9" s="4">
        <f>HYPERLINK("https://open.isogeo.com/m/f5ba203d409f45d78f7f64b073ea1649","Version en ligne")</f>
        <v/>
      </c>
      <c r="Y9" t="s">
        <v>741</v>
      </c>
      <c r="Z9" t="s">
        <v>218</v>
      </c>
      <c r="AA9" t="s">
        <v>95</v>
      </c>
      <c r="AB9" t="s">
        <v>70</v>
      </c>
    </row>
    <row r="10" spans="1:28">
      <c r="A10" t="s">
        <v>742</v>
      </c>
      <c r="C10" s="2" t="s">
        <v>743</v>
      </c>
      <c r="D10">
        <f>HYPERLINK("https://www.geomayenne.fr/arcgis/services/D53_Pedologie/MapServer/WFSServer","https://www.geomayenne.fr/arcgis/services/D53_Pedologie/MapServer/WFSServer")</f>
        <v/>
      </c>
      <c r="E10" t="s">
        <v>44</v>
      </c>
      <c r="F10" s="2" t="s">
        <v>744</v>
      </c>
      <c r="G10" t="b">
        <v>0</v>
      </c>
      <c r="H10" t="s">
        <v>738</v>
      </c>
      <c r="I10" t="n">
        <v>1</v>
      </c>
      <c r="J10" t="s"/>
      <c r="L10" t="s">
        <v>716</v>
      </c>
      <c r="M10" s="2" t="s">
        <v>740</v>
      </c>
      <c r="N10" s="2" t="s">
        <v>745</v>
      </c>
      <c r="O10" s="2" t="s">
        <v>732</v>
      </c>
      <c r="P10" s="2" t="s">
        <v>216</v>
      </c>
      <c r="Q10" t="n">
        <v>1</v>
      </c>
      <c r="R10" s="2" t="s"/>
      <c r="S10" s="2" t="s">
        <v>93</v>
      </c>
      <c r="T10" t="b">
        <v>0</v>
      </c>
      <c r="U10" t="b">
        <v>0</v>
      </c>
      <c r="V10" t="b">
        <v>0</v>
      </c>
      <c r="W10" s="4">
        <f>HYPERLINK("https://app.isogeo.com/resources/0f44683c7f664367bc2ac9afd7f4f5ed","Editer")</f>
        <v/>
      </c>
      <c r="X10" s="4">
        <f>HYPERLINK("https://open.isogeo.com/m/0f44683c7f664367bc2ac9afd7f4f5ed","Version en ligne")</f>
        <v/>
      </c>
      <c r="Y10" t="s">
        <v>746</v>
      </c>
      <c r="Z10" t="s">
        <v>218</v>
      </c>
      <c r="AA10" t="s">
        <v>125</v>
      </c>
      <c r="AB10" t="s">
        <v>70</v>
      </c>
    </row>
    <row r="11" spans="1:28">
      <c r="A11" t="s">
        <v>747</v>
      </c>
      <c r="C11" s="2" t="s">
        <v>748</v>
      </c>
      <c r="D11">
        <f>HYPERLINK("http://magosm.magellium.com/geoserver/wms","http://magosm.magellium.com/geoserver/wms")</f>
        <v/>
      </c>
      <c r="E11" t="s">
        <v>55</v>
      </c>
      <c r="F11" s="2" t="s"/>
      <c r="G11" t="b">
        <v>0</v>
      </c>
      <c r="H11" t="s"/>
      <c r="I11" t="n">
        <v>0</v>
      </c>
      <c r="J11" t="s"/>
      <c r="L11" t="s">
        <v>710</v>
      </c>
      <c r="M11" s="2" t="n"/>
      <c r="N11" s="2" t="s"/>
      <c r="O11" s="2" t="s">
        <v>66</v>
      </c>
      <c r="P11" s="2" t="s"/>
      <c r="Q11" t="n">
        <v>1</v>
      </c>
      <c r="R11" s="2" t="s">
        <v>67</v>
      </c>
      <c r="S11" s="2" t="s"/>
      <c r="T11" t="b">
        <v>0</v>
      </c>
      <c r="U11" t="b">
        <v>0</v>
      </c>
      <c r="V11" t="b">
        <v>0</v>
      </c>
      <c r="W11" s="4">
        <f>HYPERLINK("https://app.isogeo.com/resources/e52aa6f8170741629a70c30fb832e25b","Editer")</f>
        <v/>
      </c>
      <c r="X11" s="4">
        <f>HYPERLINK("https://open.isogeo.com/m/e52aa6f8170741629a70c30fb832e25b","Version en ligne")</f>
        <v/>
      </c>
      <c r="Y11" t="s">
        <v>749</v>
      </c>
      <c r="Z11" t="s">
        <v>750</v>
      </c>
      <c r="AA11" t="s">
        <v>69</v>
      </c>
    </row>
    <row r="12" spans="1:28">
      <c r="A12" t="s">
        <v>751</v>
      </c>
      <c r="C12" s="2" t="s">
        <v>752</v>
      </c>
      <c r="D12">
        <f>HYPERLINK("http://magosm.magellium.com/geoserver/wfs","http://magosm.magellium.com/geoserver/wfs")</f>
        <v/>
      </c>
      <c r="E12" t="s">
        <v>55</v>
      </c>
      <c r="F12" s="2" t="s">
        <v>753</v>
      </c>
      <c r="G12" t="b">
        <v>0</v>
      </c>
      <c r="H12" t="s">
        <v>754</v>
      </c>
      <c r="I12" t="n">
        <v>1</v>
      </c>
      <c r="J12" t="s"/>
      <c r="L12" t="s">
        <v>716</v>
      </c>
      <c r="M12" s="2" t="n"/>
      <c r="N12" s="2" t="s"/>
      <c r="O12" s="2" t="s">
        <v>66</v>
      </c>
      <c r="P12" s="2" t="s"/>
      <c r="Q12" t="n">
        <v>1</v>
      </c>
      <c r="R12" s="2" t="s">
        <v>67</v>
      </c>
      <c r="S12" s="2" t="s"/>
      <c r="T12" t="b">
        <v>0</v>
      </c>
      <c r="U12" t="b">
        <v>0</v>
      </c>
      <c r="V12" t="b">
        <v>0</v>
      </c>
      <c r="W12" s="4">
        <f>HYPERLINK("https://app.isogeo.com/resources/539a50352c3e4eabb44e41f48b0350f0","Editer")</f>
        <v/>
      </c>
      <c r="X12" s="4">
        <f>HYPERLINK("https://open.isogeo.com/m/539a50352c3e4eabb44e41f48b0350f0","Version en ligne")</f>
        <v/>
      </c>
      <c r="Y12" t="s">
        <v>755</v>
      </c>
      <c r="Z12" t="s">
        <v>754</v>
      </c>
      <c r="AA12" t="s">
        <v>69</v>
      </c>
      <c r="AB12" t="s">
        <v>70</v>
      </c>
    </row>
    <row r="13" spans="1:28">
      <c r="A13" t="s">
        <v>756</v>
      </c>
      <c r="C13" s="2" t="s">
        <v>757</v>
      </c>
      <c r="D13">
        <f>HYPERLINK("https://www.geomayenne.fr/arcgis/services/D53_ROUTES/MapServer/WFSServer","https://www.geomayenne.fr/arcgis/services/D53_ROUTES/MapServer/WFSServer")</f>
        <v/>
      </c>
      <c r="E13" t="s">
        <v>44</v>
      </c>
      <c r="F13" s="2" t="s">
        <v>758</v>
      </c>
      <c r="G13" t="b">
        <v>0</v>
      </c>
      <c r="H13" t="s">
        <v>738</v>
      </c>
      <c r="I13" t="n">
        <v>2</v>
      </c>
      <c r="J13" t="s">
        <v>738</v>
      </c>
      <c r="L13" t="s">
        <v>716</v>
      </c>
      <c r="M13" s="2" t="s">
        <v>759</v>
      </c>
      <c r="N13" s="2" t="s">
        <v>745</v>
      </c>
      <c r="O13" s="2" t="s">
        <v>732</v>
      </c>
      <c r="P13" s="2" t="s">
        <v>216</v>
      </c>
      <c r="Q13" t="n">
        <v>1</v>
      </c>
      <c r="R13" s="2" t="s"/>
      <c r="S13" s="2" t="s">
        <v>406</v>
      </c>
      <c r="T13" t="b">
        <v>0</v>
      </c>
      <c r="U13" t="b">
        <v>0</v>
      </c>
      <c r="V13" t="b">
        <v>0</v>
      </c>
      <c r="W13" s="4">
        <f>HYPERLINK("https://app.isogeo.com/resources/5a80801b87a34886acba38e47f0c49c2","Editer")</f>
        <v/>
      </c>
      <c r="X13" s="4">
        <f>HYPERLINK("https://open.isogeo.com/m/5a80801b87a34886acba38e47f0c49c2","Version en ligne")</f>
        <v/>
      </c>
      <c r="Y13" t="s">
        <v>760</v>
      </c>
      <c r="Z13" t="s">
        <v>761</v>
      </c>
      <c r="AA13" t="s">
        <v>126</v>
      </c>
      <c r="AB13" t="s">
        <v>70</v>
      </c>
    </row>
    <row r="14" spans="1:28">
      <c r="A14" t="s">
        <v>762</v>
      </c>
      <c r="C14" s="2" t="s">
        <v>763</v>
      </c>
      <c r="D14">
        <f>HYPERLINK("https://www.geomayenne.fr/arcgis/services/D53_ROUTES/MapServer/WMSServer","https://www.geomayenne.fr/arcgis/services/D53_ROUTES/MapServer/WMSServer")</f>
        <v/>
      </c>
      <c r="E14" t="s">
        <v>44</v>
      </c>
      <c r="F14" s="2" t="s">
        <v>764</v>
      </c>
      <c r="G14" t="b">
        <v>0</v>
      </c>
      <c r="H14" t="s">
        <v>738</v>
      </c>
      <c r="I14" t="n">
        <v>2</v>
      </c>
      <c r="J14" t="s">
        <v>738</v>
      </c>
      <c r="L14" t="s">
        <v>710</v>
      </c>
      <c r="M14" s="2" t="s">
        <v>765</v>
      </c>
      <c r="N14" s="2" t="s">
        <v>731</v>
      </c>
      <c r="O14" s="2" t="s">
        <v>732</v>
      </c>
      <c r="P14" s="2" t="s">
        <v>216</v>
      </c>
      <c r="Q14" t="n">
        <v>1</v>
      </c>
      <c r="R14" s="2" t="s"/>
      <c r="S14" s="2" t="s">
        <v>406</v>
      </c>
      <c r="T14" t="b">
        <v>0</v>
      </c>
      <c r="U14" t="b">
        <v>0</v>
      </c>
      <c r="V14" t="b">
        <v>0</v>
      </c>
      <c r="W14" s="4">
        <f>HYPERLINK("https://app.isogeo.com/resources/412ad6bf77614f8da8d9c8692b190ecf","Editer")</f>
        <v/>
      </c>
      <c r="X14" s="4">
        <f>HYPERLINK("https://open.isogeo.com/m/412ad6bf77614f8da8d9c8692b190ecf","Version en ligne")</f>
        <v/>
      </c>
      <c r="Y14" t="s">
        <v>766</v>
      </c>
      <c r="Z14" t="s">
        <v>761</v>
      </c>
      <c r="AA14" t="s">
        <v>125</v>
      </c>
      <c r="AB14" t="s">
        <v>70</v>
      </c>
    </row>
    <row r="15" spans="1:28">
      <c r="A15" t="s">
        <v>767</v>
      </c>
      <c r="C15" s="2" t="s">
        <v>768</v>
      </c>
      <c r="D15">
        <f>HYPERLINK("http://geobretagne.fr/geoserver/lorientagglo/wms","http://geobretagne.fr/geoserver/lorientagglo/wms")</f>
        <v/>
      </c>
      <c r="E15" t="s">
        <v>44</v>
      </c>
      <c r="F15" s="2" t="s">
        <v>769</v>
      </c>
      <c r="G15" t="b">
        <v>0</v>
      </c>
      <c r="H15" t="s"/>
      <c r="I15" t="n">
        <v>0</v>
      </c>
      <c r="J15" t="s"/>
      <c r="L15" t="s">
        <v>710</v>
      </c>
      <c r="M15" s="2" t="s">
        <v>770</v>
      </c>
      <c r="N15" s="2" t="s"/>
      <c r="O15" s="2" t="s"/>
      <c r="P15" s="2" t="s"/>
      <c r="Q15" t="n">
        <v>2</v>
      </c>
      <c r="R15" s="2" t="s">
        <v>771</v>
      </c>
      <c r="S15" s="2" t="s"/>
      <c r="T15" t="b">
        <v>0</v>
      </c>
      <c r="U15" t="b">
        <v>0</v>
      </c>
      <c r="V15" t="b">
        <v>0</v>
      </c>
      <c r="W15" s="4">
        <f>HYPERLINK("https://app.isogeo.com/resources/b51c4197df0245279f0a054e551b79db","Editer")</f>
        <v/>
      </c>
      <c r="X15" s="4">
        <f>HYPERLINK("https://open.isogeo.com/m/b51c4197df0245279f0a054e551b79db","Version en ligne")</f>
        <v/>
      </c>
      <c r="Y15" t="s">
        <v>772</v>
      </c>
      <c r="Z15" t="s">
        <v>773</v>
      </c>
      <c r="AA15" t="s">
        <v>161</v>
      </c>
    </row>
    <row r="16" spans="1:28">
      <c r="A16" t="s">
        <v>774</v>
      </c>
      <c r="C16" s="2" t="s">
        <v>775</v>
      </c>
      <c r="D16">
        <f>HYPERLINK("http://geobretagne.fr:80/geoserver/lorientagglo/wfs","http://geobretagne.fr:80/geoserver/lorientagglo/wfs")</f>
        <v/>
      </c>
      <c r="E16" t="s">
        <v>44</v>
      </c>
      <c r="F16" s="2" t="s">
        <v>776</v>
      </c>
      <c r="G16" t="b">
        <v>0</v>
      </c>
      <c r="H16" t="s"/>
      <c r="I16" t="n">
        <v>0</v>
      </c>
      <c r="J16" t="s"/>
      <c r="L16" t="s">
        <v>716</v>
      </c>
      <c r="M16" s="2" t="s">
        <v>777</v>
      </c>
      <c r="N16" s="2" t="s">
        <v>778</v>
      </c>
      <c r="O16" s="2" t="s">
        <v>732</v>
      </c>
      <c r="P16" s="2" t="s">
        <v>216</v>
      </c>
      <c r="Q16" t="n">
        <v>1</v>
      </c>
      <c r="R16" s="2" t="s"/>
      <c r="S16" s="2" t="s">
        <v>159</v>
      </c>
      <c r="T16" t="b">
        <v>0</v>
      </c>
      <c r="U16" t="b">
        <v>0</v>
      </c>
      <c r="V16" t="b">
        <v>0</v>
      </c>
      <c r="W16" s="4">
        <f>HYPERLINK("https://app.isogeo.com/resources/89eba0ed2c864cc6b6a359c86bc7f3fb","Editer")</f>
        <v/>
      </c>
      <c r="X16" s="4">
        <f>HYPERLINK("https://open.isogeo.com/m/89eba0ed2c864cc6b6a359c86bc7f3fb","Version en ligne")</f>
        <v/>
      </c>
      <c r="Y16" t="s">
        <v>779</v>
      </c>
      <c r="Z16" t="s">
        <v>780</v>
      </c>
      <c r="AA16" t="s">
        <v>125</v>
      </c>
      <c r="AB16" t="s">
        <v>70</v>
      </c>
    </row>
  </sheetData>
  <autoFilter ref="A1:AB16"/>
  <printOptions horizontalCentered="1" verticalCentered="1"/>
  <pageMargins bottom="1" footer="0.5" header="0.5" left="0.75" right="0.75" top="1"/>
  <pageSetup fitToWidth="1" orientation="landscape"/>
</worksheet>
</file>

<file path=xl/worksheets/sheet6.xml><?xml version="1.0" encoding="utf-8"?>
<worksheet xmlns="http://schemas.openxmlformats.org/spreadsheetml/2006/main">
  <sheetPr filterMode="1">
    <outlinePr summaryBelow="1" summaryRight="1"/>
    <pageSetUpPr/>
  </sheetPr>
  <dimension ref="A1:X2"/>
  <sheetViews>
    <sheetView workbookViewId="0">
      <pane activePane="bottomRight" state="frozen" topLeftCell="B2" xSplit="1" ySplit="1"/>
      <selection pane="topRight"/>
      <selection pane="bottomLeft"/>
      <selection activeCell="A1" pane="bottomRight" sqref="A1"/>
    </sheetView>
  </sheetViews>
  <sheetFormatPr baseColWidth="8" defaultRowHeight="15"/>
  <sheetData>
    <row r="1" spans="1:24">
      <c r="A1" s="1" t="s">
        <v>0</v>
      </c>
      <c r="B1" s="1" t="s">
        <v>2</v>
      </c>
      <c r="C1" s="1" t="s">
        <v>3</v>
      </c>
      <c r="D1" s="1" t="s">
        <v>4</v>
      </c>
      <c r="E1" s="1" t="s">
        <v>5</v>
      </c>
      <c r="F1" s="1" t="s">
        <v>14</v>
      </c>
      <c r="G1" s="1" t="s">
        <v>15</v>
      </c>
      <c r="H1" s="1" t="s">
        <v>16</v>
      </c>
      <c r="I1" s="1" t="s">
        <v>17</v>
      </c>
      <c r="J1" s="1" t="s">
        <v>687</v>
      </c>
      <c r="K1" s="1" t="s">
        <v>29</v>
      </c>
      <c r="L1" s="1" t="s">
        <v>30</v>
      </c>
      <c r="M1" s="1" t="s">
        <v>31</v>
      </c>
      <c r="N1" s="1" t="s">
        <v>32</v>
      </c>
      <c r="O1" s="1" t="s">
        <v>33</v>
      </c>
      <c r="P1" s="1" t="s">
        <v>34</v>
      </c>
      <c r="Q1" s="1" t="s">
        <v>35</v>
      </c>
      <c r="R1" s="1" t="s">
        <v>36</v>
      </c>
      <c r="S1" s="1" t="s">
        <v>37</v>
      </c>
      <c r="T1" s="1" t="s">
        <v>38</v>
      </c>
      <c r="U1" s="1" t="s">
        <v>39</v>
      </c>
      <c r="V1" s="1" t="s">
        <v>40</v>
      </c>
      <c r="W1" s="1" t="s">
        <v>41</v>
      </c>
      <c r="X1" s="1" t="s">
        <v>42</v>
      </c>
    </row>
    <row r="2" spans="1:24">
      <c r="A2" t="s">
        <v>781</v>
      </c>
      <c r="B2" t="s">
        <v>782</v>
      </c>
      <c r="C2" s="2" t="s"/>
      <c r="E2" t="s">
        <v>783</v>
      </c>
      <c r="F2" s="2" t="s">
        <v>784</v>
      </c>
      <c r="G2" t="n">
        <v>3</v>
      </c>
      <c r="H2" t="s">
        <v>784</v>
      </c>
      <c r="J2" t="s">
        <v>785</v>
      </c>
      <c r="K2" t="s">
        <v>142</v>
      </c>
      <c r="L2" t="s">
        <v>786</v>
      </c>
      <c r="M2" s="2" t="n">
        <v>1</v>
      </c>
      <c r="N2" s="2" t="s">
        <v>406</v>
      </c>
      <c r="O2" s="2" t="s"/>
      <c r="P2" s="2" t="b">
        <v>1</v>
      </c>
      <c r="Q2" t="b">
        <v>0</v>
      </c>
      <c r="R2" s="2" t="b">
        <v>1</v>
      </c>
      <c r="S2" s="2">
        <f>HYPERLINK("https://app.isogeo.com/resources/296c5d6c394b4a0cb37447cae83c174a","Editer")</f>
        <v/>
      </c>
      <c r="T2" s="4">
        <f>HYPERLINK("https://open.isogeo.com/m/296c5d6c394b4a0cb37447cae83c174a","Version en ligne")</f>
        <v/>
      </c>
      <c r="U2" t="s">
        <v>787</v>
      </c>
      <c r="V2" t="s">
        <v>788</v>
      </c>
      <c r="W2" t="s">
        <v>706</v>
      </c>
      <c r="X2" t="s">
        <v>70</v>
      </c>
    </row>
  </sheetData>
  <autoFilter ref="A1:X2"/>
  <printOptions horizontalCentered="1" verticalCentered="1"/>
  <pageMargins bottom="1" footer="0.5" header="0.5" left="0.75" right="0.75" top="1"/>
  <pageSetup fitToWidth="1" orientation="landscape"/>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2018-09-06T16:32:59Z</dcterms:created>
  <dcterms:modified xmlns:dcterms="http://purl.org/dc/terms/" xmlns:xsi="http://www.w3.org/2001/XMLSchema-instance" xsi:type="dcterms:W3CDTF">2018-09-06T16:32:59Z</dcterms:modified>
</cp:coreProperties>
</file>